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2\62290 Underemployed workers\"/>
    </mc:Choice>
  </mc:AlternateContent>
  <xr:revisionPtr revIDLastSave="0" documentId="13_ncr:1_{1B6D4F41-4D75-4DC7-B829-DDE8F7391C2E}" xr6:coauthVersionLast="47" xr6:coauthVersionMax="47" xr10:uidLastSave="{00000000-0000-0000-0000-000000000000}"/>
  <bookViews>
    <workbookView xWindow="4680" yWindow="4680" windowWidth="43200" windowHeight="23535" xr2:uid="{00000000-000D-0000-FFFF-FFFF00000000}"/>
  </bookViews>
  <sheets>
    <sheet name="Contents" sheetId="7" r:id="rId1"/>
    <sheet name="Table 1.1" sheetId="8" r:id="rId2"/>
    <sheet name="Table 1.2" sheetId="9" r:id="rId3"/>
    <sheet name="Index" sheetId="10" r:id="rId4"/>
    <sheet name="Data1" sheetId="11" r:id="rId5"/>
    <sheet name="Data2" sheetId="12" r:id="rId6"/>
    <sheet name="Data3" sheetId="13" r:id="rId7"/>
    <sheet name="Data4" sheetId="14" r:id="rId8"/>
  </sheets>
  <definedNames>
    <definedName name="A127826907V">Data4!$CS$1:$CS$10,Data4!$CS$11:$CS$102</definedName>
    <definedName name="A127826907V_Data">Data4!$CS$11:$CS$102</definedName>
    <definedName name="A127826907V_Latest">Data4!$CS$102</definedName>
    <definedName name="A127826908W">Data4!$CJ$1:$CJ$10,Data4!$CJ$11:$CJ$102</definedName>
    <definedName name="A127826908W_Data">Data4!$CJ$11:$CJ$102</definedName>
    <definedName name="A127826908W_Latest">Data4!$CJ$102</definedName>
    <definedName name="A127826909X">Data4!$CD$1:$CD$10,Data4!$CD$11:$CD$102</definedName>
    <definedName name="A127826909X_Data">Data4!$CD$11:$CD$102</definedName>
    <definedName name="A127826909X_Latest">Data4!$CD$102</definedName>
    <definedName name="A127826910J">Data4!$CP$1:$CP$10,Data4!$CP$11:$CP$102</definedName>
    <definedName name="A127826910J_Data">Data4!$CP$11:$CP$102</definedName>
    <definedName name="A127826910J_Latest">Data4!$CP$102</definedName>
    <definedName name="A127826911K">Data4!$CA$1:$CA$10,Data4!$CA$11:$CA$102</definedName>
    <definedName name="A127826911K_Data">Data4!$CA$11:$CA$102</definedName>
    <definedName name="A127826911K_Latest">Data4!$CA$102</definedName>
    <definedName name="A127826912L">Data4!$BU$1:$BU$10,Data4!$BU$11:$BU$102</definedName>
    <definedName name="A127826912L_Data">Data4!$BU$11:$BU$102</definedName>
    <definedName name="A127826912L_Latest">Data4!$BU$102</definedName>
    <definedName name="A127826913R">Data4!$CY$1:$CY$10,Data4!$CY$11:$CY$102</definedName>
    <definedName name="A127826913R_Data">Data4!$CY$11:$CY$102</definedName>
    <definedName name="A127826913R_Latest">Data4!$CY$102</definedName>
    <definedName name="A127826914T">Data4!$CV$1:$CV$10,Data4!$CV$11:$CV$102</definedName>
    <definedName name="A127826914T_Data">Data4!$CV$11:$CV$102</definedName>
    <definedName name="A127826914T_Latest">Data4!$CV$102</definedName>
    <definedName name="A127826915V">Data4!$CM$1:$CM$10,Data4!$CM$11:$CM$102</definedName>
    <definedName name="A127826915V_Data">Data4!$CM$11:$CM$102</definedName>
    <definedName name="A127826915V_Latest">Data4!$CM$102</definedName>
    <definedName name="A127826916W">Data4!$BX$1:$BX$10,Data4!$BX$11:$BX$102</definedName>
    <definedName name="A127826916W_Data">Data4!$BX$11:$BX$102</definedName>
    <definedName name="A127826916W_Latest">Data4!$BX$102</definedName>
    <definedName name="A127826917X">Data4!$BL$1:$BL$10,Data4!$BL$11:$BL$102</definedName>
    <definedName name="A127826917X_Data">Data4!$BL$11:$BL$102</definedName>
    <definedName name="A127826917X_Latest">Data4!$BL$102</definedName>
    <definedName name="A127826918A">Data4!$BR$1:$BR$10,Data4!$BR$11:$BR$102</definedName>
    <definedName name="A127826918A_Data">Data4!$BR$11:$BR$102</definedName>
    <definedName name="A127826918A_Latest">Data4!$BR$102</definedName>
    <definedName name="A127826919C">Data4!$BO$1:$BO$10,Data4!$BO$11:$BO$102</definedName>
    <definedName name="A127826919C_Data">Data4!$BO$11:$BO$102</definedName>
    <definedName name="A127826919C_Latest">Data4!$BO$102</definedName>
    <definedName name="A127826920L">Data4!$CG$1:$CG$10,Data4!$CG$11:$CG$102</definedName>
    <definedName name="A127826920L_Data">Data4!$CG$11:$CG$102</definedName>
    <definedName name="A127826920L_Latest">Data4!$CG$102</definedName>
    <definedName name="A127826921R">Data4!$DB$1:$DB$10,Data4!$DB$11:$DB$102</definedName>
    <definedName name="A127826921R_Data">Data4!$DB$11:$DB$102</definedName>
    <definedName name="A127826921R_Latest">Data4!$DB$102</definedName>
    <definedName name="A127826997K">Data1!$CD$1:$CD$10,Data1!$CD$11:$CD$102</definedName>
    <definedName name="A127826997K_Data">Data1!$CD$11:$CD$102</definedName>
    <definedName name="A127826997K_Latest">Data1!$CD$102</definedName>
    <definedName name="A127826998L">Data1!$BU$1:$BU$10,Data1!$BU$11:$BU$102</definedName>
    <definedName name="A127826998L_Data">Data1!$BU$11:$BU$102</definedName>
    <definedName name="A127826998L_Latest">Data1!$BU$102</definedName>
    <definedName name="A127826999R">Data1!$BO$1:$BO$10,Data1!$BO$11:$BO$102</definedName>
    <definedName name="A127826999R_Data">Data1!$BO$11:$BO$102</definedName>
    <definedName name="A127826999R_Latest">Data1!$BO$102</definedName>
    <definedName name="A127827000R">Data1!$CA$1:$CA$10,Data1!$CA$11:$CA$102</definedName>
    <definedName name="A127827000R_Data">Data1!$CA$11:$CA$102</definedName>
    <definedName name="A127827000R_Latest">Data1!$CA$102</definedName>
    <definedName name="A127827001T">Data1!$BL$1:$BL$10,Data1!$BL$11:$BL$102</definedName>
    <definedName name="A127827001T_Data">Data1!$BL$11:$BL$102</definedName>
    <definedName name="A127827001T_Latest">Data1!$BL$102</definedName>
    <definedName name="A127827002V">Data1!$BF$1:$BF$10,Data1!$BF$11:$BF$102</definedName>
    <definedName name="A127827002V_Data">Data1!$BF$11:$BF$102</definedName>
    <definedName name="A127827002V_Latest">Data1!$BF$102</definedName>
    <definedName name="A127827003W">Data1!$CJ$1:$CJ$10,Data1!$CJ$11:$CJ$102</definedName>
    <definedName name="A127827003W_Data">Data1!$CJ$11:$CJ$102</definedName>
    <definedName name="A127827003W_Latest">Data1!$CJ$102</definedName>
    <definedName name="A127827004X">Data1!$CG$1:$CG$10,Data1!$CG$11:$CG$102</definedName>
    <definedName name="A127827004X_Data">Data1!$CG$11:$CG$102</definedName>
    <definedName name="A127827004X_Latest">Data1!$CG$102</definedName>
    <definedName name="A127827005A">Data1!$BX$1:$BX$10,Data1!$BX$11:$BX$102</definedName>
    <definedName name="A127827005A_Data">Data1!$BX$11:$BX$102</definedName>
    <definedName name="A127827005A_Latest">Data1!$BX$102</definedName>
    <definedName name="A127827006C">Data1!$BI$1:$BI$10,Data1!$BI$11:$BI$102</definedName>
    <definedName name="A127827006C_Data">Data1!$BI$11:$BI$102</definedName>
    <definedName name="A127827006C_Latest">Data1!$BI$102</definedName>
    <definedName name="A127827007F">Data1!$AW$1:$AW$10,Data1!$AW$11:$AW$102</definedName>
    <definedName name="A127827007F_Data">Data1!$AW$11:$AW$102</definedName>
    <definedName name="A127827007F_Latest">Data1!$AW$102</definedName>
    <definedName name="A127827008J">Data1!$BC$1:$BC$10,Data1!$BC$11:$BC$102</definedName>
    <definedName name="A127827008J_Data">Data1!$BC$11:$BC$102</definedName>
    <definedName name="A127827008J_Latest">Data1!$BC$102</definedName>
    <definedName name="A127827009K">Data1!$AZ$1:$AZ$10,Data1!$AZ$11:$AZ$102</definedName>
    <definedName name="A127827009K_Data">Data1!$AZ$11:$AZ$102</definedName>
    <definedName name="A127827009K_Latest">Data1!$AZ$102</definedName>
    <definedName name="A127827010V">Data1!$BR$1:$BR$10,Data1!$BR$11:$BR$102</definedName>
    <definedName name="A127827010V_Data">Data1!$BR$11:$BR$102</definedName>
    <definedName name="A127827010V_Latest">Data1!$BR$102</definedName>
    <definedName name="A127827011W">Data1!$CM$1:$CM$10,Data1!$CM$11:$CM$102</definedName>
    <definedName name="A127827011W_Data">Data1!$CM$11:$CM$102</definedName>
    <definedName name="A127827011W_Latest">Data1!$CM$102</definedName>
    <definedName name="A127827027R">Data2!$GJ$1:$GJ$10,Data2!$GJ$11:$GJ$102</definedName>
    <definedName name="A127827027R_Data">Data2!$GJ$11:$GJ$102</definedName>
    <definedName name="A127827027R_Latest">Data2!$GJ$102</definedName>
    <definedName name="A127827028T">Data2!$GA$1:$GA$10,Data2!$GA$11:$GA$102</definedName>
    <definedName name="A127827028T_Data">Data2!$GA$11:$GA$102</definedName>
    <definedName name="A127827028T_Latest">Data2!$GA$102</definedName>
    <definedName name="A127827029V">Data2!$FU$1:$FU$10,Data2!$FU$11:$FU$102</definedName>
    <definedName name="A127827029V_Data">Data2!$FU$11:$FU$102</definedName>
    <definedName name="A127827029V_Latest">Data2!$FU$102</definedName>
    <definedName name="A127827030C">Data2!$GG$1:$GG$10,Data2!$GG$11:$GG$102</definedName>
    <definedName name="A127827030C_Data">Data2!$GG$11:$GG$102</definedName>
    <definedName name="A127827030C_Latest">Data2!$GG$102</definedName>
    <definedName name="A127827031F">Data2!$FR$1:$FR$10,Data2!$FR$11:$FR$102</definedName>
    <definedName name="A127827031F_Data">Data2!$FR$11:$FR$102</definedName>
    <definedName name="A127827031F_Latest">Data2!$FR$102</definedName>
    <definedName name="A127827032J">Data2!$FL$1:$FL$10,Data2!$FL$11:$FL$102</definedName>
    <definedName name="A127827032J_Data">Data2!$FL$11:$FL$102</definedName>
    <definedName name="A127827032J_Latest">Data2!$FL$102</definedName>
    <definedName name="A127827033K">Data2!$GP$1:$GP$10,Data2!$GP$11:$GP$102</definedName>
    <definedName name="A127827033K_Data">Data2!$GP$11:$GP$102</definedName>
    <definedName name="A127827033K_Latest">Data2!$GP$102</definedName>
    <definedName name="A127827034L">Data2!$GM$1:$GM$10,Data2!$GM$11:$GM$102</definedName>
    <definedName name="A127827034L_Data">Data2!$GM$11:$GM$102</definedName>
    <definedName name="A127827034L_Latest">Data2!$GM$102</definedName>
    <definedName name="A127827035R">Data2!$GD$1:$GD$10,Data2!$GD$11:$GD$102</definedName>
    <definedName name="A127827035R_Data">Data2!$GD$11:$GD$102</definedName>
    <definedName name="A127827035R_Latest">Data2!$GD$102</definedName>
    <definedName name="A127827036T">Data2!$FO$1:$FO$10,Data2!$FO$11:$FO$102</definedName>
    <definedName name="A127827036T_Data">Data2!$FO$11:$FO$102</definedName>
    <definedName name="A127827036T_Latest">Data2!$FO$102</definedName>
    <definedName name="A127827037V">Data2!$FC$1:$FC$10,Data2!$FC$11:$FC$102</definedName>
    <definedName name="A127827037V_Data">Data2!$FC$11:$FC$102</definedName>
    <definedName name="A127827037V_Latest">Data2!$FC$102</definedName>
    <definedName name="A127827038W">Data2!$FI$1:$FI$10,Data2!$FI$11:$FI$102</definedName>
    <definedName name="A127827038W_Data">Data2!$FI$11:$FI$102</definedName>
    <definedName name="A127827038W_Latest">Data2!$FI$102</definedName>
    <definedName name="A127827039X">Data2!$FF$1:$FF$10,Data2!$FF$11:$FF$102</definedName>
    <definedName name="A127827039X_Data">Data2!$FF$11:$FF$102</definedName>
    <definedName name="A127827039X_Latest">Data2!$FF$102</definedName>
    <definedName name="A127827040J">Data2!$FX$1:$FX$10,Data2!$FX$11:$FX$102</definedName>
    <definedName name="A127827040J_Data">Data2!$FX$11:$FX$102</definedName>
    <definedName name="A127827040J_Latest">Data2!$FX$102</definedName>
    <definedName name="A127827041K">Data2!$GS$1:$GS$10,Data2!$GS$11:$GS$102</definedName>
    <definedName name="A127827041K_Data">Data2!$GS$11:$GS$102</definedName>
    <definedName name="A127827041K_Latest">Data2!$GS$102</definedName>
    <definedName name="A127827057C">Data2!$EQ$1:$EQ$10,Data2!$EQ$11:$EQ$102</definedName>
    <definedName name="A127827057C_Data">Data2!$EQ$11:$EQ$102</definedName>
    <definedName name="A127827057C_Latest">Data2!$EQ$102</definedName>
    <definedName name="A127827058F">Data2!$EH$1:$EH$10,Data2!$EH$11:$EH$102</definedName>
    <definedName name="A127827058F_Data">Data2!$EH$11:$EH$102</definedName>
    <definedName name="A127827058F_Latest">Data2!$EH$102</definedName>
    <definedName name="A127827059J">Data2!$EB$1:$EB$10,Data2!$EB$11:$EB$102</definedName>
    <definedName name="A127827059J_Data">Data2!$EB$11:$EB$102</definedName>
    <definedName name="A127827059J_Latest">Data2!$EB$102</definedName>
    <definedName name="A127827060T">Data2!$EN$1:$EN$10,Data2!$EN$11:$EN$102</definedName>
    <definedName name="A127827060T_Data">Data2!$EN$11:$EN$102</definedName>
    <definedName name="A127827060T_Latest">Data2!$EN$102</definedName>
    <definedName name="A127827061V">Data2!$DY$1:$DY$10,Data2!$DY$11:$DY$102</definedName>
    <definedName name="A127827061V_Data">Data2!$DY$11:$DY$102</definedName>
    <definedName name="A127827061V_Latest">Data2!$DY$102</definedName>
    <definedName name="A127827062W">Data2!$DS$1:$DS$10,Data2!$DS$11:$DS$102</definedName>
    <definedName name="A127827062W_Data">Data2!$DS$11:$DS$102</definedName>
    <definedName name="A127827062W_Latest">Data2!$DS$102</definedName>
    <definedName name="A127827063X">Data2!$EW$1:$EW$10,Data2!$EW$11:$EW$102</definedName>
    <definedName name="A127827063X_Data">Data2!$EW$11:$EW$102</definedName>
    <definedName name="A127827063X_Latest">Data2!$EW$102</definedName>
    <definedName name="A127827064A">Data2!$ET$1:$ET$10,Data2!$ET$11:$ET$102</definedName>
    <definedName name="A127827064A_Data">Data2!$ET$11:$ET$102</definedName>
    <definedName name="A127827064A_Latest">Data2!$ET$102</definedName>
    <definedName name="A127827065C">Data2!$EK$1:$EK$10,Data2!$EK$11:$EK$102</definedName>
    <definedName name="A127827065C_Data">Data2!$EK$11:$EK$102</definedName>
    <definedName name="A127827065C_Latest">Data2!$EK$102</definedName>
    <definedName name="A127827066F">Data2!$DV$1:$DV$10,Data2!$DV$11:$DV$102</definedName>
    <definedName name="A127827066F_Data">Data2!$DV$11:$DV$102</definedName>
    <definedName name="A127827066F_Latest">Data2!$DV$102</definedName>
    <definedName name="A127827067J">Data2!$DJ$1:$DJ$10,Data2!$DJ$11:$DJ$102</definedName>
    <definedName name="A127827067J_Data">Data2!$DJ$11:$DJ$102</definedName>
    <definedName name="A127827067J_Latest">Data2!$DJ$102</definedName>
    <definedName name="A127827068K">Data2!$DP$1:$DP$10,Data2!$DP$11:$DP$102</definedName>
    <definedName name="A127827068K_Data">Data2!$DP$11:$DP$102</definedName>
    <definedName name="A127827068K_Latest">Data2!$DP$102</definedName>
    <definedName name="A127827069L">Data2!$DM$1:$DM$10,Data2!$DM$11:$DM$102</definedName>
    <definedName name="A127827069L_Data">Data2!$DM$11:$DM$102</definedName>
    <definedName name="A127827069L_Latest">Data2!$DM$102</definedName>
    <definedName name="A127827070W">Data2!$EE$1:$EE$10,Data2!$EE$11:$EE$102</definedName>
    <definedName name="A127827070W_Data">Data2!$EE$11:$EE$102</definedName>
    <definedName name="A127827070W_Latest">Data2!$EE$102</definedName>
    <definedName name="A127827071X">Data2!$EZ$1:$EZ$10,Data2!$EZ$11:$EZ$102</definedName>
    <definedName name="A127827071X_Data">Data2!$EZ$11:$EZ$102</definedName>
    <definedName name="A127827071X_Latest">Data2!$EZ$102</definedName>
    <definedName name="A127827087T">Data1!$HI$1:$HI$10,Data1!$HI$11:$HI$102</definedName>
    <definedName name="A127827087T_Data">Data1!$HI$11:$HI$102</definedName>
    <definedName name="A127827087T_Latest">Data1!$HI$102</definedName>
    <definedName name="A127827088V">Data1!$GZ$1:$GZ$10,Data1!$GZ$11:$GZ$102</definedName>
    <definedName name="A127827088V_Data">Data1!$GZ$11:$GZ$102</definedName>
    <definedName name="A127827088V_Latest">Data1!$GZ$102</definedName>
    <definedName name="A127827089W">Data1!$GT$1:$GT$10,Data1!$GT$11:$GT$102</definedName>
    <definedName name="A127827089W_Data">Data1!$GT$11:$GT$102</definedName>
    <definedName name="A127827089W_Latest">Data1!$GT$102</definedName>
    <definedName name="A127827090F">Data1!$HF$1:$HF$10,Data1!$HF$11:$HF$102</definedName>
    <definedName name="A127827090F_Data">Data1!$HF$11:$HF$102</definedName>
    <definedName name="A127827090F_Latest">Data1!$HF$102</definedName>
    <definedName name="A127827091J">Data1!$GQ$1:$GQ$10,Data1!$GQ$11:$GQ$102</definedName>
    <definedName name="A127827091J_Data">Data1!$GQ$11:$GQ$102</definedName>
    <definedName name="A127827091J_Latest">Data1!$GQ$102</definedName>
    <definedName name="A127827092K">Data1!$GK$1:$GK$10,Data1!$GK$11:$GK$102</definedName>
    <definedName name="A127827092K_Data">Data1!$GK$11:$GK$102</definedName>
    <definedName name="A127827092K_Latest">Data1!$GK$102</definedName>
    <definedName name="A127827093L">Data1!$HO$1:$HO$10,Data1!$HO$11:$HO$102</definedName>
    <definedName name="A127827093L_Data">Data1!$HO$11:$HO$102</definedName>
    <definedName name="A127827093L_Latest">Data1!$HO$102</definedName>
    <definedName name="A127827094R">Data1!$HL$1:$HL$10,Data1!$HL$11:$HL$102</definedName>
    <definedName name="A127827094R_Data">Data1!$HL$11:$HL$102</definedName>
    <definedName name="A127827094R_Latest">Data1!$HL$102</definedName>
    <definedName name="A127827095T">Data1!$HC$1:$HC$10,Data1!$HC$11:$HC$102</definedName>
    <definedName name="A127827095T_Data">Data1!$HC$11:$HC$102</definedName>
    <definedName name="A127827095T_Latest">Data1!$HC$102</definedName>
    <definedName name="A127827096V">Data1!$GN$1:$GN$10,Data1!$GN$11:$GN$102</definedName>
    <definedName name="A127827096V_Data">Data1!$GN$11:$GN$102</definedName>
    <definedName name="A127827096V_Latest">Data1!$GN$102</definedName>
    <definedName name="A127827097W">Data1!$GB$1:$GB$10,Data1!$GB$11:$GB$102</definedName>
    <definedName name="A127827097W_Data">Data1!$GB$11:$GB$102</definedName>
    <definedName name="A127827097W_Latest">Data1!$GB$102</definedName>
    <definedName name="A127827098X">Data1!$GH$1:$GH$10,Data1!$GH$11:$GH$102</definedName>
    <definedName name="A127827098X_Data">Data1!$GH$11:$GH$102</definedName>
    <definedName name="A127827098X_Latest">Data1!$GH$102</definedName>
    <definedName name="A127827099A">Data1!$GE$1:$GE$10,Data1!$GE$11:$GE$102</definedName>
    <definedName name="A127827099A_Data">Data1!$GE$11:$GE$102</definedName>
    <definedName name="A127827099A_Latest">Data1!$GE$102</definedName>
    <definedName name="A127827100X">Data1!$GW$1:$GW$10,Data1!$GW$11:$GW$102</definedName>
    <definedName name="A127827100X_Data">Data1!$GW$11:$GW$102</definedName>
    <definedName name="A127827100X_Latest">Data1!$GW$102</definedName>
    <definedName name="A127827101A">Data1!$HR$1:$HR$10,Data1!$HR$11:$HR$102</definedName>
    <definedName name="A127827101A_Data">Data1!$HR$11:$HR$102</definedName>
    <definedName name="A127827101A_Latest">Data1!$HR$102</definedName>
    <definedName name="A127827117V">Data1!$FP$1:$FP$10,Data1!$FP$11:$FP$102</definedName>
    <definedName name="A127827117V_Data">Data1!$FP$11:$FP$102</definedName>
    <definedName name="A127827117V_Latest">Data1!$FP$102</definedName>
    <definedName name="A127827118W">Data1!$FG$1:$FG$10,Data1!$FG$11:$FG$102</definedName>
    <definedName name="A127827118W_Data">Data1!$FG$11:$FG$102</definedName>
    <definedName name="A127827118W_Latest">Data1!$FG$102</definedName>
    <definedName name="A127827119X">Data1!$FA$1:$FA$10,Data1!$FA$11:$FA$102</definedName>
    <definedName name="A127827119X_Data">Data1!$FA$11:$FA$102</definedName>
    <definedName name="A127827119X_Latest">Data1!$FA$102</definedName>
    <definedName name="A127827120J">Data1!$FM$1:$FM$10,Data1!$FM$11:$FM$102</definedName>
    <definedName name="A127827120J_Data">Data1!$FM$11:$FM$102</definedName>
    <definedName name="A127827120J_Latest">Data1!$FM$102</definedName>
    <definedName name="A127827121K">Data1!$EX$1:$EX$10,Data1!$EX$11:$EX$102</definedName>
    <definedName name="A127827121K_Data">Data1!$EX$11:$EX$102</definedName>
    <definedName name="A127827121K_Latest">Data1!$EX$102</definedName>
    <definedName name="A127827122L">Data1!$ER$1:$ER$10,Data1!$ER$11:$ER$102</definedName>
    <definedName name="A127827122L_Data">Data1!$ER$11:$ER$102</definedName>
    <definedName name="A127827122L_Latest">Data1!$ER$102</definedName>
    <definedName name="A127827123R">Data1!$FV$1:$FV$10,Data1!$FV$11:$FV$102</definedName>
    <definedName name="A127827123R_Data">Data1!$FV$11:$FV$102</definedName>
    <definedName name="A127827123R_Latest">Data1!$FV$102</definedName>
    <definedName name="A127827124T">Data1!$FS$1:$FS$10,Data1!$FS$11:$FS$102</definedName>
    <definedName name="A127827124T_Data">Data1!$FS$11:$FS$102</definedName>
    <definedName name="A127827124T_Latest">Data1!$FS$102</definedName>
    <definedName name="A127827125V">Data1!$FJ$1:$FJ$10,Data1!$FJ$11:$FJ$102</definedName>
    <definedName name="A127827125V_Data">Data1!$FJ$11:$FJ$102</definedName>
    <definedName name="A127827125V_Latest">Data1!$FJ$102</definedName>
    <definedName name="A127827126W">Data1!$EU$1:$EU$10,Data1!$EU$11:$EU$102</definedName>
    <definedName name="A127827126W_Data">Data1!$EU$11:$EU$102</definedName>
    <definedName name="A127827126W_Latest">Data1!$EU$102</definedName>
    <definedName name="A127827127X">Data1!$EI$1:$EI$10,Data1!$EI$11:$EI$102</definedName>
    <definedName name="A127827127X_Data">Data1!$EI$11:$EI$102</definedName>
    <definedName name="A127827127X_Latest">Data1!$EI$102</definedName>
    <definedName name="A127827128A">Data1!$EO$1:$EO$10,Data1!$EO$11:$EO$102</definedName>
    <definedName name="A127827128A_Data">Data1!$EO$11:$EO$102</definedName>
    <definedName name="A127827128A_Latest">Data1!$EO$102</definedName>
    <definedName name="A127827129C">Data1!$EL$1:$EL$10,Data1!$EL$11:$EL$102</definedName>
    <definedName name="A127827129C_Data">Data1!$EL$11:$EL$102</definedName>
    <definedName name="A127827129C_Latest">Data1!$EL$102</definedName>
    <definedName name="A127827130L">Data1!$FD$1:$FD$10,Data1!$FD$11:$FD$102</definedName>
    <definedName name="A127827130L_Data">Data1!$FD$11:$FD$102</definedName>
    <definedName name="A127827130L_Latest">Data1!$FD$102</definedName>
    <definedName name="A127827131R">Data1!$FY$1:$FY$10,Data1!$FY$11:$FY$102</definedName>
    <definedName name="A127827131R_Data">Data1!$FY$11:$FY$102</definedName>
    <definedName name="A127827131R_Latest">Data1!$FY$102</definedName>
    <definedName name="A127827147J">Data2!$IC$1:$IC$10,Data2!$IC$11:$IC$102</definedName>
    <definedName name="A127827147J_Data">Data2!$IC$11:$IC$102</definedName>
    <definedName name="A127827147J_Latest">Data2!$IC$102</definedName>
    <definedName name="A127827148K">Data2!$HT$1:$HT$10,Data2!$HT$11:$HT$102</definedName>
    <definedName name="A127827148K_Data">Data2!$HT$11:$HT$102</definedName>
    <definedName name="A127827148K_Latest">Data2!$HT$102</definedName>
    <definedName name="A127827149L">Data2!$HN$1:$HN$10,Data2!$HN$11:$HN$102</definedName>
    <definedName name="A127827149L_Data">Data2!$HN$11:$HN$102</definedName>
    <definedName name="A127827149L_Latest">Data2!$HN$102</definedName>
    <definedName name="A127827150W">Data2!$HZ$1:$HZ$10,Data2!$HZ$11:$HZ$102</definedName>
    <definedName name="A127827150W_Data">Data2!$HZ$11:$HZ$102</definedName>
    <definedName name="A127827150W_Latest">Data2!$HZ$102</definedName>
    <definedName name="A127827151X">Data2!$HK$1:$HK$10,Data2!$HK$11:$HK$102</definedName>
    <definedName name="A127827151X_Data">Data2!$HK$11:$HK$102</definedName>
    <definedName name="A127827151X_Latest">Data2!$HK$102</definedName>
    <definedName name="A127827152A">Data2!$HE$1:$HE$10,Data2!$HE$11:$HE$102</definedName>
    <definedName name="A127827152A_Data">Data2!$HE$11:$HE$102</definedName>
    <definedName name="A127827152A_Latest">Data2!$HE$102</definedName>
    <definedName name="A127827153C">Data2!$II$1:$II$10,Data2!$II$11:$II$102</definedName>
    <definedName name="A127827153C_Data">Data2!$II$11:$II$102</definedName>
    <definedName name="A127827153C_Latest">Data2!$II$102</definedName>
    <definedName name="A127827154F">Data2!$IF$1:$IF$10,Data2!$IF$11:$IF$102</definedName>
    <definedName name="A127827154F_Data">Data2!$IF$11:$IF$102</definedName>
    <definedName name="A127827154F_Latest">Data2!$IF$102</definedName>
    <definedName name="A127827155J">Data2!$HW$1:$HW$10,Data2!$HW$11:$HW$102</definedName>
    <definedName name="A127827155J_Data">Data2!$HW$11:$HW$102</definedName>
    <definedName name="A127827155J_Latest">Data2!$HW$102</definedName>
    <definedName name="A127827156K">Data2!$HH$1:$HH$10,Data2!$HH$11:$HH$102</definedName>
    <definedName name="A127827156K_Data">Data2!$HH$11:$HH$102</definedName>
    <definedName name="A127827156K_Latest">Data2!$HH$102</definedName>
    <definedName name="A127827157L">Data2!$GV$1:$GV$10,Data2!$GV$11:$GV$102</definedName>
    <definedName name="A127827157L_Data">Data2!$GV$11:$GV$102</definedName>
    <definedName name="A127827157L_Latest">Data2!$GV$102</definedName>
    <definedName name="A127827158R">Data2!$HB$1:$HB$10,Data2!$HB$11:$HB$102</definedName>
    <definedName name="A127827158R_Data">Data2!$HB$11:$HB$102</definedName>
    <definedName name="A127827158R_Latest">Data2!$HB$102</definedName>
    <definedName name="A127827159T">Data2!$GY$1:$GY$10,Data2!$GY$11:$GY$102</definedName>
    <definedName name="A127827159T_Data">Data2!$GY$11:$GY$102</definedName>
    <definedName name="A127827159T_Latest">Data2!$GY$102</definedName>
    <definedName name="A127827160A">Data2!$HQ$1:$HQ$10,Data2!$HQ$11:$HQ$102</definedName>
    <definedName name="A127827160A_Data">Data2!$HQ$11:$HQ$102</definedName>
    <definedName name="A127827160A_Latest">Data2!$HQ$102</definedName>
    <definedName name="A127827161C">Data2!$IL$1:$IL$10,Data2!$IL$11:$IL$102</definedName>
    <definedName name="A127827161C_Data">Data2!$IL$11:$IL$102</definedName>
    <definedName name="A127827161C_Latest">Data2!$IL$102</definedName>
    <definedName name="A127827177W">Data1!$DW$1:$DW$10,Data1!$DW$11:$DW$102</definedName>
    <definedName name="A127827177W_Data">Data1!$DW$11:$DW$102</definedName>
    <definedName name="A127827177W_Latest">Data1!$DW$102</definedName>
    <definedName name="A127827178X">Data1!$DN$1:$DN$10,Data1!$DN$11:$DN$102</definedName>
    <definedName name="A127827178X_Data">Data1!$DN$11:$DN$102</definedName>
    <definedName name="A127827178X_Latest">Data1!$DN$102</definedName>
    <definedName name="A127827179A">Data1!$DH$1:$DH$10,Data1!$DH$11:$DH$102</definedName>
    <definedName name="A127827179A_Data">Data1!$DH$11:$DH$102</definedName>
    <definedName name="A127827179A_Latest">Data1!$DH$102</definedName>
    <definedName name="A127827180K">Data1!$DT$1:$DT$10,Data1!$DT$11:$DT$102</definedName>
    <definedName name="A127827180K_Data">Data1!$DT$11:$DT$102</definedName>
    <definedName name="A127827180K_Latest">Data1!$DT$102</definedName>
    <definedName name="A127827181L">Data1!$DE$1:$DE$10,Data1!$DE$11:$DE$102</definedName>
    <definedName name="A127827181L_Data">Data1!$DE$11:$DE$102</definedName>
    <definedName name="A127827181L_Latest">Data1!$DE$102</definedName>
    <definedName name="A127827182R">Data1!$CY$1:$CY$10,Data1!$CY$11:$CY$102</definedName>
    <definedName name="A127827182R_Data">Data1!$CY$11:$CY$102</definedName>
    <definedName name="A127827182R_Latest">Data1!$CY$102</definedName>
    <definedName name="A127827183T">Data1!$EC$1:$EC$10,Data1!$EC$11:$EC$102</definedName>
    <definedName name="A127827183T_Data">Data1!$EC$11:$EC$102</definedName>
    <definedName name="A127827183T_Latest">Data1!$EC$102</definedName>
    <definedName name="A127827184V">Data1!$DZ$1:$DZ$10,Data1!$DZ$11:$DZ$102</definedName>
    <definedName name="A127827184V_Data">Data1!$DZ$11:$DZ$102</definedName>
    <definedName name="A127827184V_Latest">Data1!$DZ$102</definedName>
    <definedName name="A127827185W">Data1!$DQ$1:$DQ$10,Data1!$DQ$11:$DQ$102</definedName>
    <definedName name="A127827185W_Data">Data1!$DQ$11:$DQ$102</definedName>
    <definedName name="A127827185W_Latest">Data1!$DQ$102</definedName>
    <definedName name="A127827186X">Data1!$DB$1:$DB$10,Data1!$DB$11:$DB$102</definedName>
    <definedName name="A127827186X_Data">Data1!$DB$11:$DB$102</definedName>
    <definedName name="A127827186X_Latest">Data1!$DB$102</definedName>
    <definedName name="A127827187A">Data1!$CP$1:$CP$10,Data1!$CP$11:$CP$102</definedName>
    <definedName name="A127827187A_Data">Data1!$CP$11:$CP$102</definedName>
    <definedName name="A127827187A_Latest">Data1!$CP$102</definedName>
    <definedName name="A127827188C">Data1!$CV$1:$CV$10,Data1!$CV$11:$CV$102</definedName>
    <definedName name="A127827188C_Data">Data1!$CV$11:$CV$102</definedName>
    <definedName name="A127827188C_Latest">Data1!$CV$102</definedName>
    <definedName name="A127827189F">Data1!$CS$1:$CS$10,Data1!$CS$11:$CS$102</definedName>
    <definedName name="A127827189F_Data">Data1!$CS$11:$CS$102</definedName>
    <definedName name="A127827189F_Latest">Data1!$CS$102</definedName>
    <definedName name="A127827190R">Data1!$DK$1:$DK$10,Data1!$DK$11:$DK$102</definedName>
    <definedName name="A127827190R_Data">Data1!$DK$11:$DK$102</definedName>
    <definedName name="A127827190R_Latest">Data1!$DK$102</definedName>
    <definedName name="A127827191T">Data1!$EF$1:$EF$10,Data1!$EF$11:$EF$102</definedName>
    <definedName name="A127827191T_Data">Data1!$EF$11:$EF$102</definedName>
    <definedName name="A127827191T_Latest">Data1!$EF$102</definedName>
    <definedName name="A127827207X">Data2!$CX$1:$CX$10,Data2!$CX$11:$CX$102</definedName>
    <definedName name="A127827207X_Data">Data2!$CX$11:$CX$102</definedName>
    <definedName name="A127827207X_Latest">Data2!$CX$102</definedName>
    <definedName name="A127827208A">Data2!$CO$1:$CO$10,Data2!$CO$11:$CO$102</definedName>
    <definedName name="A127827208A_Data">Data2!$CO$11:$CO$102</definedName>
    <definedName name="A127827208A_Latest">Data2!$CO$102</definedName>
    <definedName name="A127827209C">Data2!$CI$1:$CI$10,Data2!$CI$11:$CI$102</definedName>
    <definedName name="A127827209C_Data">Data2!$CI$11:$CI$102</definedName>
    <definedName name="A127827209C_Latest">Data2!$CI$102</definedName>
    <definedName name="A127827210L">Data2!$CU$1:$CU$10,Data2!$CU$11:$CU$102</definedName>
    <definedName name="A127827210L_Data">Data2!$CU$11:$CU$102</definedName>
    <definedName name="A127827210L_Latest">Data2!$CU$102</definedName>
    <definedName name="A127827211R">Data2!$CF$1:$CF$10,Data2!$CF$11:$CF$102</definedName>
    <definedName name="A127827211R_Data">Data2!$CF$11:$CF$102</definedName>
    <definedName name="A127827211R_Latest">Data2!$CF$102</definedName>
    <definedName name="A127827212T">Data2!$BZ$1:$BZ$10,Data2!$BZ$11:$BZ$102</definedName>
    <definedName name="A127827212T_Data">Data2!$BZ$11:$BZ$102</definedName>
    <definedName name="A127827212T_Latest">Data2!$BZ$102</definedName>
    <definedName name="A127827213V">Data2!$DD$1:$DD$10,Data2!$DD$11:$DD$102</definedName>
    <definedName name="A127827213V_Data">Data2!$DD$11:$DD$102</definedName>
    <definedName name="A127827213V_Latest">Data2!$DD$102</definedName>
    <definedName name="A127827214W">Data2!$DA$1:$DA$10,Data2!$DA$11:$DA$102</definedName>
    <definedName name="A127827214W_Data">Data2!$DA$11:$DA$102</definedName>
    <definedName name="A127827214W_Latest">Data2!$DA$102</definedName>
    <definedName name="A127827215X">Data2!$CR$1:$CR$10,Data2!$CR$11:$CR$102</definedName>
    <definedName name="A127827215X_Data">Data2!$CR$11:$CR$102</definedName>
    <definedName name="A127827215X_Latest">Data2!$CR$102</definedName>
    <definedName name="A127827216A">Data2!$CC$1:$CC$10,Data2!$CC$11:$CC$102</definedName>
    <definedName name="A127827216A_Data">Data2!$CC$11:$CC$102</definedName>
    <definedName name="A127827216A_Latest">Data2!$CC$102</definedName>
    <definedName name="A127827217C">Data2!$BQ$1:$BQ$10,Data2!$BQ$11:$BQ$102</definedName>
    <definedName name="A127827217C_Data">Data2!$BQ$11:$BQ$102</definedName>
    <definedName name="A127827217C_Latest">Data2!$BQ$102</definedName>
    <definedName name="A127827218F">Data2!$BW$1:$BW$10,Data2!$BW$11:$BW$102</definedName>
    <definedName name="A127827218F_Data">Data2!$BW$11:$BW$102</definedName>
    <definedName name="A127827218F_Latest">Data2!$BW$102</definedName>
    <definedName name="A127827219J">Data2!$BT$1:$BT$10,Data2!$BT$11:$BT$102</definedName>
    <definedName name="A127827219J_Data">Data2!$BT$11:$BT$102</definedName>
    <definedName name="A127827219J_Latest">Data2!$BT$102</definedName>
    <definedName name="A127827220T">Data2!$CL$1:$CL$10,Data2!$CL$11:$CL$102</definedName>
    <definedName name="A127827220T_Data">Data2!$CL$11:$CL$102</definedName>
    <definedName name="A127827220T_Latest">Data2!$CL$102</definedName>
    <definedName name="A127827221V">Data2!$DG$1:$DG$10,Data2!$DG$11:$DG$102</definedName>
    <definedName name="A127827221V_Data">Data2!$DG$11:$DG$102</definedName>
    <definedName name="A127827221V_Latest">Data2!$DG$102</definedName>
    <definedName name="A127827237L">Data1!$AK$1:$AK$10,Data1!$AK$11:$AK$102</definedName>
    <definedName name="A127827237L_Data">Data1!$AK$11:$AK$102</definedName>
    <definedName name="A127827237L_Latest">Data1!$AK$102</definedName>
    <definedName name="A127827238R">Data1!$AB$1:$AB$10,Data1!$AB$11:$AB$102</definedName>
    <definedName name="A127827238R_Data">Data1!$AB$11:$AB$102</definedName>
    <definedName name="A127827238R_Latest">Data1!$AB$102</definedName>
    <definedName name="A127827239T">Data1!$V$1:$V$10,Data1!$V$11:$V$102</definedName>
    <definedName name="A127827239T_Data">Data1!$V$11:$V$102</definedName>
    <definedName name="A127827239T_Latest">Data1!$V$102</definedName>
    <definedName name="A127827240A">Data1!$AH$1:$AH$10,Data1!$AH$11:$AH$102</definedName>
    <definedName name="A127827240A_Data">Data1!$AH$11:$AH$102</definedName>
    <definedName name="A127827240A_Latest">Data1!$AH$102</definedName>
    <definedName name="A127827241C">Data1!$S$1:$S$10,Data1!$S$11:$S$102</definedName>
    <definedName name="A127827241C_Data">Data1!$S$11:$S$102</definedName>
    <definedName name="A127827241C_Latest">Data1!$S$102</definedName>
    <definedName name="A127827242F">Data1!$M$1:$M$10,Data1!$M$11:$M$102</definedName>
    <definedName name="A127827242F_Data">Data1!$M$11:$M$102</definedName>
    <definedName name="A127827242F_Latest">Data1!$M$102</definedName>
    <definedName name="A127827243J">Data1!$AQ$1:$AQ$10,Data1!$AQ$11:$AQ$102</definedName>
    <definedName name="A127827243J_Data">Data1!$AQ$11:$AQ$102</definedName>
    <definedName name="A127827243J_Latest">Data1!$AQ$102</definedName>
    <definedName name="A127827244K">Data1!$AN$1:$AN$10,Data1!$AN$11:$AN$102</definedName>
    <definedName name="A127827244K_Data">Data1!$AN$11:$AN$102</definedName>
    <definedName name="A127827244K_Latest">Data1!$AN$102</definedName>
    <definedName name="A127827245L">Data1!$AE$1:$AE$10,Data1!$AE$11:$AE$102</definedName>
    <definedName name="A127827245L_Data">Data1!$AE$11:$AE$102</definedName>
    <definedName name="A127827245L_Latest">Data1!$AE$102</definedName>
    <definedName name="A127827246R">Data1!$P$1:$P$10,Data1!$P$11:$P$102</definedName>
    <definedName name="A127827246R_Data">Data1!$P$11:$P$102</definedName>
    <definedName name="A127827246R_Latest">Data1!$P$102</definedName>
    <definedName name="A127827247T">Data1!$D$1:$D$10,Data1!$D$11:$D$102</definedName>
    <definedName name="A127827247T_Data">Data1!$D$11:$D$102</definedName>
    <definedName name="A127827247T_Latest">Data1!$D$102</definedName>
    <definedName name="A127827248V">Data1!$J$1:$J$10,Data1!$J$11:$J$102</definedName>
    <definedName name="A127827248V_Data">Data1!$J$11:$J$102</definedName>
    <definedName name="A127827248V_Latest">Data1!$J$102</definedName>
    <definedName name="A127827249W">Data1!$G$1:$G$10,Data1!$G$11:$G$102</definedName>
    <definedName name="A127827249W_Data">Data1!$G$11:$G$102</definedName>
    <definedName name="A127827249W_Latest">Data1!$G$102</definedName>
    <definedName name="A127827250F">Data1!$Y$1:$Y$10,Data1!$Y$11:$Y$102</definedName>
    <definedName name="A127827250F_Data">Data1!$Y$11:$Y$102</definedName>
    <definedName name="A127827250F_Latest">Data1!$Y$102</definedName>
    <definedName name="A127827251J">Data1!$AT$1:$AT$10,Data1!$AT$11:$AT$102</definedName>
    <definedName name="A127827251J_Data">Data1!$AT$11:$AT$102</definedName>
    <definedName name="A127827251J_Latest">Data1!$AT$102</definedName>
    <definedName name="A127827267A">Data2!$L$1:$L$10,Data2!$L$11:$L$102</definedName>
    <definedName name="A127827267A_Data">Data2!$L$11:$L$102</definedName>
    <definedName name="A127827267A_Latest">Data2!$L$102</definedName>
    <definedName name="A127827268C">Data2!$C$1:$C$10,Data2!$C$11:$C$102</definedName>
    <definedName name="A127827268C_Data">Data2!$C$11:$C$102</definedName>
    <definedName name="A127827268C_Latest">Data2!$C$102</definedName>
    <definedName name="A127827269F">Data1!$IM$1:$IM$10,Data1!$IM$11:$IM$102</definedName>
    <definedName name="A127827269F_Data">Data1!$IM$11:$IM$102</definedName>
    <definedName name="A127827269F_Latest">Data1!$IM$102</definedName>
    <definedName name="A127827270R">Data2!$I$1:$I$10,Data2!$I$11:$I$102</definedName>
    <definedName name="A127827270R_Data">Data2!$I$11:$I$102</definedName>
    <definedName name="A127827270R_Latest">Data2!$I$102</definedName>
    <definedName name="A127827271T">Data1!$IJ$1:$IJ$10,Data1!$IJ$11:$IJ$102</definedName>
    <definedName name="A127827271T_Data">Data1!$IJ$11:$IJ$102</definedName>
    <definedName name="A127827271T_Latest">Data1!$IJ$102</definedName>
    <definedName name="A127827272V">Data1!$ID$1:$ID$10,Data1!$ID$11:$ID$102</definedName>
    <definedName name="A127827272V_Data">Data1!$ID$11:$ID$102</definedName>
    <definedName name="A127827272V_Latest">Data1!$ID$102</definedName>
    <definedName name="A127827273W">Data2!$R$1:$R$10,Data2!$R$11:$R$102</definedName>
    <definedName name="A127827273W_Data">Data2!$R$11:$R$102</definedName>
    <definedName name="A127827273W_Latest">Data2!$R$102</definedName>
    <definedName name="A127827274X">Data2!$O$1:$O$10,Data2!$O$11:$O$102</definedName>
    <definedName name="A127827274X_Data">Data2!$O$11:$O$102</definedName>
    <definedName name="A127827274X_Latest">Data2!$O$102</definedName>
    <definedName name="A127827275A">Data2!$F$1:$F$10,Data2!$F$11:$F$102</definedName>
    <definedName name="A127827275A_Data">Data2!$F$11:$F$102</definedName>
    <definedName name="A127827275A_Latest">Data2!$F$102</definedName>
    <definedName name="A127827276C">Data1!$IG$1:$IG$10,Data1!$IG$11:$IG$102</definedName>
    <definedName name="A127827276C_Data">Data1!$IG$11:$IG$102</definedName>
    <definedName name="A127827276C_Latest">Data1!$IG$102</definedName>
    <definedName name="A127827277F">Data1!$HU$1:$HU$10,Data1!$HU$11:$HU$102</definedName>
    <definedName name="A127827277F_Data">Data1!$HU$11:$HU$102</definedName>
    <definedName name="A127827277F_Latest">Data1!$HU$102</definedName>
    <definedName name="A127827278J">Data1!$IA$1:$IA$10,Data1!$IA$11:$IA$102</definedName>
    <definedName name="A127827278J_Data">Data1!$IA$11:$IA$102</definedName>
    <definedName name="A127827278J_Latest">Data1!$IA$102</definedName>
    <definedName name="A127827279K">Data1!$HX$1:$HX$10,Data1!$HX$11:$HX$102</definedName>
    <definedName name="A127827279K_Data">Data1!$HX$11:$HX$102</definedName>
    <definedName name="A127827279K_Latest">Data1!$HX$102</definedName>
    <definedName name="A127827280V">Data1!$IP$1:$IP$10,Data1!$IP$11:$IP$102</definedName>
    <definedName name="A127827280V_Data">Data1!$IP$11:$IP$102</definedName>
    <definedName name="A127827280V_Latest">Data1!$IP$102</definedName>
    <definedName name="A127827281W">Data2!$U$1:$U$10,Data2!$U$11:$U$102</definedName>
    <definedName name="A127827281W_Data">Data2!$U$11:$U$102</definedName>
    <definedName name="A127827281W_Latest">Data2!$U$102</definedName>
    <definedName name="A127827297R">Data2!$BE$1:$BE$10,Data2!$BE$11:$BE$102</definedName>
    <definedName name="A127827297R_Data">Data2!$BE$11:$BE$102</definedName>
    <definedName name="A127827297R_Latest">Data2!$BE$102</definedName>
    <definedName name="A127827298T">Data2!$AV$1:$AV$10,Data2!$AV$11:$AV$102</definedName>
    <definedName name="A127827298T_Data">Data2!$AV$11:$AV$102</definedName>
    <definedName name="A127827298T_Latest">Data2!$AV$102</definedName>
    <definedName name="A127827299V">Data2!$AP$1:$AP$10,Data2!$AP$11:$AP$102</definedName>
    <definedName name="A127827299V_Data">Data2!$AP$11:$AP$102</definedName>
    <definedName name="A127827299V_Latest">Data2!$AP$102</definedName>
    <definedName name="A127827300T">Data2!$BB$1:$BB$10,Data2!$BB$11:$BB$102</definedName>
    <definedName name="A127827300T_Data">Data2!$BB$11:$BB$102</definedName>
    <definedName name="A127827300T_Latest">Data2!$BB$102</definedName>
    <definedName name="A127827301V">Data2!$AM$1:$AM$10,Data2!$AM$11:$AM$102</definedName>
    <definedName name="A127827301V_Data">Data2!$AM$11:$AM$102</definedName>
    <definedName name="A127827301V_Latest">Data2!$AM$102</definedName>
    <definedName name="A127827302W">Data2!$AG$1:$AG$10,Data2!$AG$11:$AG$102</definedName>
    <definedName name="A127827302W_Data">Data2!$AG$11:$AG$102</definedName>
    <definedName name="A127827302W_Latest">Data2!$AG$102</definedName>
    <definedName name="A127827303X">Data2!$BK$1:$BK$10,Data2!$BK$11:$BK$102</definedName>
    <definedName name="A127827303X_Data">Data2!$BK$11:$BK$102</definedName>
    <definedName name="A127827303X_Latest">Data2!$BK$102</definedName>
    <definedName name="A127827304A">Data2!$BH$1:$BH$10,Data2!$BH$11:$BH$102</definedName>
    <definedName name="A127827304A_Data">Data2!$BH$11:$BH$102</definedName>
    <definedName name="A127827304A_Latest">Data2!$BH$102</definedName>
    <definedName name="A127827305C">Data2!$AY$1:$AY$10,Data2!$AY$11:$AY$102</definedName>
    <definedName name="A127827305C_Data">Data2!$AY$11:$AY$102</definedName>
    <definedName name="A127827305C_Latest">Data2!$AY$102</definedName>
    <definedName name="A127827306F">Data2!$AJ$1:$AJ$10,Data2!$AJ$11:$AJ$102</definedName>
    <definedName name="A127827306F_Data">Data2!$AJ$11:$AJ$102</definedName>
    <definedName name="A127827306F_Latest">Data2!$AJ$102</definedName>
    <definedName name="A127827307J">Data2!$X$1:$X$10,Data2!$X$11:$X$102</definedName>
    <definedName name="A127827307J_Data">Data2!$X$11:$X$102</definedName>
    <definedName name="A127827307J_Latest">Data2!$X$102</definedName>
    <definedName name="A127827308K">Data2!$AD$1:$AD$10,Data2!$AD$11:$AD$102</definedName>
    <definedName name="A127827308K_Data">Data2!$AD$11:$AD$102</definedName>
    <definedName name="A127827308K_Latest">Data2!$AD$102</definedName>
    <definedName name="A127827309L">Data2!$AA$1:$AA$10,Data2!$AA$11:$AA$102</definedName>
    <definedName name="A127827309L_Data">Data2!$AA$11:$AA$102</definedName>
    <definedName name="A127827309L_Latest">Data2!$AA$102</definedName>
    <definedName name="A127827310W">Data2!$AS$1:$AS$10,Data2!$AS$11:$AS$102</definedName>
    <definedName name="A127827310W_Data">Data2!$AS$11:$AS$102</definedName>
    <definedName name="A127827310W_Latest">Data2!$AS$102</definedName>
    <definedName name="A127827311X">Data2!$BN$1:$BN$10,Data2!$BN$11:$BN$102</definedName>
    <definedName name="A127827311X_Data">Data2!$BN$11:$BN$102</definedName>
    <definedName name="A127827311X_Latest">Data2!$BN$102</definedName>
    <definedName name="A127827567C">Data3!$BY$1:$BY$10,Data3!$BY$11:$BY$102</definedName>
    <definedName name="A127827567C_Data">Data3!$BY$11:$BY$102</definedName>
    <definedName name="A127827567C_Latest">Data3!$BY$102</definedName>
    <definedName name="A127827568F">Data3!$BP$1:$BP$10,Data3!$BP$11:$BP$102</definedName>
    <definedName name="A127827568F_Data">Data3!$BP$11:$BP$102</definedName>
    <definedName name="A127827568F_Latest">Data3!$BP$102</definedName>
    <definedName name="A127827569J">Data3!$BJ$1:$BJ$10,Data3!$BJ$11:$BJ$102</definedName>
    <definedName name="A127827569J_Data">Data3!$BJ$11:$BJ$102</definedName>
    <definedName name="A127827569J_Latest">Data3!$BJ$102</definedName>
    <definedName name="A127827570T">Data3!$BV$1:$BV$10,Data3!$BV$11:$BV$102</definedName>
    <definedName name="A127827570T_Data">Data3!$BV$11:$BV$102</definedName>
    <definedName name="A127827570T_Latest">Data3!$BV$102</definedName>
    <definedName name="A127827571V">Data3!$BG$1:$BG$10,Data3!$BG$11:$BG$102</definedName>
    <definedName name="A127827571V_Data">Data3!$BG$11:$BG$102</definedName>
    <definedName name="A127827571V_Latest">Data3!$BG$102</definedName>
    <definedName name="A127827572W">Data3!$BA$1:$BA$10,Data3!$BA$11:$BA$102</definedName>
    <definedName name="A127827572W_Data">Data3!$BA$11:$BA$102</definedName>
    <definedName name="A127827572W_Latest">Data3!$BA$102</definedName>
    <definedName name="A127827573X">Data3!$CE$1:$CE$10,Data3!$CE$11:$CE$102</definedName>
    <definedName name="A127827573X_Data">Data3!$CE$11:$CE$102</definedName>
    <definedName name="A127827573X_Latest">Data3!$CE$102</definedName>
    <definedName name="A127827574A">Data3!$CB$1:$CB$10,Data3!$CB$11:$CB$102</definedName>
    <definedName name="A127827574A_Data">Data3!$CB$11:$CB$102</definedName>
    <definedName name="A127827574A_Latest">Data3!$CB$102</definedName>
    <definedName name="A127827575C">Data3!$BS$1:$BS$10,Data3!$BS$11:$BS$102</definedName>
    <definedName name="A127827575C_Data">Data3!$BS$11:$BS$102</definedName>
    <definedName name="A127827575C_Latest">Data3!$BS$102</definedName>
    <definedName name="A127827576F">Data3!$BD$1:$BD$10,Data3!$BD$11:$BD$102</definedName>
    <definedName name="A127827576F_Data">Data3!$BD$11:$BD$102</definedName>
    <definedName name="A127827576F_Latest">Data3!$BD$102</definedName>
    <definedName name="A127827577J">Data3!$AR$1:$AR$10,Data3!$AR$11:$AR$102</definedName>
    <definedName name="A127827577J_Data">Data3!$AR$11:$AR$102</definedName>
    <definedName name="A127827577J_Latest">Data3!$AR$102</definedName>
    <definedName name="A127827578K">Data3!$AX$1:$AX$10,Data3!$AX$11:$AX$102</definedName>
    <definedName name="A127827578K_Data">Data3!$AX$11:$AX$102</definedName>
    <definedName name="A127827578K_Latest">Data3!$AX$102</definedName>
    <definedName name="A127827579L">Data3!$AU$1:$AU$10,Data3!$AU$11:$AU$102</definedName>
    <definedName name="A127827579L_Data">Data3!$AU$11:$AU$102</definedName>
    <definedName name="A127827579L_Latest">Data3!$AU$102</definedName>
    <definedName name="A127827580W">Data3!$BM$1:$BM$10,Data3!$BM$11:$BM$102</definedName>
    <definedName name="A127827580W_Data">Data3!$BM$11:$BM$102</definedName>
    <definedName name="A127827580W_Latest">Data3!$BM$102</definedName>
    <definedName name="A127827581X">Data3!$CH$1:$CH$10,Data3!$CH$11:$CH$102</definedName>
    <definedName name="A127827581X_Data">Data3!$CH$11:$CH$102</definedName>
    <definedName name="A127827581X_Latest">Data3!$CH$102</definedName>
    <definedName name="A127827897V">Data3!$HD$1:$HD$10,Data3!$HD$11:$HD$102</definedName>
    <definedName name="A127827897V_Data">Data3!$HD$11:$HD$102</definedName>
    <definedName name="A127827897V_Latest">Data3!$HD$102</definedName>
    <definedName name="A127827898W">Data3!$GU$1:$GU$10,Data3!$GU$11:$GU$102</definedName>
    <definedName name="A127827898W_Data">Data3!$GU$11:$GU$102</definedName>
    <definedName name="A127827898W_Latest">Data3!$GU$102</definedName>
    <definedName name="A127827899X">Data3!$GO$1:$GO$10,Data3!$GO$11:$GO$102</definedName>
    <definedName name="A127827899X_Data">Data3!$GO$11:$GO$102</definedName>
    <definedName name="A127827899X_Latest">Data3!$GO$102</definedName>
    <definedName name="A127827900W">Data3!$HA$1:$HA$10,Data3!$HA$11:$HA$102</definedName>
    <definedName name="A127827900W_Data">Data3!$HA$11:$HA$102</definedName>
    <definedName name="A127827900W_Latest">Data3!$HA$102</definedName>
    <definedName name="A127827901X">Data3!$GL$1:$GL$10,Data3!$GL$11:$GL$102</definedName>
    <definedName name="A127827901X_Data">Data3!$GL$11:$GL$102</definedName>
    <definedName name="A127827901X_Latest">Data3!$GL$102</definedName>
    <definedName name="A127827902A">Data3!$GF$1:$GF$10,Data3!$GF$11:$GF$102</definedName>
    <definedName name="A127827902A_Data">Data3!$GF$11:$GF$102</definedName>
    <definedName name="A127827902A_Latest">Data3!$GF$102</definedName>
    <definedName name="A127827903C">Data3!$HJ$1:$HJ$10,Data3!$HJ$11:$HJ$102</definedName>
    <definedName name="A127827903C_Data">Data3!$HJ$11:$HJ$102</definedName>
    <definedName name="A127827903C_Latest">Data3!$HJ$102</definedName>
    <definedName name="A127827904F">Data3!$HG$1:$HG$10,Data3!$HG$11:$HG$102</definedName>
    <definedName name="A127827904F_Data">Data3!$HG$11:$HG$102</definedName>
    <definedName name="A127827904F_Latest">Data3!$HG$102</definedName>
    <definedName name="A127827905J">Data3!$GX$1:$GX$10,Data3!$GX$11:$GX$102</definedName>
    <definedName name="A127827905J_Data">Data3!$GX$11:$GX$102</definedName>
    <definedName name="A127827905J_Latest">Data3!$GX$102</definedName>
    <definedName name="A127827906K">Data3!$GI$1:$GI$10,Data3!$GI$11:$GI$102</definedName>
    <definedName name="A127827906K_Data">Data3!$GI$11:$GI$102</definedName>
    <definedName name="A127827906K_Latest">Data3!$GI$102</definedName>
    <definedName name="A127827907L">Data3!$FW$1:$FW$10,Data3!$FW$11:$FW$102</definedName>
    <definedName name="A127827907L_Data">Data3!$FW$11:$FW$102</definedName>
    <definedName name="A127827907L_Latest">Data3!$FW$102</definedName>
    <definedName name="A127827908R">Data3!$GC$1:$GC$10,Data3!$GC$11:$GC$102</definedName>
    <definedName name="A127827908R_Data">Data3!$GC$11:$GC$102</definedName>
    <definedName name="A127827908R_Latest">Data3!$GC$102</definedName>
    <definedName name="A127827909T">Data3!$FZ$1:$FZ$10,Data3!$FZ$11:$FZ$102</definedName>
    <definedName name="A127827909T_Data">Data3!$FZ$11:$FZ$102</definedName>
    <definedName name="A127827909T_Latest">Data3!$FZ$102</definedName>
    <definedName name="A127827910A">Data3!$GR$1:$GR$10,Data3!$GR$11:$GR$102</definedName>
    <definedName name="A127827910A_Data">Data3!$GR$11:$GR$102</definedName>
    <definedName name="A127827910A_Latest">Data3!$GR$102</definedName>
    <definedName name="A127827911C">Data3!$HM$1:$HM$10,Data3!$HM$11:$HM$102</definedName>
    <definedName name="A127827911C_Data">Data3!$HM$11:$HM$102</definedName>
    <definedName name="A127827911C_Latest">Data3!$HM$102</definedName>
    <definedName name="A127828227A">Data4!$G$1:$G$10,Data4!$G$11:$G$102</definedName>
    <definedName name="A127828227A_Data">Data4!$G$11:$G$102</definedName>
    <definedName name="A127828227A_Latest">Data4!$G$102</definedName>
    <definedName name="A127828228C">Data3!$IN$1:$IN$10,Data3!$IN$11:$IN$102</definedName>
    <definedName name="A127828228C_Data">Data3!$IN$11:$IN$102</definedName>
    <definedName name="A127828228C_Latest">Data3!$IN$102</definedName>
    <definedName name="A127828229F">Data3!$IH$1:$IH$10,Data3!$IH$11:$IH$102</definedName>
    <definedName name="A127828229F_Data">Data3!$IH$11:$IH$102</definedName>
    <definedName name="A127828229F_Latest">Data3!$IH$102</definedName>
    <definedName name="A127828230R">Data4!$D$1:$D$10,Data4!$D$11:$D$102</definedName>
    <definedName name="A127828230R_Data">Data4!$D$11:$D$102</definedName>
    <definedName name="A127828230R_Latest">Data4!$D$102</definedName>
    <definedName name="A127828231T">Data3!$IE$1:$IE$10,Data3!$IE$11:$IE$102</definedName>
    <definedName name="A127828231T_Data">Data3!$IE$11:$IE$102</definedName>
    <definedName name="A127828231T_Latest">Data3!$IE$102</definedName>
    <definedName name="A127828232V">Data3!$HY$1:$HY$10,Data3!$HY$11:$HY$102</definedName>
    <definedName name="A127828232V_Data">Data3!$HY$11:$HY$102</definedName>
    <definedName name="A127828232V_Latest">Data3!$HY$102</definedName>
    <definedName name="A127828233W">Data4!$M$1:$M$10,Data4!$M$11:$M$102</definedName>
    <definedName name="A127828233W_Data">Data4!$M$11:$M$102</definedName>
    <definedName name="A127828233W_Latest">Data4!$M$102</definedName>
    <definedName name="A127828234X">Data4!$J$1:$J$10,Data4!$J$11:$J$102</definedName>
    <definedName name="A127828234X_Data">Data4!$J$11:$J$102</definedName>
    <definedName name="A127828234X_Latest">Data4!$J$102</definedName>
    <definedName name="A127828235A">Data3!$IQ$1:$IQ$10,Data3!$IQ$11:$IQ$102</definedName>
    <definedName name="A127828235A_Data">Data3!$IQ$11:$IQ$102</definedName>
    <definedName name="A127828235A_Latest">Data3!$IQ$102</definedName>
    <definedName name="A127828236C">Data3!$IB$1:$IB$10,Data3!$IB$11:$IB$102</definedName>
    <definedName name="A127828236C_Data">Data3!$IB$11:$IB$102</definedName>
    <definedName name="A127828236C_Latest">Data3!$IB$102</definedName>
    <definedName name="A127828237F">Data3!$HP$1:$HP$10,Data3!$HP$11:$HP$102</definedName>
    <definedName name="A127828237F_Data">Data3!$HP$11:$HP$102</definedName>
    <definedName name="A127828237F_Latest">Data3!$HP$102</definedName>
    <definedName name="A127828238J">Data3!$HV$1:$HV$10,Data3!$HV$11:$HV$102</definedName>
    <definedName name="A127828238J_Data">Data3!$HV$11:$HV$102</definedName>
    <definedName name="A127828238J_Latest">Data3!$HV$102</definedName>
    <definedName name="A127828239K">Data3!$HS$1:$HS$10,Data3!$HS$11:$HS$102</definedName>
    <definedName name="A127828239K_Data">Data3!$HS$11:$HS$102</definedName>
    <definedName name="A127828239K_Latest">Data3!$HS$102</definedName>
    <definedName name="A127828240V">Data3!$IK$1:$IK$10,Data3!$IK$11:$IK$102</definedName>
    <definedName name="A127828240V_Data">Data3!$IK$11:$IK$102</definedName>
    <definedName name="A127828240V_Latest">Data3!$IK$102</definedName>
    <definedName name="A127828241W">Data4!$P$1:$P$10,Data4!$P$11:$P$102</definedName>
    <definedName name="A127828241W_Data">Data4!$P$11:$P$102</definedName>
    <definedName name="A127828241W_Latest">Data4!$P$102</definedName>
    <definedName name="A127828557T">Data4!$AZ$1:$AZ$10,Data4!$AZ$11:$AZ$102</definedName>
    <definedName name="A127828557T_Data">Data4!$AZ$11:$AZ$102</definedName>
    <definedName name="A127828557T_Latest">Data4!$AZ$102</definedName>
    <definedName name="A127828558V">Data4!$AQ$1:$AQ$10,Data4!$AQ$11:$AQ$102</definedName>
    <definedName name="A127828558V_Data">Data4!$AQ$11:$AQ$102</definedName>
    <definedName name="A127828558V_Latest">Data4!$AQ$102</definedName>
    <definedName name="A127828559W">Data4!$AK$1:$AK$10,Data4!$AK$11:$AK$102</definedName>
    <definedName name="A127828559W_Data">Data4!$AK$11:$AK$102</definedName>
    <definedName name="A127828559W_Latest">Data4!$AK$102</definedName>
    <definedName name="A127828560F">Data4!$AW$1:$AW$10,Data4!$AW$11:$AW$102</definedName>
    <definedName name="A127828560F_Data">Data4!$AW$11:$AW$102</definedName>
    <definedName name="A127828560F_Latest">Data4!$AW$102</definedName>
    <definedName name="A127828561J">Data4!$AH$1:$AH$10,Data4!$AH$11:$AH$102</definedName>
    <definedName name="A127828561J_Data">Data4!$AH$11:$AH$102</definedName>
    <definedName name="A127828561J_Latest">Data4!$AH$102</definedName>
    <definedName name="A127828562K">Data4!$AB$1:$AB$10,Data4!$AB$11:$AB$102</definedName>
    <definedName name="A127828562K_Data">Data4!$AB$11:$AB$102</definedName>
    <definedName name="A127828562K_Latest">Data4!$AB$102</definedName>
    <definedName name="A127828563L">Data4!$BF$1:$BF$10,Data4!$BF$11:$BF$102</definedName>
    <definedName name="A127828563L_Data">Data4!$BF$11:$BF$102</definedName>
    <definedName name="A127828563L_Latest">Data4!$BF$102</definedName>
    <definedName name="A127828564R">Data4!$BC$1:$BC$10,Data4!$BC$11:$BC$102</definedName>
    <definedName name="A127828564R_Data">Data4!$BC$11:$BC$102</definedName>
    <definedName name="A127828564R_Latest">Data4!$BC$102</definedName>
    <definedName name="A127828565T">Data4!$AT$1:$AT$10,Data4!$AT$11:$AT$102</definedName>
    <definedName name="A127828565T_Data">Data4!$AT$11:$AT$102</definedName>
    <definedName name="A127828565T_Latest">Data4!$AT$102</definedName>
    <definedName name="A127828566V">Data4!$AE$1:$AE$10,Data4!$AE$11:$AE$102</definedName>
    <definedName name="A127828566V_Data">Data4!$AE$11:$AE$102</definedName>
    <definedName name="A127828566V_Latest">Data4!$AE$102</definedName>
    <definedName name="A127828567W">Data4!$S$1:$S$10,Data4!$S$11:$S$102</definedName>
    <definedName name="A127828567W_Data">Data4!$S$11:$S$102</definedName>
    <definedName name="A127828567W_Latest">Data4!$S$102</definedName>
    <definedName name="A127828568X">Data4!$Y$1:$Y$10,Data4!$Y$11:$Y$102</definedName>
    <definedName name="A127828568X_Data">Data4!$Y$11:$Y$102</definedName>
    <definedName name="A127828568X_Latest">Data4!$Y$102</definedName>
    <definedName name="A127828569A">Data4!$V$1:$V$10,Data4!$V$11:$V$102</definedName>
    <definedName name="A127828569A_Data">Data4!$V$11:$V$102</definedName>
    <definedName name="A127828569A_Latest">Data4!$V$102</definedName>
    <definedName name="A127828570K">Data4!$AN$1:$AN$10,Data4!$AN$11:$AN$102</definedName>
    <definedName name="A127828570K_Data">Data4!$AN$11:$AN$102</definedName>
    <definedName name="A127828570K_Latest">Data4!$AN$102</definedName>
    <definedName name="A127828571L">Data4!$BI$1:$BI$10,Data4!$BI$11:$BI$102</definedName>
    <definedName name="A127828571L_Data">Data4!$BI$11:$BI$102</definedName>
    <definedName name="A127828571L_Latest">Data4!$BI$102</definedName>
    <definedName name="A127828887J">Data3!$AF$1:$AF$10,Data3!$AF$11:$AF$102</definedName>
    <definedName name="A127828887J_Data">Data3!$AF$11:$AF$102</definedName>
    <definedName name="A127828887J_Latest">Data3!$AF$102</definedName>
    <definedName name="A127828888K">Data3!$W$1:$W$10,Data3!$W$11:$W$102</definedName>
    <definedName name="A127828888K_Data">Data3!$W$11:$W$102</definedName>
    <definedName name="A127828888K_Latest">Data3!$W$102</definedName>
    <definedName name="A127828889L">Data3!$Q$1:$Q$10,Data3!$Q$11:$Q$102</definedName>
    <definedName name="A127828889L_Data">Data3!$Q$11:$Q$102</definedName>
    <definedName name="A127828889L_Latest">Data3!$Q$102</definedName>
    <definedName name="A127828890W">Data3!$AC$1:$AC$10,Data3!$AC$11:$AC$102</definedName>
    <definedName name="A127828890W_Data">Data3!$AC$11:$AC$102</definedName>
    <definedName name="A127828890W_Latest">Data3!$AC$102</definedName>
    <definedName name="A127828891X">Data3!$N$1:$N$10,Data3!$N$11:$N$102</definedName>
    <definedName name="A127828891X_Data">Data3!$N$11:$N$102</definedName>
    <definedName name="A127828891X_Latest">Data3!$N$102</definedName>
    <definedName name="A127828892A">Data3!$H$1:$H$10,Data3!$H$11:$H$102</definedName>
    <definedName name="A127828892A_Data">Data3!$H$11:$H$102</definedName>
    <definedName name="A127828892A_Latest">Data3!$H$102</definedName>
    <definedName name="A127828893C">Data3!$AL$1:$AL$10,Data3!$AL$11:$AL$102</definedName>
    <definedName name="A127828893C_Data">Data3!$AL$11:$AL$102</definedName>
    <definedName name="A127828893C_Latest">Data3!$AL$102</definedName>
    <definedName name="A127828894F">Data3!$AI$1:$AI$10,Data3!$AI$11:$AI$102</definedName>
    <definedName name="A127828894F_Data">Data3!$AI$11:$AI$102</definedName>
    <definedName name="A127828894F_Latest">Data3!$AI$102</definedName>
    <definedName name="A127828895J">Data3!$Z$1:$Z$10,Data3!$Z$11:$Z$102</definedName>
    <definedName name="A127828895J_Data">Data3!$Z$11:$Z$102</definedName>
    <definedName name="A127828895J_Latest">Data3!$Z$102</definedName>
    <definedName name="A127828896K">Data3!$K$1:$K$10,Data3!$K$11:$K$102</definedName>
    <definedName name="A127828896K_Data">Data3!$K$11:$K$102</definedName>
    <definedName name="A127828896K_Latest">Data3!$K$102</definedName>
    <definedName name="A127828897L">Data2!$IO$1:$IO$10,Data2!$IO$11:$IO$102</definedName>
    <definedName name="A127828897L_Data">Data2!$IO$11:$IO$102</definedName>
    <definedName name="A127828897L_Latest">Data2!$IO$102</definedName>
    <definedName name="A127828898R">Data3!$E$1:$E$10,Data3!$E$11:$E$102</definedName>
    <definedName name="A127828898R_Data">Data3!$E$11:$E$102</definedName>
    <definedName name="A127828898R_Latest">Data3!$E$102</definedName>
    <definedName name="A127828899T">Data3!$B$1:$B$10,Data3!$B$11:$B$102</definedName>
    <definedName name="A127828899T_Data">Data3!$B$11:$B$102</definedName>
    <definedName name="A127828899T_Latest">Data3!$B$102</definedName>
    <definedName name="A127828900R">Data3!$T$1:$T$10,Data3!$T$11:$T$102</definedName>
    <definedName name="A127828900R_Data">Data3!$T$11:$T$102</definedName>
    <definedName name="A127828900R_Latest">Data3!$T$102</definedName>
    <definedName name="A127828901T">Data3!$AO$1:$AO$10,Data3!$AO$11:$AO$102</definedName>
    <definedName name="A127828901T_Data">Data3!$AO$11:$AO$102</definedName>
    <definedName name="A127828901T_Latest">Data3!$AO$102</definedName>
    <definedName name="A127829217R">Data3!$DR$1:$DR$10,Data3!$DR$11:$DR$102</definedName>
    <definedName name="A127829217R_Data">Data3!$DR$11:$DR$102</definedName>
    <definedName name="A127829217R_Latest">Data3!$DR$102</definedName>
    <definedName name="A127829218T">Data3!$DI$1:$DI$10,Data3!$DI$11:$DI$102</definedName>
    <definedName name="A127829218T_Data">Data3!$DI$11:$DI$102</definedName>
    <definedName name="A127829218T_Latest">Data3!$DI$102</definedName>
    <definedName name="A127829219V">Data3!$DC$1:$DC$10,Data3!$DC$11:$DC$102</definedName>
    <definedName name="A127829219V_Data">Data3!$DC$11:$DC$102</definedName>
    <definedName name="A127829219V_Latest">Data3!$DC$102</definedName>
    <definedName name="A127829220C">Data3!$DO$1:$DO$10,Data3!$DO$11:$DO$102</definedName>
    <definedName name="A127829220C_Data">Data3!$DO$11:$DO$102</definedName>
    <definedName name="A127829220C_Latest">Data3!$DO$102</definedName>
    <definedName name="A127829221F">Data3!$CZ$1:$CZ$10,Data3!$CZ$11:$CZ$102</definedName>
    <definedName name="A127829221F_Data">Data3!$CZ$11:$CZ$102</definedName>
    <definedName name="A127829221F_Latest">Data3!$CZ$102</definedName>
    <definedName name="A127829222J">Data3!$CT$1:$CT$10,Data3!$CT$11:$CT$102</definedName>
    <definedName name="A127829222J_Data">Data3!$CT$11:$CT$102</definedName>
    <definedName name="A127829222J_Latest">Data3!$CT$102</definedName>
    <definedName name="A127829223K">Data3!$DX$1:$DX$10,Data3!$DX$11:$DX$102</definedName>
    <definedName name="A127829223K_Data">Data3!$DX$11:$DX$102</definedName>
    <definedName name="A127829223K_Latest">Data3!$DX$102</definedName>
    <definedName name="A127829224L">Data3!$DU$1:$DU$10,Data3!$DU$11:$DU$102</definedName>
    <definedName name="A127829224L_Data">Data3!$DU$11:$DU$102</definedName>
    <definedName name="A127829224L_Latest">Data3!$DU$102</definedName>
    <definedName name="A127829225R">Data3!$DL$1:$DL$10,Data3!$DL$11:$DL$102</definedName>
    <definedName name="A127829225R_Data">Data3!$DL$11:$DL$102</definedName>
    <definedName name="A127829225R_Latest">Data3!$DL$102</definedName>
    <definedName name="A127829226T">Data3!$CW$1:$CW$10,Data3!$CW$11:$CW$102</definedName>
    <definedName name="A127829226T_Data">Data3!$CW$11:$CW$102</definedName>
    <definedName name="A127829226T_Latest">Data3!$CW$102</definedName>
    <definedName name="A127829227V">Data3!$CK$1:$CK$10,Data3!$CK$11:$CK$102</definedName>
    <definedName name="A127829227V_Data">Data3!$CK$11:$CK$102</definedName>
    <definedName name="A127829227V_Latest">Data3!$CK$102</definedName>
    <definedName name="A127829228W">Data3!$CQ$1:$CQ$10,Data3!$CQ$11:$CQ$102</definedName>
    <definedName name="A127829228W_Data">Data3!$CQ$11:$CQ$102</definedName>
    <definedName name="A127829228W_Latest">Data3!$CQ$102</definedName>
    <definedName name="A127829229X">Data3!$CN$1:$CN$10,Data3!$CN$11:$CN$102</definedName>
    <definedName name="A127829229X_Data">Data3!$CN$11:$CN$102</definedName>
    <definedName name="A127829229X_Latest">Data3!$CN$102</definedName>
    <definedName name="A127829230J">Data3!$DF$1:$DF$10,Data3!$DF$11:$DF$102</definedName>
    <definedName name="A127829230J_Data">Data3!$DF$11:$DF$102</definedName>
    <definedName name="A127829230J_Latest">Data3!$DF$102</definedName>
    <definedName name="A127829231K">Data3!$EA$1:$EA$10,Data3!$EA$11:$EA$102</definedName>
    <definedName name="A127829231K_Data">Data3!$EA$11:$EA$102</definedName>
    <definedName name="A127829231K_Latest">Data3!$EA$102</definedName>
    <definedName name="A127829547F">Data3!$FK$1:$FK$10,Data3!$FK$11:$FK$102</definedName>
    <definedName name="A127829547F_Data">Data3!$FK$11:$FK$102</definedName>
    <definedName name="A127829547F_Latest">Data3!$FK$102</definedName>
    <definedName name="A127829548J">Data3!$FB$1:$FB$10,Data3!$FB$11:$FB$102</definedName>
    <definedName name="A127829548J_Data">Data3!$FB$11:$FB$102</definedName>
    <definedName name="A127829548J_Latest">Data3!$FB$102</definedName>
    <definedName name="A127829549K">Data3!$EV$1:$EV$10,Data3!$EV$11:$EV$102</definedName>
    <definedName name="A127829549K_Data">Data3!$EV$11:$EV$102</definedName>
    <definedName name="A127829549K_Latest">Data3!$EV$102</definedName>
    <definedName name="A127829550V">Data3!$FH$1:$FH$10,Data3!$FH$11:$FH$102</definedName>
    <definedName name="A127829550V_Data">Data3!$FH$11:$FH$102</definedName>
    <definedName name="A127829550V_Latest">Data3!$FH$102</definedName>
    <definedName name="A127829551W">Data3!$ES$1:$ES$10,Data3!$ES$11:$ES$102</definedName>
    <definedName name="A127829551W_Data">Data3!$ES$11:$ES$102</definedName>
    <definedName name="A127829551W_Latest">Data3!$ES$102</definedName>
    <definedName name="A127829552X">Data3!$EM$1:$EM$10,Data3!$EM$11:$EM$102</definedName>
    <definedName name="A127829552X_Data">Data3!$EM$11:$EM$102</definedName>
    <definedName name="A127829552X_Latest">Data3!$EM$102</definedName>
    <definedName name="A127829553A">Data3!$FQ$1:$FQ$10,Data3!$FQ$11:$FQ$102</definedName>
    <definedName name="A127829553A_Data">Data3!$FQ$11:$FQ$102</definedName>
    <definedName name="A127829553A_Latest">Data3!$FQ$102</definedName>
    <definedName name="A127829554C">Data3!$FN$1:$FN$10,Data3!$FN$11:$FN$102</definedName>
    <definedName name="A127829554C_Data">Data3!$FN$11:$FN$102</definedName>
    <definedName name="A127829554C_Latest">Data3!$FN$102</definedName>
    <definedName name="A127829555F">Data3!$FE$1:$FE$10,Data3!$FE$11:$FE$102</definedName>
    <definedName name="A127829555F_Data">Data3!$FE$11:$FE$102</definedName>
    <definedName name="A127829555F_Latest">Data3!$FE$102</definedName>
    <definedName name="A127829556J">Data3!$EP$1:$EP$10,Data3!$EP$11:$EP$102</definedName>
    <definedName name="A127829556J_Data">Data3!$EP$11:$EP$102</definedName>
    <definedName name="A127829556J_Latest">Data3!$EP$102</definedName>
    <definedName name="A127829557K">Data3!$ED$1:$ED$10,Data3!$ED$11:$ED$102</definedName>
    <definedName name="A127829557K_Data">Data3!$ED$11:$ED$102</definedName>
    <definedName name="A127829557K_Latest">Data3!$ED$102</definedName>
    <definedName name="A127829558L">Data3!$EJ$1:$EJ$10,Data3!$EJ$11:$EJ$102</definedName>
    <definedName name="A127829558L_Data">Data3!$EJ$11:$EJ$102</definedName>
    <definedName name="A127829558L_Latest">Data3!$EJ$102</definedName>
    <definedName name="A127829559R">Data3!$EG$1:$EG$10,Data3!$EG$11:$EG$102</definedName>
    <definedName name="A127829559R_Data">Data3!$EG$11:$EG$102</definedName>
    <definedName name="A127829559R_Latest">Data3!$EG$102</definedName>
    <definedName name="A127829560X">Data3!$EY$1:$EY$10,Data3!$EY$11:$EY$102</definedName>
    <definedName name="A127829560X_Data">Data3!$EY$11:$EY$102</definedName>
    <definedName name="A127829560X_Latest">Data3!$EY$102</definedName>
    <definedName name="A127829561A">Data3!$FT$1:$FT$10,Data3!$FT$11:$FT$102</definedName>
    <definedName name="A127829561A_Data">Data3!$FT$11:$FT$102</definedName>
    <definedName name="A127829561A_Latest">Data3!$FT$102</definedName>
    <definedName name="A127829877W">Data4!$CR$1:$CR$10,Data4!$CR$11:$CR$102</definedName>
    <definedName name="A127829877W_Data">Data4!$CR$11:$CR$102</definedName>
    <definedName name="A127829877W_Latest">Data4!$CR$102</definedName>
    <definedName name="A127829878X">Data4!$CI$1:$CI$10,Data4!$CI$11:$CI$102</definedName>
    <definedName name="A127829878X_Data">Data4!$CI$11:$CI$102</definedName>
    <definedName name="A127829878X_Latest">Data4!$CI$102</definedName>
    <definedName name="A127829879A">Data4!$CC$1:$CC$10,Data4!$CC$11:$CC$102</definedName>
    <definedName name="A127829879A_Data">Data4!$CC$11:$CC$102</definedName>
    <definedName name="A127829879A_Latest">Data4!$CC$102</definedName>
    <definedName name="A127829880K">Data4!$CO$1:$CO$10,Data4!$CO$11:$CO$102</definedName>
    <definedName name="A127829880K_Data">Data4!$CO$11:$CO$102</definedName>
    <definedName name="A127829880K_Latest">Data4!$CO$102</definedName>
    <definedName name="A127829881L">Data4!$BZ$1:$BZ$10,Data4!$BZ$11:$BZ$102</definedName>
    <definedName name="A127829881L_Data">Data4!$BZ$11:$BZ$102</definedName>
    <definedName name="A127829881L_Latest">Data4!$BZ$102</definedName>
    <definedName name="A127829882R">Data4!$BT$1:$BT$10,Data4!$BT$11:$BT$102</definedName>
    <definedName name="A127829882R_Data">Data4!$BT$11:$BT$102</definedName>
    <definedName name="A127829882R_Latest">Data4!$BT$102</definedName>
    <definedName name="A127829883T">Data4!$CX$1:$CX$10,Data4!$CX$11:$CX$102</definedName>
    <definedName name="A127829883T_Data">Data4!$CX$11:$CX$102</definedName>
    <definedName name="A127829883T_Latest">Data4!$CX$102</definedName>
    <definedName name="A127829884V">Data4!$CU$1:$CU$10,Data4!$CU$11:$CU$102</definedName>
    <definedName name="A127829884V_Data">Data4!$CU$11:$CU$102</definedName>
    <definedName name="A127829884V_Latest">Data4!$CU$102</definedName>
    <definedName name="A127829885W">Data4!$CL$1:$CL$10,Data4!$CL$11:$CL$102</definedName>
    <definedName name="A127829885W_Data">Data4!$CL$11:$CL$102</definedName>
    <definedName name="A127829885W_Latest">Data4!$CL$102</definedName>
    <definedName name="A127829886X">Data4!$BW$1:$BW$10,Data4!$BW$11:$BW$102</definedName>
    <definedName name="A127829886X_Data">Data4!$BW$11:$BW$102</definedName>
    <definedName name="A127829886X_Latest">Data4!$BW$102</definedName>
    <definedName name="A127829887A">Data4!$BK$1:$BK$10,Data4!$BK$11:$BK$102</definedName>
    <definedName name="A127829887A_Data">Data4!$BK$11:$BK$102</definedName>
    <definedName name="A127829887A_Latest">Data4!$BK$102</definedName>
    <definedName name="A127829888C">Data4!$BQ$1:$BQ$10,Data4!$BQ$11:$BQ$102</definedName>
    <definedName name="A127829888C_Data">Data4!$BQ$11:$BQ$102</definedName>
    <definedName name="A127829888C_Latest">Data4!$BQ$102</definedName>
    <definedName name="A127829889F">Data4!$BN$1:$BN$10,Data4!$BN$11:$BN$102</definedName>
    <definedName name="A127829889F_Data">Data4!$BN$11:$BN$102</definedName>
    <definedName name="A127829889F_Latest">Data4!$BN$102</definedName>
    <definedName name="A127829890R">Data4!$CF$1:$CF$10,Data4!$CF$11:$CF$102</definedName>
    <definedName name="A127829890R_Data">Data4!$CF$11:$CF$102</definedName>
    <definedName name="A127829890R_Latest">Data4!$CF$102</definedName>
    <definedName name="A127829891T">Data4!$DA$1:$DA$10,Data4!$DA$11:$DA$102</definedName>
    <definedName name="A127829891T_Data">Data4!$DA$11:$DA$102</definedName>
    <definedName name="A127829891T_Latest">Data4!$DA$102</definedName>
    <definedName name="A127829967A">Data1!$CC$1:$CC$10,Data1!$CC$11:$CC$102</definedName>
    <definedName name="A127829967A_Data">Data1!$CC$11:$CC$102</definedName>
    <definedName name="A127829967A_Latest">Data1!$CC$102</definedName>
    <definedName name="A127829968C">Data1!$BT$1:$BT$10,Data1!$BT$11:$BT$102</definedName>
    <definedName name="A127829968C_Data">Data1!$BT$11:$BT$102</definedName>
    <definedName name="A127829968C_Latest">Data1!$BT$102</definedName>
    <definedName name="A127829969F">Data1!$BN$1:$BN$10,Data1!$BN$11:$BN$102</definedName>
    <definedName name="A127829969F_Data">Data1!$BN$11:$BN$102</definedName>
    <definedName name="A127829969F_Latest">Data1!$BN$102</definedName>
    <definedName name="A127829970R">Data1!$BZ$1:$BZ$10,Data1!$BZ$11:$BZ$102</definedName>
    <definedName name="A127829970R_Data">Data1!$BZ$11:$BZ$102</definedName>
    <definedName name="A127829970R_Latest">Data1!$BZ$102</definedName>
    <definedName name="A127829971T">Data1!$BK$1:$BK$10,Data1!$BK$11:$BK$102</definedName>
    <definedName name="A127829971T_Data">Data1!$BK$11:$BK$102</definedName>
    <definedName name="A127829971T_Latest">Data1!$BK$102</definedName>
    <definedName name="A127829972V">Data1!$BE$1:$BE$10,Data1!$BE$11:$BE$102</definedName>
    <definedName name="A127829972V_Data">Data1!$BE$11:$BE$102</definedName>
    <definedName name="A127829972V_Latest">Data1!$BE$102</definedName>
    <definedName name="A127829973W">Data1!$CI$1:$CI$10,Data1!$CI$11:$CI$102</definedName>
    <definedName name="A127829973W_Data">Data1!$CI$11:$CI$102</definedName>
    <definedName name="A127829973W_Latest">Data1!$CI$102</definedName>
    <definedName name="A127829974X">Data1!$CF$1:$CF$10,Data1!$CF$11:$CF$102</definedName>
    <definedName name="A127829974X_Data">Data1!$CF$11:$CF$102</definedName>
    <definedName name="A127829974X_Latest">Data1!$CF$102</definedName>
    <definedName name="A127829975A">Data1!$BW$1:$BW$10,Data1!$BW$11:$BW$102</definedName>
    <definedName name="A127829975A_Data">Data1!$BW$11:$BW$102</definedName>
    <definedName name="A127829975A_Latest">Data1!$BW$102</definedName>
    <definedName name="A127829976C">Data1!$BH$1:$BH$10,Data1!$BH$11:$BH$102</definedName>
    <definedName name="A127829976C_Data">Data1!$BH$11:$BH$102</definedName>
    <definedName name="A127829976C_Latest">Data1!$BH$102</definedName>
    <definedName name="A127829977F">Data1!$AV$1:$AV$10,Data1!$AV$11:$AV$102</definedName>
    <definedName name="A127829977F_Data">Data1!$AV$11:$AV$102</definedName>
    <definedName name="A127829977F_Latest">Data1!$AV$102</definedName>
    <definedName name="A127829978J">Data1!$BB$1:$BB$10,Data1!$BB$11:$BB$102</definedName>
    <definedName name="A127829978J_Data">Data1!$BB$11:$BB$102</definedName>
    <definedName name="A127829978J_Latest">Data1!$BB$102</definedName>
    <definedName name="A127829979K">Data1!$AY$1:$AY$10,Data1!$AY$11:$AY$102</definedName>
    <definedName name="A127829979K_Data">Data1!$AY$11:$AY$102</definedName>
    <definedName name="A127829979K_Latest">Data1!$AY$102</definedName>
    <definedName name="A127829980V">Data1!$BQ$1:$BQ$10,Data1!$BQ$11:$BQ$102</definedName>
    <definedName name="A127829980V_Data">Data1!$BQ$11:$BQ$102</definedName>
    <definedName name="A127829980V_Latest">Data1!$BQ$102</definedName>
    <definedName name="A127829981W">Data1!$CL$1:$CL$10,Data1!$CL$11:$CL$102</definedName>
    <definedName name="A127829981W_Data">Data1!$CL$11:$CL$102</definedName>
    <definedName name="A127829981W_Latest">Data1!$CL$102</definedName>
    <definedName name="A127829997R">Data2!$GI$1:$GI$10,Data2!$GI$11:$GI$102</definedName>
    <definedName name="A127829997R_Data">Data2!$GI$11:$GI$102</definedName>
    <definedName name="A127829997R_Latest">Data2!$GI$102</definedName>
    <definedName name="A127829998T">Data2!$FZ$1:$FZ$10,Data2!$FZ$11:$FZ$102</definedName>
    <definedName name="A127829998T_Data">Data2!$FZ$11:$FZ$102</definedName>
    <definedName name="A127829998T_Latest">Data2!$FZ$102</definedName>
    <definedName name="A127829999V">Data2!$FT$1:$FT$10,Data2!$FT$11:$FT$102</definedName>
    <definedName name="A127829999V_Data">Data2!$FT$11:$FT$102</definedName>
    <definedName name="A127829999V_Latest">Data2!$FT$102</definedName>
    <definedName name="A127830000X">Data2!$GF$1:$GF$10,Data2!$GF$11:$GF$102</definedName>
    <definedName name="A127830000X_Data">Data2!$GF$11:$GF$102</definedName>
    <definedName name="A127830000X_Latest">Data2!$GF$102</definedName>
    <definedName name="A127830001A">Data2!$FQ$1:$FQ$10,Data2!$FQ$11:$FQ$102</definedName>
    <definedName name="A127830001A_Data">Data2!$FQ$11:$FQ$102</definedName>
    <definedName name="A127830001A_Latest">Data2!$FQ$102</definedName>
    <definedName name="A127830002C">Data2!$FK$1:$FK$10,Data2!$FK$11:$FK$102</definedName>
    <definedName name="A127830002C_Data">Data2!$FK$11:$FK$102</definedName>
    <definedName name="A127830002C_Latest">Data2!$FK$102</definedName>
    <definedName name="A127830003F">Data2!$GO$1:$GO$10,Data2!$GO$11:$GO$102</definedName>
    <definedName name="A127830003F_Data">Data2!$GO$11:$GO$102</definedName>
    <definedName name="A127830003F_Latest">Data2!$GO$102</definedName>
    <definedName name="A127830004J">Data2!$GL$1:$GL$10,Data2!$GL$11:$GL$102</definedName>
    <definedName name="A127830004J_Data">Data2!$GL$11:$GL$102</definedName>
    <definedName name="A127830004J_Latest">Data2!$GL$102</definedName>
    <definedName name="A127830005K">Data2!$GC$1:$GC$10,Data2!$GC$11:$GC$102</definedName>
    <definedName name="A127830005K_Data">Data2!$GC$11:$GC$102</definedName>
    <definedName name="A127830005K_Latest">Data2!$GC$102</definedName>
    <definedName name="A127830006L">Data2!$FN$1:$FN$10,Data2!$FN$11:$FN$102</definedName>
    <definedName name="A127830006L_Data">Data2!$FN$11:$FN$102</definedName>
    <definedName name="A127830006L_Latest">Data2!$FN$102</definedName>
    <definedName name="A127830007R">Data2!$FB$1:$FB$10,Data2!$FB$11:$FB$102</definedName>
    <definedName name="A127830007R_Data">Data2!$FB$11:$FB$102</definedName>
    <definedName name="A127830007R_Latest">Data2!$FB$102</definedName>
    <definedName name="A127830008T">Data2!$FH$1:$FH$10,Data2!$FH$11:$FH$102</definedName>
    <definedName name="A127830008T_Data">Data2!$FH$11:$FH$102</definedName>
    <definedName name="A127830008T_Latest">Data2!$FH$102</definedName>
    <definedName name="A127830009V">Data2!$FE$1:$FE$10,Data2!$FE$11:$FE$102</definedName>
    <definedName name="A127830009V_Data">Data2!$FE$11:$FE$102</definedName>
    <definedName name="A127830009V_Latest">Data2!$FE$102</definedName>
    <definedName name="A127830010C">Data2!$FW$1:$FW$10,Data2!$FW$11:$FW$102</definedName>
    <definedName name="A127830010C_Data">Data2!$FW$11:$FW$102</definedName>
    <definedName name="A127830010C_Latest">Data2!$FW$102</definedName>
    <definedName name="A127830011F">Data2!$GR$1:$GR$10,Data2!$GR$11:$GR$102</definedName>
    <definedName name="A127830011F_Data">Data2!$GR$11:$GR$102</definedName>
    <definedName name="A127830011F_Latest">Data2!$GR$102</definedName>
    <definedName name="A127830027X">Data2!$EP$1:$EP$10,Data2!$EP$11:$EP$102</definedName>
    <definedName name="A127830027X_Data">Data2!$EP$11:$EP$102</definedName>
    <definedName name="A127830027X_Latest">Data2!$EP$102</definedName>
    <definedName name="A127830028A">Data2!$EG$1:$EG$10,Data2!$EG$11:$EG$102</definedName>
    <definedName name="A127830028A_Data">Data2!$EG$11:$EG$102</definedName>
    <definedName name="A127830028A_Latest">Data2!$EG$102</definedName>
    <definedName name="A127830029C">Data2!$EA$1:$EA$10,Data2!$EA$11:$EA$102</definedName>
    <definedName name="A127830029C_Data">Data2!$EA$11:$EA$102</definedName>
    <definedName name="A127830029C_Latest">Data2!$EA$102</definedName>
    <definedName name="A127830030L">Data2!$EM$1:$EM$10,Data2!$EM$11:$EM$102</definedName>
    <definedName name="A127830030L_Data">Data2!$EM$11:$EM$102</definedName>
    <definedName name="A127830030L_Latest">Data2!$EM$102</definedName>
    <definedName name="A127830031R">Data2!$DX$1:$DX$10,Data2!$DX$11:$DX$102</definedName>
    <definedName name="A127830031R_Data">Data2!$DX$11:$DX$102</definedName>
    <definedName name="A127830031R_Latest">Data2!$DX$102</definedName>
    <definedName name="A127830032T">Data2!$DR$1:$DR$10,Data2!$DR$11:$DR$102</definedName>
    <definedName name="A127830032T_Data">Data2!$DR$11:$DR$102</definedName>
    <definedName name="A127830032T_Latest">Data2!$DR$102</definedName>
    <definedName name="A127830033V">Data2!$EV$1:$EV$10,Data2!$EV$11:$EV$102</definedName>
    <definedName name="A127830033V_Data">Data2!$EV$11:$EV$102</definedName>
    <definedName name="A127830033V_Latest">Data2!$EV$102</definedName>
    <definedName name="A127830034W">Data2!$ES$1:$ES$10,Data2!$ES$11:$ES$102</definedName>
    <definedName name="A127830034W_Data">Data2!$ES$11:$ES$102</definedName>
    <definedName name="A127830034W_Latest">Data2!$ES$102</definedName>
    <definedName name="A127830035X">Data2!$EJ$1:$EJ$10,Data2!$EJ$11:$EJ$102</definedName>
    <definedName name="A127830035X_Data">Data2!$EJ$11:$EJ$102</definedName>
    <definedName name="A127830035X_Latest">Data2!$EJ$102</definedName>
    <definedName name="A127830036A">Data2!$DU$1:$DU$10,Data2!$DU$11:$DU$102</definedName>
    <definedName name="A127830036A_Data">Data2!$DU$11:$DU$102</definedName>
    <definedName name="A127830036A_Latest">Data2!$DU$102</definedName>
    <definedName name="A127830037C">Data2!$DI$1:$DI$10,Data2!$DI$11:$DI$102</definedName>
    <definedName name="A127830037C_Data">Data2!$DI$11:$DI$102</definedName>
    <definedName name="A127830037C_Latest">Data2!$DI$102</definedName>
    <definedName name="A127830038F">Data2!$DO$1:$DO$10,Data2!$DO$11:$DO$102</definedName>
    <definedName name="A127830038F_Data">Data2!$DO$11:$DO$102</definedName>
    <definedName name="A127830038F_Latest">Data2!$DO$102</definedName>
    <definedName name="A127830039J">Data2!$DL$1:$DL$10,Data2!$DL$11:$DL$102</definedName>
    <definedName name="A127830039J_Data">Data2!$DL$11:$DL$102</definedName>
    <definedName name="A127830039J_Latest">Data2!$DL$102</definedName>
    <definedName name="A127830040T">Data2!$ED$1:$ED$10,Data2!$ED$11:$ED$102</definedName>
    <definedName name="A127830040T_Data">Data2!$ED$11:$ED$102</definedName>
    <definedName name="A127830040T_Latest">Data2!$ED$102</definedName>
    <definedName name="A127830041V">Data2!$EY$1:$EY$10,Data2!$EY$11:$EY$102</definedName>
    <definedName name="A127830041V_Data">Data2!$EY$11:$EY$102</definedName>
    <definedName name="A127830041V_Latest">Data2!$EY$102</definedName>
    <definedName name="A127830057L">Data1!$HH$1:$HH$10,Data1!$HH$11:$HH$102</definedName>
    <definedName name="A127830057L_Data">Data1!$HH$11:$HH$102</definedName>
    <definedName name="A127830057L_Latest">Data1!$HH$102</definedName>
    <definedName name="A127830058R">Data1!$GY$1:$GY$10,Data1!$GY$11:$GY$102</definedName>
    <definedName name="A127830058R_Data">Data1!$GY$11:$GY$102</definedName>
    <definedName name="A127830058R_Latest">Data1!$GY$102</definedName>
    <definedName name="A127830059T">Data1!$GS$1:$GS$10,Data1!$GS$11:$GS$102</definedName>
    <definedName name="A127830059T_Data">Data1!$GS$11:$GS$102</definedName>
    <definedName name="A127830059T_Latest">Data1!$GS$102</definedName>
    <definedName name="A127830060A">Data1!$HE$1:$HE$10,Data1!$HE$11:$HE$102</definedName>
    <definedName name="A127830060A_Data">Data1!$HE$11:$HE$102</definedName>
    <definedName name="A127830060A_Latest">Data1!$HE$102</definedName>
    <definedName name="A127830061C">Data1!$GP$1:$GP$10,Data1!$GP$11:$GP$102</definedName>
    <definedName name="A127830061C_Data">Data1!$GP$11:$GP$102</definedName>
    <definedName name="A127830061C_Latest">Data1!$GP$102</definedName>
    <definedName name="A127830062F">Data1!$GJ$1:$GJ$10,Data1!$GJ$11:$GJ$102</definedName>
    <definedName name="A127830062F_Data">Data1!$GJ$11:$GJ$102</definedName>
    <definedName name="A127830062F_Latest">Data1!$GJ$102</definedName>
    <definedName name="A127830063J">Data1!$HN$1:$HN$10,Data1!$HN$11:$HN$102</definedName>
    <definedName name="A127830063J_Data">Data1!$HN$11:$HN$102</definedName>
    <definedName name="A127830063J_Latest">Data1!$HN$102</definedName>
    <definedName name="A127830064K">Data1!$HK$1:$HK$10,Data1!$HK$11:$HK$102</definedName>
    <definedName name="A127830064K_Data">Data1!$HK$11:$HK$102</definedName>
    <definedName name="A127830064K_Latest">Data1!$HK$102</definedName>
    <definedName name="A127830065L">Data1!$HB$1:$HB$10,Data1!$HB$11:$HB$102</definedName>
    <definedName name="A127830065L_Data">Data1!$HB$11:$HB$102</definedName>
    <definedName name="A127830065L_Latest">Data1!$HB$102</definedName>
    <definedName name="A127830066R">Data1!$GM$1:$GM$10,Data1!$GM$11:$GM$102</definedName>
    <definedName name="A127830066R_Data">Data1!$GM$11:$GM$102</definedName>
    <definedName name="A127830066R_Latest">Data1!$GM$102</definedName>
    <definedName name="A127830067T">Data1!$GA$1:$GA$10,Data1!$GA$11:$GA$102</definedName>
    <definedName name="A127830067T_Data">Data1!$GA$11:$GA$102</definedName>
    <definedName name="A127830067T_Latest">Data1!$GA$102</definedName>
    <definedName name="A127830068V">Data1!$GG$1:$GG$10,Data1!$GG$11:$GG$102</definedName>
    <definedName name="A127830068V_Data">Data1!$GG$11:$GG$102</definedName>
    <definedName name="A127830068V_Latest">Data1!$GG$102</definedName>
    <definedName name="A127830069W">Data1!$GD$1:$GD$10,Data1!$GD$11:$GD$102</definedName>
    <definedName name="A127830069W_Data">Data1!$GD$11:$GD$102</definedName>
    <definedName name="A127830069W_Latest">Data1!$GD$102</definedName>
    <definedName name="A127830070F">Data1!$GV$1:$GV$10,Data1!$GV$11:$GV$102</definedName>
    <definedName name="A127830070F_Data">Data1!$GV$11:$GV$102</definedName>
    <definedName name="A127830070F_Latest">Data1!$GV$102</definedName>
    <definedName name="A127830071J">Data1!$HQ$1:$HQ$10,Data1!$HQ$11:$HQ$102</definedName>
    <definedName name="A127830071J_Data">Data1!$HQ$11:$HQ$102</definedName>
    <definedName name="A127830071J_Latest">Data1!$HQ$102</definedName>
    <definedName name="A127830087A">Data1!$FO$1:$FO$10,Data1!$FO$11:$FO$102</definedName>
    <definedName name="A127830087A_Data">Data1!$FO$11:$FO$102</definedName>
    <definedName name="A127830087A_Latest">Data1!$FO$102</definedName>
    <definedName name="A127830088C">Data1!$FF$1:$FF$10,Data1!$FF$11:$FF$102</definedName>
    <definedName name="A127830088C_Data">Data1!$FF$11:$FF$102</definedName>
    <definedName name="A127830088C_Latest">Data1!$FF$102</definedName>
    <definedName name="A127830089F">Data1!$EZ$1:$EZ$10,Data1!$EZ$11:$EZ$102</definedName>
    <definedName name="A127830089F_Data">Data1!$EZ$11:$EZ$102</definedName>
    <definedName name="A127830089F_Latest">Data1!$EZ$102</definedName>
    <definedName name="A127830090R">Data1!$FL$1:$FL$10,Data1!$FL$11:$FL$102</definedName>
    <definedName name="A127830090R_Data">Data1!$FL$11:$FL$102</definedName>
    <definedName name="A127830090R_Latest">Data1!$FL$102</definedName>
    <definedName name="A127830091T">Data1!$EW$1:$EW$10,Data1!$EW$11:$EW$102</definedName>
    <definedName name="A127830091T_Data">Data1!$EW$11:$EW$102</definedName>
    <definedName name="A127830091T_Latest">Data1!$EW$102</definedName>
    <definedName name="A127830092V">Data1!$EQ$1:$EQ$10,Data1!$EQ$11:$EQ$102</definedName>
    <definedName name="A127830092V_Data">Data1!$EQ$11:$EQ$102</definedName>
    <definedName name="A127830092V_Latest">Data1!$EQ$102</definedName>
    <definedName name="A127830093W">Data1!$FU$1:$FU$10,Data1!$FU$11:$FU$102</definedName>
    <definedName name="A127830093W_Data">Data1!$FU$11:$FU$102</definedName>
    <definedName name="A127830093W_Latest">Data1!$FU$102</definedName>
    <definedName name="A127830094X">Data1!$FR$1:$FR$10,Data1!$FR$11:$FR$102</definedName>
    <definedName name="A127830094X_Data">Data1!$FR$11:$FR$102</definedName>
    <definedName name="A127830094X_Latest">Data1!$FR$102</definedName>
    <definedName name="A127830095A">Data1!$FI$1:$FI$10,Data1!$FI$11:$FI$102</definedName>
    <definedName name="A127830095A_Data">Data1!$FI$11:$FI$102</definedName>
    <definedName name="A127830095A_Latest">Data1!$FI$102</definedName>
    <definedName name="A127830096C">Data1!$ET$1:$ET$10,Data1!$ET$11:$ET$102</definedName>
    <definedName name="A127830096C_Data">Data1!$ET$11:$ET$102</definedName>
    <definedName name="A127830096C_Latest">Data1!$ET$102</definedName>
    <definedName name="A127830097F">Data1!$EH$1:$EH$10,Data1!$EH$11:$EH$102</definedName>
    <definedName name="A127830097F_Data">Data1!$EH$11:$EH$102</definedName>
    <definedName name="A127830097F_Latest">Data1!$EH$102</definedName>
    <definedName name="A127830098J">Data1!$EN$1:$EN$10,Data1!$EN$11:$EN$102</definedName>
    <definedName name="A127830098J_Data">Data1!$EN$11:$EN$102</definedName>
    <definedName name="A127830098J_Latest">Data1!$EN$102</definedName>
    <definedName name="A127830099K">Data1!$EK$1:$EK$10,Data1!$EK$11:$EK$102</definedName>
    <definedName name="A127830099K_Data">Data1!$EK$11:$EK$102</definedName>
    <definedName name="A127830099K_Latest">Data1!$EK$102</definedName>
    <definedName name="A127830100J">Data1!$FC$1:$FC$10,Data1!$FC$11:$FC$102</definedName>
    <definedName name="A127830100J_Data">Data1!$FC$11:$FC$102</definedName>
    <definedName name="A127830100J_Latest">Data1!$FC$102</definedName>
    <definedName name="A127830101K">Data1!$FX$1:$FX$10,Data1!$FX$11:$FX$102</definedName>
    <definedName name="A127830101K_Data">Data1!$FX$11:$FX$102</definedName>
    <definedName name="A127830101K_Latest">Data1!$FX$102</definedName>
    <definedName name="A127830117C">Data2!$IB$1:$IB$10,Data2!$IB$11:$IB$102</definedName>
    <definedName name="A127830117C_Data">Data2!$IB$11:$IB$102</definedName>
    <definedName name="A127830117C_Latest">Data2!$IB$102</definedName>
    <definedName name="A127830118F">Data2!$HS$1:$HS$10,Data2!$HS$11:$HS$102</definedName>
    <definedName name="A127830118F_Data">Data2!$HS$11:$HS$102</definedName>
    <definedName name="A127830118F_Latest">Data2!$HS$102</definedName>
    <definedName name="A127830119J">Data2!$HM$1:$HM$10,Data2!$HM$11:$HM$102</definedName>
    <definedName name="A127830119J_Data">Data2!$HM$11:$HM$102</definedName>
    <definedName name="A127830119J_Latest">Data2!$HM$102</definedName>
    <definedName name="A127830120T">Data2!$HY$1:$HY$10,Data2!$HY$11:$HY$102</definedName>
    <definedName name="A127830120T_Data">Data2!$HY$11:$HY$102</definedName>
    <definedName name="A127830120T_Latest">Data2!$HY$102</definedName>
    <definedName name="A127830121V">Data2!$HJ$1:$HJ$10,Data2!$HJ$11:$HJ$102</definedName>
    <definedName name="A127830121V_Data">Data2!$HJ$11:$HJ$102</definedName>
    <definedName name="A127830121V_Latest">Data2!$HJ$102</definedName>
    <definedName name="A127830122W">Data2!$HD$1:$HD$10,Data2!$HD$11:$HD$102</definedName>
    <definedName name="A127830122W_Data">Data2!$HD$11:$HD$102</definedName>
    <definedName name="A127830122W_Latest">Data2!$HD$102</definedName>
    <definedName name="A127830123X">Data2!$IH$1:$IH$10,Data2!$IH$11:$IH$102</definedName>
    <definedName name="A127830123X_Data">Data2!$IH$11:$IH$102</definedName>
    <definedName name="A127830123X_Latest">Data2!$IH$102</definedName>
    <definedName name="A127830124A">Data2!$IE$1:$IE$10,Data2!$IE$11:$IE$102</definedName>
    <definedName name="A127830124A_Data">Data2!$IE$11:$IE$102</definedName>
    <definedName name="A127830124A_Latest">Data2!$IE$102</definedName>
    <definedName name="A127830125C">Data2!$HV$1:$HV$10,Data2!$HV$11:$HV$102</definedName>
    <definedName name="A127830125C_Data">Data2!$HV$11:$HV$102</definedName>
    <definedName name="A127830125C_Latest">Data2!$HV$102</definedName>
    <definedName name="A127830126F">Data2!$HG$1:$HG$10,Data2!$HG$11:$HG$102</definedName>
    <definedName name="A127830126F_Data">Data2!$HG$11:$HG$102</definedName>
    <definedName name="A127830126F_Latest">Data2!$HG$102</definedName>
    <definedName name="A127830127J">Data2!$GU$1:$GU$10,Data2!$GU$11:$GU$102</definedName>
    <definedName name="A127830127J_Data">Data2!$GU$11:$GU$102</definedName>
    <definedName name="A127830127J_Latest">Data2!$GU$102</definedName>
    <definedName name="A127830128K">Data2!$HA$1:$HA$10,Data2!$HA$11:$HA$102</definedName>
    <definedName name="A127830128K_Data">Data2!$HA$11:$HA$102</definedName>
    <definedName name="A127830128K_Latest">Data2!$HA$102</definedName>
    <definedName name="A127830129L">Data2!$GX$1:$GX$10,Data2!$GX$11:$GX$102</definedName>
    <definedName name="A127830129L_Data">Data2!$GX$11:$GX$102</definedName>
    <definedName name="A127830129L_Latest">Data2!$GX$102</definedName>
    <definedName name="A127830130W">Data2!$HP$1:$HP$10,Data2!$HP$11:$HP$102</definedName>
    <definedName name="A127830130W_Data">Data2!$HP$11:$HP$102</definedName>
    <definedName name="A127830130W_Latest">Data2!$HP$102</definedName>
    <definedName name="A127830131X">Data2!$IK$1:$IK$10,Data2!$IK$11:$IK$102</definedName>
    <definedName name="A127830131X_Data">Data2!$IK$11:$IK$102</definedName>
    <definedName name="A127830131X_Latest">Data2!$IK$102</definedName>
    <definedName name="A127830147T">Data1!$DV$1:$DV$10,Data1!$DV$11:$DV$102</definedName>
    <definedName name="A127830147T_Data">Data1!$DV$11:$DV$102</definedName>
    <definedName name="A127830147T_Latest">Data1!$DV$102</definedName>
    <definedName name="A127830148V">Data1!$DM$1:$DM$10,Data1!$DM$11:$DM$102</definedName>
    <definedName name="A127830148V_Data">Data1!$DM$11:$DM$102</definedName>
    <definedName name="A127830148V_Latest">Data1!$DM$102</definedName>
    <definedName name="A127830149W">Data1!$DG$1:$DG$10,Data1!$DG$11:$DG$102</definedName>
    <definedName name="A127830149W_Data">Data1!$DG$11:$DG$102</definedName>
    <definedName name="A127830149W_Latest">Data1!$DG$102</definedName>
    <definedName name="A127830150F">Data1!$DS$1:$DS$10,Data1!$DS$11:$DS$102</definedName>
    <definedName name="A127830150F_Data">Data1!$DS$11:$DS$102</definedName>
    <definedName name="A127830150F_Latest">Data1!$DS$102</definedName>
    <definedName name="A127830151J">Data1!$DD$1:$DD$10,Data1!$DD$11:$DD$102</definedName>
    <definedName name="A127830151J_Data">Data1!$DD$11:$DD$102</definedName>
    <definedName name="A127830151J_Latest">Data1!$DD$102</definedName>
    <definedName name="A127830152K">Data1!$CX$1:$CX$10,Data1!$CX$11:$CX$102</definedName>
    <definedName name="A127830152K_Data">Data1!$CX$11:$CX$102</definedName>
    <definedName name="A127830152K_Latest">Data1!$CX$102</definedName>
    <definedName name="A127830153L">Data1!$EB$1:$EB$10,Data1!$EB$11:$EB$102</definedName>
    <definedName name="A127830153L_Data">Data1!$EB$11:$EB$102</definedName>
    <definedName name="A127830153L_Latest">Data1!$EB$102</definedName>
    <definedName name="A127830154R">Data1!$DY$1:$DY$10,Data1!$DY$11:$DY$102</definedName>
    <definedName name="A127830154R_Data">Data1!$DY$11:$DY$102</definedName>
    <definedName name="A127830154R_Latest">Data1!$DY$102</definedName>
    <definedName name="A127830155T">Data1!$DP$1:$DP$10,Data1!$DP$11:$DP$102</definedName>
    <definedName name="A127830155T_Data">Data1!$DP$11:$DP$102</definedName>
    <definedName name="A127830155T_Latest">Data1!$DP$102</definedName>
    <definedName name="A127830156V">Data1!$DA$1:$DA$10,Data1!$DA$11:$DA$102</definedName>
    <definedName name="A127830156V_Data">Data1!$DA$11:$DA$102</definedName>
    <definedName name="A127830156V_Latest">Data1!$DA$102</definedName>
    <definedName name="A127830157W">Data1!$CO$1:$CO$10,Data1!$CO$11:$CO$102</definedName>
    <definedName name="A127830157W_Data">Data1!$CO$11:$CO$102</definedName>
    <definedName name="A127830157W_Latest">Data1!$CO$102</definedName>
    <definedName name="A127830158X">Data1!$CU$1:$CU$10,Data1!$CU$11:$CU$102</definedName>
    <definedName name="A127830158X_Data">Data1!$CU$11:$CU$102</definedName>
    <definedName name="A127830158X_Latest">Data1!$CU$102</definedName>
    <definedName name="A127830159A">Data1!$CR$1:$CR$10,Data1!$CR$11:$CR$102</definedName>
    <definedName name="A127830159A_Data">Data1!$CR$11:$CR$102</definedName>
    <definedName name="A127830159A_Latest">Data1!$CR$102</definedName>
    <definedName name="A127830160K">Data1!$DJ$1:$DJ$10,Data1!$DJ$11:$DJ$102</definedName>
    <definedName name="A127830160K_Data">Data1!$DJ$11:$DJ$102</definedName>
    <definedName name="A127830160K_Latest">Data1!$DJ$102</definedName>
    <definedName name="A127830161L">Data1!$EE$1:$EE$10,Data1!$EE$11:$EE$102</definedName>
    <definedName name="A127830161L_Data">Data1!$EE$11:$EE$102</definedName>
    <definedName name="A127830161L_Latest">Data1!$EE$102</definedName>
    <definedName name="A127830177F">Data2!$CW$1:$CW$10,Data2!$CW$11:$CW$102</definedName>
    <definedName name="A127830177F_Data">Data2!$CW$11:$CW$102</definedName>
    <definedName name="A127830177F_Latest">Data2!$CW$102</definedName>
    <definedName name="A127830178J">Data2!$CN$1:$CN$10,Data2!$CN$11:$CN$102</definedName>
    <definedName name="A127830178J_Data">Data2!$CN$11:$CN$102</definedName>
    <definedName name="A127830178J_Latest">Data2!$CN$102</definedName>
    <definedName name="A127830179K">Data2!$CH$1:$CH$10,Data2!$CH$11:$CH$102</definedName>
    <definedName name="A127830179K_Data">Data2!$CH$11:$CH$102</definedName>
    <definedName name="A127830179K_Latest">Data2!$CH$102</definedName>
    <definedName name="A127830180V">Data2!$CT$1:$CT$10,Data2!$CT$11:$CT$102</definedName>
    <definedName name="A127830180V_Data">Data2!$CT$11:$CT$102</definedName>
    <definedName name="A127830180V_Latest">Data2!$CT$102</definedName>
    <definedName name="A127830181W">Data2!$CE$1:$CE$10,Data2!$CE$11:$CE$102</definedName>
    <definedName name="A127830181W_Data">Data2!$CE$11:$CE$102</definedName>
    <definedName name="A127830181W_Latest">Data2!$CE$102</definedName>
    <definedName name="A127830182X">Data2!$BY$1:$BY$10,Data2!$BY$11:$BY$102</definedName>
    <definedName name="A127830182X_Data">Data2!$BY$11:$BY$102</definedName>
    <definedName name="A127830182X_Latest">Data2!$BY$102</definedName>
    <definedName name="A127830183A">Data2!$DC$1:$DC$10,Data2!$DC$11:$DC$102</definedName>
    <definedName name="A127830183A_Data">Data2!$DC$11:$DC$102</definedName>
    <definedName name="A127830183A_Latest">Data2!$DC$102</definedName>
    <definedName name="A127830184C">Data2!$CZ$1:$CZ$10,Data2!$CZ$11:$CZ$102</definedName>
    <definedName name="A127830184C_Data">Data2!$CZ$11:$CZ$102</definedName>
    <definedName name="A127830184C_Latest">Data2!$CZ$102</definedName>
    <definedName name="A127830185F">Data2!$CQ$1:$CQ$10,Data2!$CQ$11:$CQ$102</definedName>
    <definedName name="A127830185F_Data">Data2!$CQ$11:$CQ$102</definedName>
    <definedName name="A127830185F_Latest">Data2!$CQ$102</definedName>
    <definedName name="A127830186J">Data2!$CB$1:$CB$10,Data2!$CB$11:$CB$102</definedName>
    <definedName name="A127830186J_Data">Data2!$CB$11:$CB$102</definedName>
    <definedName name="A127830186J_Latest">Data2!$CB$102</definedName>
    <definedName name="A127830187K">Data2!$BP$1:$BP$10,Data2!$BP$11:$BP$102</definedName>
    <definedName name="A127830187K_Data">Data2!$BP$11:$BP$102</definedName>
    <definedName name="A127830187K_Latest">Data2!$BP$102</definedName>
    <definedName name="A127830188L">Data2!$BV$1:$BV$10,Data2!$BV$11:$BV$102</definedName>
    <definedName name="A127830188L_Data">Data2!$BV$11:$BV$102</definedName>
    <definedName name="A127830188L_Latest">Data2!$BV$102</definedName>
    <definedName name="A127830189R">Data2!$BS$1:$BS$10,Data2!$BS$11:$BS$102</definedName>
    <definedName name="A127830189R_Data">Data2!$BS$11:$BS$102</definedName>
    <definedName name="A127830189R_Latest">Data2!$BS$102</definedName>
    <definedName name="A127830190X">Data2!$CK$1:$CK$10,Data2!$CK$11:$CK$102</definedName>
    <definedName name="A127830190X_Data">Data2!$CK$11:$CK$102</definedName>
    <definedName name="A127830190X_Latest">Data2!$CK$102</definedName>
    <definedName name="A127830191A">Data2!$DF$1:$DF$10,Data2!$DF$11:$DF$102</definedName>
    <definedName name="A127830191A_Data">Data2!$DF$11:$DF$102</definedName>
    <definedName name="A127830191A_Latest">Data2!$DF$102</definedName>
    <definedName name="A127830207J">Data1!$AJ$1:$AJ$10,Data1!$AJ$11:$AJ$102</definedName>
    <definedName name="A127830207J_Data">Data1!$AJ$11:$AJ$102</definedName>
    <definedName name="A127830207J_Latest">Data1!$AJ$102</definedName>
    <definedName name="A127830208K">Data1!$AA$1:$AA$10,Data1!$AA$11:$AA$102</definedName>
    <definedName name="A127830208K_Data">Data1!$AA$11:$AA$102</definedName>
    <definedName name="A127830208K_Latest">Data1!$AA$102</definedName>
    <definedName name="A127830209L">Data1!$U$1:$U$10,Data1!$U$11:$U$102</definedName>
    <definedName name="A127830209L_Data">Data1!$U$11:$U$102</definedName>
    <definedName name="A127830209L_Latest">Data1!$U$102</definedName>
    <definedName name="A127830210W">Data1!$AG$1:$AG$10,Data1!$AG$11:$AG$102</definedName>
    <definedName name="A127830210W_Data">Data1!$AG$11:$AG$102</definedName>
    <definedName name="A127830210W_Latest">Data1!$AG$102</definedName>
    <definedName name="A127830211X">Data1!$R$1:$R$10,Data1!$R$11:$R$102</definedName>
    <definedName name="A127830211X_Data">Data1!$R$11:$R$102</definedName>
    <definedName name="A127830211X_Latest">Data1!$R$102</definedName>
    <definedName name="A127830212A">Data1!$L$1:$L$10,Data1!$L$11:$L$102</definedName>
    <definedName name="A127830212A_Data">Data1!$L$11:$L$102</definedName>
    <definedName name="A127830212A_Latest">Data1!$L$102</definedName>
    <definedName name="A127830213C">Data1!$AP$1:$AP$10,Data1!$AP$11:$AP$102</definedName>
    <definedName name="A127830213C_Data">Data1!$AP$11:$AP$102</definedName>
    <definedName name="A127830213C_Latest">Data1!$AP$102</definedName>
    <definedName name="A127830214F">Data1!$AM$1:$AM$10,Data1!$AM$11:$AM$102</definedName>
    <definedName name="A127830214F_Data">Data1!$AM$11:$AM$102</definedName>
    <definedName name="A127830214F_Latest">Data1!$AM$102</definedName>
    <definedName name="A127830215J">Data1!$AD$1:$AD$10,Data1!$AD$11:$AD$102</definedName>
    <definedName name="A127830215J_Data">Data1!$AD$11:$AD$102</definedName>
    <definedName name="A127830215J_Latest">Data1!$AD$102</definedName>
    <definedName name="A127830216K">Data1!$O$1:$O$10,Data1!$O$11:$O$102</definedName>
    <definedName name="A127830216K_Data">Data1!$O$11:$O$102</definedName>
    <definedName name="A127830216K_Latest">Data1!$O$102</definedName>
    <definedName name="A127830217L">Data1!$C$1:$C$10,Data1!$C$11:$C$102</definedName>
    <definedName name="A127830217L_Data">Data1!$C$11:$C$102</definedName>
    <definedName name="A127830217L_Latest">Data1!$C$102</definedName>
    <definedName name="A127830218R">Data1!$I$1:$I$10,Data1!$I$11:$I$102</definedName>
    <definedName name="A127830218R_Data">Data1!$I$11:$I$102</definedName>
    <definedName name="A127830218R_Latest">Data1!$I$102</definedName>
    <definedName name="A127830219T">Data1!$F$1:$F$10,Data1!$F$11:$F$102</definedName>
    <definedName name="A127830219T_Data">Data1!$F$11:$F$102</definedName>
    <definedName name="A127830219T_Latest">Data1!$F$102</definedName>
    <definedName name="A127830220A">Data1!$X$1:$X$10,Data1!$X$11:$X$102</definedName>
    <definedName name="A127830220A_Data">Data1!$X$11:$X$102</definedName>
    <definedName name="A127830220A_Latest">Data1!$X$102</definedName>
    <definedName name="A127830221C">Data1!$AS$1:$AS$10,Data1!$AS$11:$AS$102</definedName>
    <definedName name="A127830221C_Data">Data1!$AS$11:$AS$102</definedName>
    <definedName name="A127830221C_Latest">Data1!$AS$102</definedName>
    <definedName name="A127830237W">Data2!$K$1:$K$10,Data2!$K$11:$K$102</definedName>
    <definedName name="A127830237W_Data">Data2!$K$11:$K$102</definedName>
    <definedName name="A127830237W_Latest">Data2!$K$102</definedName>
    <definedName name="A127830238X">Data2!$B$1:$B$10,Data2!$B$11:$B$102</definedName>
    <definedName name="A127830238X_Data">Data2!$B$11:$B$102</definedName>
    <definedName name="A127830238X_Latest">Data2!$B$102</definedName>
    <definedName name="A127830239A">Data1!$IL$1:$IL$10,Data1!$IL$11:$IL$102</definedName>
    <definedName name="A127830239A_Data">Data1!$IL$11:$IL$102</definedName>
    <definedName name="A127830239A_Latest">Data1!$IL$102</definedName>
    <definedName name="A127830240K">Data2!$H$1:$H$10,Data2!$H$11:$H$102</definedName>
    <definedName name="A127830240K_Data">Data2!$H$11:$H$102</definedName>
    <definedName name="A127830240K_Latest">Data2!$H$102</definedName>
    <definedName name="A127830241L">Data1!$II$1:$II$10,Data1!$II$11:$II$102</definedName>
    <definedName name="A127830241L_Data">Data1!$II$11:$II$102</definedName>
    <definedName name="A127830241L_Latest">Data1!$II$102</definedName>
    <definedName name="A127830242R">Data1!$IC$1:$IC$10,Data1!$IC$11:$IC$102</definedName>
    <definedName name="A127830242R_Data">Data1!$IC$11:$IC$102</definedName>
    <definedName name="A127830242R_Latest">Data1!$IC$102</definedName>
    <definedName name="A127830243T">Data2!$Q$1:$Q$10,Data2!$Q$11:$Q$102</definedName>
    <definedName name="A127830243T_Data">Data2!$Q$11:$Q$102</definedName>
    <definedName name="A127830243T_Latest">Data2!$Q$102</definedName>
    <definedName name="A127830244V">Data2!$N$1:$N$10,Data2!$N$11:$N$102</definedName>
    <definedName name="A127830244V_Data">Data2!$N$11:$N$102</definedName>
    <definedName name="A127830244V_Latest">Data2!$N$102</definedName>
    <definedName name="A127830245W">Data2!$E$1:$E$10,Data2!$E$11:$E$102</definedName>
    <definedName name="A127830245W_Data">Data2!$E$11:$E$102</definedName>
    <definedName name="A127830245W_Latest">Data2!$E$102</definedName>
    <definedName name="A127830246X">Data1!$IF$1:$IF$10,Data1!$IF$11:$IF$102</definedName>
    <definedName name="A127830246X_Data">Data1!$IF$11:$IF$102</definedName>
    <definedName name="A127830246X_Latest">Data1!$IF$102</definedName>
    <definedName name="A127830247A">Data1!$HT$1:$HT$10,Data1!$HT$11:$HT$102</definedName>
    <definedName name="A127830247A_Data">Data1!$HT$11:$HT$102</definedName>
    <definedName name="A127830247A_Latest">Data1!$HT$102</definedName>
    <definedName name="A127830248C">Data1!$HZ$1:$HZ$10,Data1!$HZ$11:$HZ$102</definedName>
    <definedName name="A127830248C_Data">Data1!$HZ$11:$HZ$102</definedName>
    <definedName name="A127830248C_Latest">Data1!$HZ$102</definedName>
    <definedName name="A127830249F">Data1!$HW$1:$HW$10,Data1!$HW$11:$HW$102</definedName>
    <definedName name="A127830249F_Data">Data1!$HW$11:$HW$102</definedName>
    <definedName name="A127830249F_Latest">Data1!$HW$102</definedName>
    <definedName name="A127830250R">Data1!$IO$1:$IO$10,Data1!$IO$11:$IO$102</definedName>
    <definedName name="A127830250R_Data">Data1!$IO$11:$IO$102</definedName>
    <definedName name="A127830250R_Latest">Data1!$IO$102</definedName>
    <definedName name="A127830251T">Data2!$T$1:$T$10,Data2!$T$11:$T$102</definedName>
    <definedName name="A127830251T_Data">Data2!$T$11:$T$102</definedName>
    <definedName name="A127830251T_Latest">Data2!$T$102</definedName>
    <definedName name="A127830267K">Data2!$BD$1:$BD$10,Data2!$BD$11:$BD$102</definedName>
    <definedName name="A127830267K_Data">Data2!$BD$11:$BD$102</definedName>
    <definedName name="A127830267K_Latest">Data2!$BD$102</definedName>
    <definedName name="A127830268L">Data2!$AU$1:$AU$10,Data2!$AU$11:$AU$102</definedName>
    <definedName name="A127830268L_Data">Data2!$AU$11:$AU$102</definedName>
    <definedName name="A127830268L_Latest">Data2!$AU$102</definedName>
    <definedName name="A127830269R">Data2!$AO$1:$AO$10,Data2!$AO$11:$AO$102</definedName>
    <definedName name="A127830269R_Data">Data2!$AO$11:$AO$102</definedName>
    <definedName name="A127830269R_Latest">Data2!$AO$102</definedName>
    <definedName name="A127830270X">Data2!$BA$1:$BA$10,Data2!$BA$11:$BA$102</definedName>
    <definedName name="A127830270X_Data">Data2!$BA$11:$BA$102</definedName>
    <definedName name="A127830270X_Latest">Data2!$BA$102</definedName>
    <definedName name="A127830271A">Data2!$AL$1:$AL$10,Data2!$AL$11:$AL$102</definedName>
    <definedName name="A127830271A_Data">Data2!$AL$11:$AL$102</definedName>
    <definedName name="A127830271A_Latest">Data2!$AL$102</definedName>
    <definedName name="A127830272C">Data2!$AF$1:$AF$10,Data2!$AF$11:$AF$102</definedName>
    <definedName name="A127830272C_Data">Data2!$AF$11:$AF$102</definedName>
    <definedName name="A127830272C_Latest">Data2!$AF$102</definedName>
    <definedName name="A127830273F">Data2!$BJ$1:$BJ$10,Data2!$BJ$11:$BJ$102</definedName>
    <definedName name="A127830273F_Data">Data2!$BJ$11:$BJ$102</definedName>
    <definedName name="A127830273F_Latest">Data2!$BJ$102</definedName>
    <definedName name="A127830274J">Data2!$BG$1:$BG$10,Data2!$BG$11:$BG$102</definedName>
    <definedName name="A127830274J_Data">Data2!$BG$11:$BG$102</definedName>
    <definedName name="A127830274J_Latest">Data2!$BG$102</definedName>
    <definedName name="A127830275K">Data2!$AX$1:$AX$10,Data2!$AX$11:$AX$102</definedName>
    <definedName name="A127830275K_Data">Data2!$AX$11:$AX$102</definedName>
    <definedName name="A127830275K_Latest">Data2!$AX$102</definedName>
    <definedName name="A127830276L">Data2!$AI$1:$AI$10,Data2!$AI$11:$AI$102</definedName>
    <definedName name="A127830276L_Data">Data2!$AI$11:$AI$102</definedName>
    <definedName name="A127830276L_Latest">Data2!$AI$102</definedName>
    <definedName name="A127830277R">Data2!$W$1:$W$10,Data2!$W$11:$W$102</definedName>
    <definedName name="A127830277R_Data">Data2!$W$11:$W$102</definedName>
    <definedName name="A127830277R_Latest">Data2!$W$102</definedName>
    <definedName name="A127830278T">Data2!$AC$1:$AC$10,Data2!$AC$11:$AC$102</definedName>
    <definedName name="A127830278T_Data">Data2!$AC$11:$AC$102</definedName>
    <definedName name="A127830278T_Latest">Data2!$AC$102</definedName>
    <definedName name="A127830279V">Data2!$Z$1:$Z$10,Data2!$Z$11:$Z$102</definedName>
    <definedName name="A127830279V_Data">Data2!$Z$11:$Z$102</definedName>
    <definedName name="A127830279V_Latest">Data2!$Z$102</definedName>
    <definedName name="A127830280C">Data2!$AR$1:$AR$10,Data2!$AR$11:$AR$102</definedName>
    <definedName name="A127830280C_Data">Data2!$AR$11:$AR$102</definedName>
    <definedName name="A127830280C_Latest">Data2!$AR$102</definedName>
    <definedName name="A127830281F">Data2!$BM$1:$BM$10,Data2!$BM$11:$BM$102</definedName>
    <definedName name="A127830281F_Data">Data2!$BM$11:$BM$102</definedName>
    <definedName name="A127830281F_Latest">Data2!$BM$102</definedName>
    <definedName name="A127830537X">Data3!$BX$1:$BX$10,Data3!$BX$11:$BX$102</definedName>
    <definedName name="A127830537X_Data">Data3!$BX$11:$BX$102</definedName>
    <definedName name="A127830537X_Latest">Data3!$BX$102</definedName>
    <definedName name="A127830538A">Data3!$BO$1:$BO$10,Data3!$BO$11:$BO$102</definedName>
    <definedName name="A127830538A_Data">Data3!$BO$11:$BO$102</definedName>
    <definedName name="A127830538A_Latest">Data3!$BO$102</definedName>
    <definedName name="A127830539C">Data3!$BI$1:$BI$10,Data3!$BI$11:$BI$102</definedName>
    <definedName name="A127830539C_Data">Data3!$BI$11:$BI$102</definedName>
    <definedName name="A127830539C_Latest">Data3!$BI$102</definedName>
    <definedName name="A127830540L">Data3!$BU$1:$BU$10,Data3!$BU$11:$BU$102</definedName>
    <definedName name="A127830540L_Data">Data3!$BU$11:$BU$102</definedName>
    <definedName name="A127830540L_Latest">Data3!$BU$102</definedName>
    <definedName name="A127830541R">Data3!$BF$1:$BF$10,Data3!$BF$11:$BF$102</definedName>
    <definedName name="A127830541R_Data">Data3!$BF$11:$BF$102</definedName>
    <definedName name="A127830541R_Latest">Data3!$BF$102</definedName>
    <definedName name="A127830542T">Data3!$AZ$1:$AZ$10,Data3!$AZ$11:$AZ$102</definedName>
    <definedName name="A127830542T_Data">Data3!$AZ$11:$AZ$102</definedName>
    <definedName name="A127830542T_Latest">Data3!$AZ$102</definedName>
    <definedName name="A127830543V">Data3!$CD$1:$CD$10,Data3!$CD$11:$CD$102</definedName>
    <definedName name="A127830543V_Data">Data3!$CD$11:$CD$102</definedName>
    <definedName name="A127830543V_Latest">Data3!$CD$102</definedName>
    <definedName name="A127830544W">Data3!$CA$1:$CA$10,Data3!$CA$11:$CA$102</definedName>
    <definedName name="A127830544W_Data">Data3!$CA$11:$CA$102</definedName>
    <definedName name="A127830544W_Latest">Data3!$CA$102</definedName>
    <definedName name="A127830545X">Data3!$BR$1:$BR$10,Data3!$BR$11:$BR$102</definedName>
    <definedName name="A127830545X_Data">Data3!$BR$11:$BR$102</definedName>
    <definedName name="A127830545X_Latest">Data3!$BR$102</definedName>
    <definedName name="A127830546A">Data3!$BC$1:$BC$10,Data3!$BC$11:$BC$102</definedName>
    <definedName name="A127830546A_Data">Data3!$BC$11:$BC$102</definedName>
    <definedName name="A127830546A_Latest">Data3!$BC$102</definedName>
    <definedName name="A127830547C">Data3!$AQ$1:$AQ$10,Data3!$AQ$11:$AQ$102</definedName>
    <definedName name="A127830547C_Data">Data3!$AQ$11:$AQ$102</definedName>
    <definedName name="A127830547C_Latest">Data3!$AQ$102</definedName>
    <definedName name="A127830548F">Data3!$AW$1:$AW$10,Data3!$AW$11:$AW$102</definedName>
    <definedName name="A127830548F_Data">Data3!$AW$11:$AW$102</definedName>
    <definedName name="A127830548F_Latest">Data3!$AW$102</definedName>
    <definedName name="A127830549J">Data3!$AT$1:$AT$10,Data3!$AT$11:$AT$102</definedName>
    <definedName name="A127830549J_Data">Data3!$AT$11:$AT$102</definedName>
    <definedName name="A127830549J_Latest">Data3!$AT$102</definedName>
    <definedName name="A127830550T">Data3!$BL$1:$BL$10,Data3!$BL$11:$BL$102</definedName>
    <definedName name="A127830550T_Data">Data3!$BL$11:$BL$102</definedName>
    <definedName name="A127830550T_Latest">Data3!$BL$102</definedName>
    <definedName name="A127830551V">Data3!$CG$1:$CG$10,Data3!$CG$11:$CG$102</definedName>
    <definedName name="A127830551V_Data">Data3!$CG$11:$CG$102</definedName>
    <definedName name="A127830551V_Latest">Data3!$CG$102</definedName>
    <definedName name="A127830867R">Data3!$HC$1:$HC$10,Data3!$HC$11:$HC$102</definedName>
    <definedName name="A127830867R_Data">Data3!$HC$11:$HC$102</definedName>
    <definedName name="A127830867R_Latest">Data3!$HC$102</definedName>
    <definedName name="A127830868T">Data3!$GT$1:$GT$10,Data3!$GT$11:$GT$102</definedName>
    <definedName name="A127830868T_Data">Data3!$GT$11:$GT$102</definedName>
    <definedName name="A127830868T_Latest">Data3!$GT$102</definedName>
    <definedName name="A127830869V">Data3!$GN$1:$GN$10,Data3!$GN$11:$GN$102</definedName>
    <definedName name="A127830869V_Data">Data3!$GN$11:$GN$102</definedName>
    <definedName name="A127830869V_Latest">Data3!$GN$102</definedName>
    <definedName name="A127830870C">Data3!$GZ$1:$GZ$10,Data3!$GZ$11:$GZ$102</definedName>
    <definedName name="A127830870C_Data">Data3!$GZ$11:$GZ$102</definedName>
    <definedName name="A127830870C_Latest">Data3!$GZ$102</definedName>
    <definedName name="A127830871F">Data3!$GK$1:$GK$10,Data3!$GK$11:$GK$102</definedName>
    <definedName name="A127830871F_Data">Data3!$GK$11:$GK$102</definedName>
    <definedName name="A127830871F_Latest">Data3!$GK$102</definedName>
    <definedName name="A127830872J">Data3!$GE$1:$GE$10,Data3!$GE$11:$GE$102</definedName>
    <definedName name="A127830872J_Data">Data3!$GE$11:$GE$102</definedName>
    <definedName name="A127830872J_Latest">Data3!$GE$102</definedName>
    <definedName name="A127830873K">Data3!$HI$1:$HI$10,Data3!$HI$11:$HI$102</definedName>
    <definedName name="A127830873K_Data">Data3!$HI$11:$HI$102</definedName>
    <definedName name="A127830873K_Latest">Data3!$HI$102</definedName>
    <definedName name="A127830874L">Data3!$HF$1:$HF$10,Data3!$HF$11:$HF$102</definedName>
    <definedName name="A127830874L_Data">Data3!$HF$11:$HF$102</definedName>
    <definedName name="A127830874L_Latest">Data3!$HF$102</definedName>
    <definedName name="A127830875R">Data3!$GW$1:$GW$10,Data3!$GW$11:$GW$102</definedName>
    <definedName name="A127830875R_Data">Data3!$GW$11:$GW$102</definedName>
    <definedName name="A127830875R_Latest">Data3!$GW$102</definedName>
    <definedName name="A127830876T">Data3!$GH$1:$GH$10,Data3!$GH$11:$GH$102</definedName>
    <definedName name="A127830876T_Data">Data3!$GH$11:$GH$102</definedName>
    <definedName name="A127830876T_Latest">Data3!$GH$102</definedName>
    <definedName name="A127830877V">Data3!$FV$1:$FV$10,Data3!$FV$11:$FV$102</definedName>
    <definedName name="A127830877V_Data">Data3!$FV$11:$FV$102</definedName>
    <definedName name="A127830877V_Latest">Data3!$FV$102</definedName>
    <definedName name="A127830878W">Data3!$GB$1:$GB$10,Data3!$GB$11:$GB$102</definedName>
    <definedName name="A127830878W_Data">Data3!$GB$11:$GB$102</definedName>
    <definedName name="A127830878W_Latest">Data3!$GB$102</definedName>
    <definedName name="A127830879X">Data3!$FY$1:$FY$10,Data3!$FY$11:$FY$102</definedName>
    <definedName name="A127830879X_Data">Data3!$FY$11:$FY$102</definedName>
    <definedName name="A127830879X_Latest">Data3!$FY$102</definedName>
    <definedName name="A127830880J">Data3!$GQ$1:$GQ$10,Data3!$GQ$11:$GQ$102</definedName>
    <definedName name="A127830880J_Data">Data3!$GQ$11:$GQ$102</definedName>
    <definedName name="A127830880J_Latest">Data3!$GQ$102</definedName>
    <definedName name="A127830881K">Data3!$HL$1:$HL$10,Data3!$HL$11:$HL$102</definedName>
    <definedName name="A127830881K_Data">Data3!$HL$11:$HL$102</definedName>
    <definedName name="A127830881K_Latest">Data3!$HL$102</definedName>
    <definedName name="A127831197J">Data4!$F$1:$F$10,Data4!$F$11:$F$102</definedName>
    <definedName name="A127831197J_Data">Data4!$F$11:$F$102</definedName>
    <definedName name="A127831197J_Latest">Data4!$F$102</definedName>
    <definedName name="A127831198K">Data3!$IM$1:$IM$10,Data3!$IM$11:$IM$102</definedName>
    <definedName name="A127831198K_Data">Data3!$IM$11:$IM$102</definedName>
    <definedName name="A127831198K_Latest">Data3!$IM$102</definedName>
    <definedName name="A127831199L">Data3!$IG$1:$IG$10,Data3!$IG$11:$IG$102</definedName>
    <definedName name="A127831199L_Data">Data3!$IG$11:$IG$102</definedName>
    <definedName name="A127831199L_Latest">Data3!$IG$102</definedName>
    <definedName name="A127831200K">Data4!$C$1:$C$10,Data4!$C$11:$C$102</definedName>
    <definedName name="A127831200K_Data">Data4!$C$11:$C$102</definedName>
    <definedName name="A127831200K_Latest">Data4!$C$102</definedName>
    <definedName name="A127831201L">Data3!$ID$1:$ID$10,Data3!$ID$11:$ID$102</definedName>
    <definedName name="A127831201L_Data">Data3!$ID$11:$ID$102</definedName>
    <definedName name="A127831201L_Latest">Data3!$ID$102</definedName>
    <definedName name="A127831202R">Data3!$HX$1:$HX$10,Data3!$HX$11:$HX$102</definedName>
    <definedName name="A127831202R_Data">Data3!$HX$11:$HX$102</definedName>
    <definedName name="A127831202R_Latest">Data3!$HX$102</definedName>
    <definedName name="A127831203T">Data4!$L$1:$L$10,Data4!$L$11:$L$102</definedName>
    <definedName name="A127831203T_Data">Data4!$L$11:$L$102</definedName>
    <definedName name="A127831203T_Latest">Data4!$L$102</definedName>
    <definedName name="A127831204V">Data4!$I$1:$I$10,Data4!$I$11:$I$102</definedName>
    <definedName name="A127831204V_Data">Data4!$I$11:$I$102</definedName>
    <definedName name="A127831204V_Latest">Data4!$I$102</definedName>
    <definedName name="A127831205W">Data3!$IP$1:$IP$10,Data3!$IP$11:$IP$102</definedName>
    <definedName name="A127831205W_Data">Data3!$IP$11:$IP$102</definedName>
    <definedName name="A127831205W_Latest">Data3!$IP$102</definedName>
    <definedName name="A127831206X">Data3!$IA$1:$IA$10,Data3!$IA$11:$IA$102</definedName>
    <definedName name="A127831206X_Data">Data3!$IA$11:$IA$102</definedName>
    <definedName name="A127831206X_Latest">Data3!$IA$102</definedName>
    <definedName name="A127831207A">Data3!$HO$1:$HO$10,Data3!$HO$11:$HO$102</definedName>
    <definedName name="A127831207A_Data">Data3!$HO$11:$HO$102</definedName>
    <definedName name="A127831207A_Latest">Data3!$HO$102</definedName>
    <definedName name="A127831208C">Data3!$HU$1:$HU$10,Data3!$HU$11:$HU$102</definedName>
    <definedName name="A127831208C_Data">Data3!$HU$11:$HU$102</definedName>
    <definedName name="A127831208C_Latest">Data3!$HU$102</definedName>
    <definedName name="A127831209F">Data3!$HR$1:$HR$10,Data3!$HR$11:$HR$102</definedName>
    <definedName name="A127831209F_Data">Data3!$HR$11:$HR$102</definedName>
    <definedName name="A127831209F_Latest">Data3!$HR$102</definedName>
    <definedName name="A127831210R">Data3!$IJ$1:$IJ$10,Data3!$IJ$11:$IJ$102</definedName>
    <definedName name="A127831210R_Data">Data3!$IJ$11:$IJ$102</definedName>
    <definedName name="A127831210R_Latest">Data3!$IJ$102</definedName>
    <definedName name="A127831211T">Data4!$O$1:$O$10,Data4!$O$11:$O$102</definedName>
    <definedName name="A127831211T_Data">Data4!$O$11:$O$102</definedName>
    <definedName name="A127831211T_Latest">Data4!$O$102</definedName>
    <definedName name="A127831527L">Data4!$AY$1:$AY$10,Data4!$AY$11:$AY$102</definedName>
    <definedName name="A127831527L_Data">Data4!$AY$11:$AY$102</definedName>
    <definedName name="A127831527L_Latest">Data4!$AY$102</definedName>
    <definedName name="A127831528R">Data4!$AP$1:$AP$10,Data4!$AP$11:$AP$102</definedName>
    <definedName name="A127831528R_Data">Data4!$AP$11:$AP$102</definedName>
    <definedName name="A127831528R_Latest">Data4!$AP$102</definedName>
    <definedName name="A127831529T">Data4!$AJ$1:$AJ$10,Data4!$AJ$11:$AJ$102</definedName>
    <definedName name="A127831529T_Data">Data4!$AJ$11:$AJ$102</definedName>
    <definedName name="A127831529T_Latest">Data4!$AJ$102</definedName>
    <definedName name="A127831530A">Data4!$AV$1:$AV$10,Data4!$AV$11:$AV$102</definedName>
    <definedName name="A127831530A_Data">Data4!$AV$11:$AV$102</definedName>
    <definedName name="A127831530A_Latest">Data4!$AV$102</definedName>
    <definedName name="A127831531C">Data4!$AG$1:$AG$10,Data4!$AG$11:$AG$102</definedName>
    <definedName name="A127831531C_Data">Data4!$AG$11:$AG$102</definedName>
    <definedName name="A127831531C_Latest">Data4!$AG$102</definedName>
    <definedName name="A127831532F">Data4!$AA$1:$AA$10,Data4!$AA$11:$AA$102</definedName>
    <definedName name="A127831532F_Data">Data4!$AA$11:$AA$102</definedName>
    <definedName name="A127831532F_Latest">Data4!$AA$102</definedName>
    <definedName name="A127831533J">Data4!$BE$1:$BE$10,Data4!$BE$11:$BE$102</definedName>
    <definedName name="A127831533J_Data">Data4!$BE$11:$BE$102</definedName>
    <definedName name="A127831533J_Latest">Data4!$BE$102</definedName>
    <definedName name="A127831534K">Data4!$BB$1:$BB$10,Data4!$BB$11:$BB$102</definedName>
    <definedName name="A127831534K_Data">Data4!$BB$11:$BB$102</definedName>
    <definedName name="A127831534K_Latest">Data4!$BB$102</definedName>
    <definedName name="A127831535L">Data4!$AS$1:$AS$10,Data4!$AS$11:$AS$102</definedName>
    <definedName name="A127831535L_Data">Data4!$AS$11:$AS$102</definedName>
    <definedName name="A127831535L_Latest">Data4!$AS$102</definedName>
    <definedName name="A127831536R">Data4!$AD$1:$AD$10,Data4!$AD$11:$AD$102</definedName>
    <definedName name="A127831536R_Data">Data4!$AD$11:$AD$102</definedName>
    <definedName name="A127831536R_Latest">Data4!$AD$102</definedName>
    <definedName name="A127831537T">Data4!$R$1:$R$10,Data4!$R$11:$R$102</definedName>
    <definedName name="A127831537T_Data">Data4!$R$11:$R$102</definedName>
    <definedName name="A127831537T_Latest">Data4!$R$102</definedName>
    <definedName name="A127831538V">Data4!$X$1:$X$10,Data4!$X$11:$X$102</definedName>
    <definedName name="A127831538V_Data">Data4!$X$11:$X$102</definedName>
    <definedName name="A127831538V_Latest">Data4!$X$102</definedName>
    <definedName name="A127831539W">Data4!$U$1:$U$10,Data4!$U$11:$U$102</definedName>
    <definedName name="A127831539W_Data">Data4!$U$11:$U$102</definedName>
    <definedName name="A127831539W_Latest">Data4!$U$102</definedName>
    <definedName name="A127831540F">Data4!$AM$1:$AM$10,Data4!$AM$11:$AM$102</definedName>
    <definedName name="A127831540F_Data">Data4!$AM$11:$AM$102</definedName>
    <definedName name="A127831540F_Latest">Data4!$AM$102</definedName>
    <definedName name="A127831541J">Data4!$BH$1:$BH$10,Data4!$BH$11:$BH$102</definedName>
    <definedName name="A127831541J_Data">Data4!$BH$11:$BH$102</definedName>
    <definedName name="A127831541J_Latest">Data4!$BH$102</definedName>
    <definedName name="A127831857C">Data3!$AE$1:$AE$10,Data3!$AE$11:$AE$102</definedName>
    <definedName name="A127831857C_Data">Data3!$AE$11:$AE$102</definedName>
    <definedName name="A127831857C_Latest">Data3!$AE$102</definedName>
    <definedName name="A127831858F">Data3!$V$1:$V$10,Data3!$V$11:$V$102</definedName>
    <definedName name="A127831858F_Data">Data3!$V$11:$V$102</definedName>
    <definedName name="A127831858F_Latest">Data3!$V$102</definedName>
    <definedName name="A127831859J">Data3!$P$1:$P$10,Data3!$P$11:$P$102</definedName>
    <definedName name="A127831859J_Data">Data3!$P$11:$P$102</definedName>
    <definedName name="A127831859J_Latest">Data3!$P$102</definedName>
    <definedName name="A127831860T">Data3!$AB$1:$AB$10,Data3!$AB$11:$AB$102</definedName>
    <definedName name="A127831860T_Data">Data3!$AB$11:$AB$102</definedName>
    <definedName name="A127831860T_Latest">Data3!$AB$102</definedName>
    <definedName name="A127831861V">Data3!$M$1:$M$10,Data3!$M$11:$M$102</definedName>
    <definedName name="A127831861V_Data">Data3!$M$11:$M$102</definedName>
    <definedName name="A127831861V_Latest">Data3!$M$102</definedName>
    <definedName name="A127831862W">Data3!$G$1:$G$10,Data3!$G$11:$G$102</definedName>
    <definedName name="A127831862W_Data">Data3!$G$11:$G$102</definedName>
    <definedName name="A127831862W_Latest">Data3!$G$102</definedName>
    <definedName name="A127831863X">Data3!$AK$1:$AK$10,Data3!$AK$11:$AK$102</definedName>
    <definedName name="A127831863X_Data">Data3!$AK$11:$AK$102</definedName>
    <definedName name="A127831863X_Latest">Data3!$AK$102</definedName>
    <definedName name="A127831864A">Data3!$AH$1:$AH$10,Data3!$AH$11:$AH$102</definedName>
    <definedName name="A127831864A_Data">Data3!$AH$11:$AH$102</definedName>
    <definedName name="A127831864A_Latest">Data3!$AH$102</definedName>
    <definedName name="A127831865C">Data3!$Y$1:$Y$10,Data3!$Y$11:$Y$102</definedName>
    <definedName name="A127831865C_Data">Data3!$Y$11:$Y$102</definedName>
    <definedName name="A127831865C_Latest">Data3!$Y$102</definedName>
    <definedName name="A127831866F">Data3!$J$1:$J$10,Data3!$J$11:$J$102</definedName>
    <definedName name="A127831866F_Data">Data3!$J$11:$J$102</definedName>
    <definedName name="A127831866F_Latest">Data3!$J$102</definedName>
    <definedName name="A127831867J">Data2!$IN$1:$IN$10,Data2!$IN$11:$IN$102</definedName>
    <definedName name="A127831867J_Data">Data2!$IN$11:$IN$102</definedName>
    <definedName name="A127831867J_Latest">Data2!$IN$102</definedName>
    <definedName name="A127831868K">Data3!$D$1:$D$10,Data3!$D$11:$D$102</definedName>
    <definedName name="A127831868K_Data">Data3!$D$11:$D$102</definedName>
    <definedName name="A127831868K_Latest">Data3!$D$102</definedName>
    <definedName name="A127831869L">Data2!$IQ$1:$IQ$10,Data2!$IQ$11:$IQ$102</definedName>
    <definedName name="A127831869L_Data">Data2!$IQ$11:$IQ$102</definedName>
    <definedName name="A127831869L_Latest">Data2!$IQ$102</definedName>
    <definedName name="A127831870W">Data3!$S$1:$S$10,Data3!$S$11:$S$102</definedName>
    <definedName name="A127831870W_Data">Data3!$S$11:$S$102</definedName>
    <definedName name="A127831870W_Latest">Data3!$S$102</definedName>
    <definedName name="A127831871X">Data3!$AN$1:$AN$10,Data3!$AN$11:$AN$102</definedName>
    <definedName name="A127831871X_Data">Data3!$AN$11:$AN$102</definedName>
    <definedName name="A127831871X_Latest">Data3!$AN$102</definedName>
    <definedName name="A127832187W">Data3!$DQ$1:$DQ$10,Data3!$DQ$11:$DQ$102</definedName>
    <definedName name="A127832187W_Data">Data3!$DQ$11:$DQ$102</definedName>
    <definedName name="A127832187W_Latest">Data3!$DQ$102</definedName>
    <definedName name="A127832188X">Data3!$DH$1:$DH$10,Data3!$DH$11:$DH$102</definedName>
    <definedName name="A127832188X_Data">Data3!$DH$11:$DH$102</definedName>
    <definedName name="A127832188X_Latest">Data3!$DH$102</definedName>
    <definedName name="A127832189A">Data3!$DB$1:$DB$10,Data3!$DB$11:$DB$102</definedName>
    <definedName name="A127832189A_Data">Data3!$DB$11:$DB$102</definedName>
    <definedName name="A127832189A_Latest">Data3!$DB$102</definedName>
    <definedName name="A127832190K">Data3!$DN$1:$DN$10,Data3!$DN$11:$DN$102</definedName>
    <definedName name="A127832190K_Data">Data3!$DN$11:$DN$102</definedName>
    <definedName name="A127832190K_Latest">Data3!$DN$102</definedName>
    <definedName name="A127832191L">Data3!$CY$1:$CY$10,Data3!$CY$11:$CY$102</definedName>
    <definedName name="A127832191L_Data">Data3!$CY$11:$CY$102</definedName>
    <definedName name="A127832191L_Latest">Data3!$CY$102</definedName>
    <definedName name="A127832192R">Data3!$CS$1:$CS$10,Data3!$CS$11:$CS$102</definedName>
    <definedName name="A127832192R_Data">Data3!$CS$11:$CS$102</definedName>
    <definedName name="A127832192R_Latest">Data3!$CS$102</definedName>
    <definedName name="A127832193T">Data3!$DW$1:$DW$10,Data3!$DW$11:$DW$102</definedName>
    <definedName name="A127832193T_Data">Data3!$DW$11:$DW$102</definedName>
    <definedName name="A127832193T_Latest">Data3!$DW$102</definedName>
    <definedName name="A127832194V">Data3!$DT$1:$DT$10,Data3!$DT$11:$DT$102</definedName>
    <definedName name="A127832194V_Data">Data3!$DT$11:$DT$102</definedName>
    <definedName name="A127832194V_Latest">Data3!$DT$102</definedName>
    <definedName name="A127832195W">Data3!$DK$1:$DK$10,Data3!$DK$11:$DK$102</definedName>
    <definedName name="A127832195W_Data">Data3!$DK$11:$DK$102</definedName>
    <definedName name="A127832195W_Latest">Data3!$DK$102</definedName>
    <definedName name="A127832196X">Data3!$CV$1:$CV$10,Data3!$CV$11:$CV$102</definedName>
    <definedName name="A127832196X_Data">Data3!$CV$11:$CV$102</definedName>
    <definedName name="A127832196X_Latest">Data3!$CV$102</definedName>
    <definedName name="A127832197A">Data3!$CJ$1:$CJ$10,Data3!$CJ$11:$CJ$102</definedName>
    <definedName name="A127832197A_Data">Data3!$CJ$11:$CJ$102</definedName>
    <definedName name="A127832197A_Latest">Data3!$CJ$102</definedName>
    <definedName name="A127832198C">Data3!$CP$1:$CP$10,Data3!$CP$11:$CP$102</definedName>
    <definedName name="A127832198C_Data">Data3!$CP$11:$CP$102</definedName>
    <definedName name="A127832198C_Latest">Data3!$CP$102</definedName>
    <definedName name="A127832199F">Data3!$CM$1:$CM$10,Data3!$CM$11:$CM$102</definedName>
    <definedName name="A127832199F_Data">Data3!$CM$11:$CM$102</definedName>
    <definedName name="A127832199F_Latest">Data3!$CM$102</definedName>
    <definedName name="A127832200C">Data3!$DE$1:$DE$10,Data3!$DE$11:$DE$102</definedName>
    <definedName name="A127832200C_Data">Data3!$DE$11:$DE$102</definedName>
    <definedName name="A127832200C_Latest">Data3!$DE$102</definedName>
    <definedName name="A127832201F">Data3!$DZ$1:$DZ$10,Data3!$DZ$11:$DZ$102</definedName>
    <definedName name="A127832201F_Data">Data3!$DZ$11:$DZ$102</definedName>
    <definedName name="A127832201F_Latest">Data3!$DZ$102</definedName>
    <definedName name="A127832517A">Data3!$FJ$1:$FJ$10,Data3!$FJ$11:$FJ$102</definedName>
    <definedName name="A127832517A_Data">Data3!$FJ$11:$FJ$102</definedName>
    <definedName name="A127832517A_Latest">Data3!$FJ$102</definedName>
    <definedName name="A127832518C">Data3!$FA$1:$FA$10,Data3!$FA$11:$FA$102</definedName>
    <definedName name="A127832518C_Data">Data3!$FA$11:$FA$102</definedName>
    <definedName name="A127832518C_Latest">Data3!$FA$102</definedName>
    <definedName name="A127832519F">Data3!$EU$1:$EU$10,Data3!$EU$11:$EU$102</definedName>
    <definedName name="A127832519F_Data">Data3!$EU$11:$EU$102</definedName>
    <definedName name="A127832519F_Latest">Data3!$EU$102</definedName>
    <definedName name="A127832520R">Data3!$FG$1:$FG$10,Data3!$FG$11:$FG$102</definedName>
    <definedName name="A127832520R_Data">Data3!$FG$11:$FG$102</definedName>
    <definedName name="A127832520R_Latest">Data3!$FG$102</definedName>
    <definedName name="A127832521T">Data3!$ER$1:$ER$10,Data3!$ER$11:$ER$102</definedName>
    <definedName name="A127832521T_Data">Data3!$ER$11:$ER$102</definedName>
    <definedName name="A127832521T_Latest">Data3!$ER$102</definedName>
    <definedName name="A127832522V">Data3!$EL$1:$EL$10,Data3!$EL$11:$EL$102</definedName>
    <definedName name="A127832522V_Data">Data3!$EL$11:$EL$102</definedName>
    <definedName name="A127832522V_Latest">Data3!$EL$102</definedName>
    <definedName name="A127832523W">Data3!$FP$1:$FP$10,Data3!$FP$11:$FP$102</definedName>
    <definedName name="A127832523W_Data">Data3!$FP$11:$FP$102</definedName>
    <definedName name="A127832523W_Latest">Data3!$FP$102</definedName>
    <definedName name="A127832524X">Data3!$FM$1:$FM$10,Data3!$FM$11:$FM$102</definedName>
    <definedName name="A127832524X_Data">Data3!$FM$11:$FM$102</definedName>
    <definedName name="A127832524X_Latest">Data3!$FM$102</definedName>
    <definedName name="A127832525A">Data3!$FD$1:$FD$10,Data3!$FD$11:$FD$102</definedName>
    <definedName name="A127832525A_Data">Data3!$FD$11:$FD$102</definedName>
    <definedName name="A127832525A_Latest">Data3!$FD$102</definedName>
    <definedName name="A127832526C">Data3!$EO$1:$EO$10,Data3!$EO$11:$EO$102</definedName>
    <definedName name="A127832526C_Data">Data3!$EO$11:$EO$102</definedName>
    <definedName name="A127832526C_Latest">Data3!$EO$102</definedName>
    <definedName name="A127832527F">Data3!$EC$1:$EC$10,Data3!$EC$11:$EC$102</definedName>
    <definedName name="A127832527F_Data">Data3!$EC$11:$EC$102</definedName>
    <definedName name="A127832527F_Latest">Data3!$EC$102</definedName>
    <definedName name="A127832528J">Data3!$EI$1:$EI$10,Data3!$EI$11:$EI$102</definedName>
    <definedName name="A127832528J_Data">Data3!$EI$11:$EI$102</definedName>
    <definedName name="A127832528J_Latest">Data3!$EI$102</definedName>
    <definedName name="A127832529K">Data3!$EF$1:$EF$10,Data3!$EF$11:$EF$102</definedName>
    <definedName name="A127832529K_Data">Data3!$EF$11:$EF$102</definedName>
    <definedName name="A127832529K_Latest">Data3!$EF$102</definedName>
    <definedName name="A127832530V">Data3!$EX$1:$EX$10,Data3!$EX$11:$EX$102</definedName>
    <definedName name="A127832530V_Data">Data3!$EX$11:$EX$102</definedName>
    <definedName name="A127832530V_Latest">Data3!$EX$102</definedName>
    <definedName name="A127832531W">Data3!$FS$1:$FS$10,Data3!$FS$11:$FS$102</definedName>
    <definedName name="A127832531W_Data">Data3!$FS$11:$FS$102</definedName>
    <definedName name="A127832531W_Latest">Data3!$FS$102</definedName>
    <definedName name="A127832847T">Data4!$CQ$1:$CQ$10,Data4!$CQ$11:$CQ$102</definedName>
    <definedName name="A127832847T_Data">Data4!$CQ$11:$CQ$102</definedName>
    <definedName name="A127832847T_Latest">Data4!$CQ$102</definedName>
    <definedName name="A127832848V">Data4!$CH$1:$CH$10,Data4!$CH$11:$CH$102</definedName>
    <definedName name="A127832848V_Data">Data4!$CH$11:$CH$102</definedName>
    <definedName name="A127832848V_Latest">Data4!$CH$102</definedName>
    <definedName name="A127832849W">Data4!$CB$1:$CB$10,Data4!$CB$11:$CB$102</definedName>
    <definedName name="A127832849W_Data">Data4!$CB$11:$CB$102</definedName>
    <definedName name="A127832849W_Latest">Data4!$CB$102</definedName>
    <definedName name="A127832850F">Data4!$CN$1:$CN$10,Data4!$CN$11:$CN$102</definedName>
    <definedName name="A127832850F_Data">Data4!$CN$11:$CN$102</definedName>
    <definedName name="A127832850F_Latest">Data4!$CN$102</definedName>
    <definedName name="A127832851J">Data4!$BY$1:$BY$10,Data4!$BY$11:$BY$102</definedName>
    <definedName name="A127832851J_Data">Data4!$BY$11:$BY$102</definedName>
    <definedName name="A127832851J_Latest">Data4!$BY$102</definedName>
    <definedName name="A127832852K">Data4!$BS$1:$BS$10,Data4!$BS$11:$BS$102</definedName>
    <definedName name="A127832852K_Data">Data4!$BS$11:$BS$102</definedName>
    <definedName name="A127832852K_Latest">Data4!$BS$102</definedName>
    <definedName name="A127832853L">Data4!$CW$1:$CW$10,Data4!$CW$11:$CW$102</definedName>
    <definedName name="A127832853L_Data">Data4!$CW$11:$CW$102</definedName>
    <definedName name="A127832853L_Latest">Data4!$CW$102</definedName>
    <definedName name="A127832854R">Data4!$CT$1:$CT$10,Data4!$CT$11:$CT$102</definedName>
    <definedName name="A127832854R_Data">Data4!$CT$11:$CT$102</definedName>
    <definedName name="A127832854R_Latest">Data4!$CT$102</definedName>
    <definedName name="A127832855T">Data4!$CK$1:$CK$10,Data4!$CK$11:$CK$102</definedName>
    <definedName name="A127832855T_Data">Data4!$CK$11:$CK$102</definedName>
    <definedName name="A127832855T_Latest">Data4!$CK$102</definedName>
    <definedName name="A127832856V">Data4!$BV$1:$BV$10,Data4!$BV$11:$BV$102</definedName>
    <definedName name="A127832856V_Data">Data4!$BV$11:$BV$102</definedName>
    <definedName name="A127832856V_Latest">Data4!$BV$102</definedName>
    <definedName name="A127832857W">Data4!$BJ$1:$BJ$10,Data4!$BJ$11:$BJ$102</definedName>
    <definedName name="A127832857W_Data">Data4!$BJ$11:$BJ$102</definedName>
    <definedName name="A127832857W_Latest">Data4!$BJ$102</definedName>
    <definedName name="A127832858X">Data4!$BP$1:$BP$10,Data4!$BP$11:$BP$102</definedName>
    <definedName name="A127832858X_Data">Data4!$BP$11:$BP$102</definedName>
    <definedName name="A127832858X_Latest">Data4!$BP$102</definedName>
    <definedName name="A127832859A">Data4!$BM$1:$BM$10,Data4!$BM$11:$BM$102</definedName>
    <definedName name="A127832859A_Data">Data4!$BM$11:$BM$102</definedName>
    <definedName name="A127832859A_Latest">Data4!$BM$102</definedName>
    <definedName name="A127832860K">Data4!$CE$1:$CE$10,Data4!$CE$11:$CE$102</definedName>
    <definedName name="A127832860K_Data">Data4!$CE$11:$CE$102</definedName>
    <definedName name="A127832860K_Latest">Data4!$CE$102</definedName>
    <definedName name="A127832861L">Data4!$CZ$1:$CZ$10,Data4!$CZ$11:$CZ$102</definedName>
    <definedName name="A127832861L_Data">Data4!$CZ$11:$CZ$102</definedName>
    <definedName name="A127832861L_Latest">Data4!$CZ$102</definedName>
    <definedName name="A127832937W">Data1!$CB$1:$CB$10,Data1!$CB$11:$CB$102</definedName>
    <definedName name="A127832937W_Data">Data1!$CB$11:$CB$102</definedName>
    <definedName name="A127832937W_Latest">Data1!$CB$102</definedName>
    <definedName name="A127832938X">Data1!$BS$1:$BS$10,Data1!$BS$11:$BS$102</definedName>
    <definedName name="A127832938X_Data">Data1!$BS$11:$BS$102</definedName>
    <definedName name="A127832938X_Latest">Data1!$BS$102</definedName>
    <definedName name="A127832939A">Data1!$BM$1:$BM$10,Data1!$BM$11:$BM$102</definedName>
    <definedName name="A127832939A_Data">Data1!$BM$11:$BM$102</definedName>
    <definedName name="A127832939A_Latest">Data1!$BM$102</definedName>
    <definedName name="A127832940K">Data1!$BY$1:$BY$10,Data1!$BY$11:$BY$102</definedName>
    <definedName name="A127832940K_Data">Data1!$BY$11:$BY$102</definedName>
    <definedName name="A127832940K_Latest">Data1!$BY$102</definedName>
    <definedName name="A127832941L">Data1!$BJ$1:$BJ$10,Data1!$BJ$11:$BJ$102</definedName>
    <definedName name="A127832941L_Data">Data1!$BJ$11:$BJ$102</definedName>
    <definedName name="A127832941L_Latest">Data1!$BJ$102</definedName>
    <definedName name="A127832942R">Data1!$BD$1:$BD$10,Data1!$BD$11:$BD$102</definedName>
    <definedName name="A127832942R_Data">Data1!$BD$11:$BD$102</definedName>
    <definedName name="A127832942R_Latest">Data1!$BD$102</definedName>
    <definedName name="A127832943T">Data1!$CH$1:$CH$10,Data1!$CH$11:$CH$102</definedName>
    <definedName name="A127832943T_Data">Data1!$CH$11:$CH$102</definedName>
    <definedName name="A127832943T_Latest">Data1!$CH$102</definedName>
    <definedName name="A127832944V">Data1!$CE$1:$CE$10,Data1!$CE$11:$CE$102</definedName>
    <definedName name="A127832944V_Data">Data1!$CE$11:$CE$102</definedName>
    <definedName name="A127832944V_Latest">Data1!$CE$102</definedName>
    <definedName name="A127832945W">Data1!$BV$1:$BV$10,Data1!$BV$11:$BV$102</definedName>
    <definedName name="A127832945W_Data">Data1!$BV$11:$BV$102</definedName>
    <definedName name="A127832945W_Latest">Data1!$BV$102</definedName>
    <definedName name="A127832946X">Data1!$BG$1:$BG$10,Data1!$BG$11:$BG$102</definedName>
    <definedName name="A127832946X_Data">Data1!$BG$11:$BG$102</definedName>
    <definedName name="A127832946X_Latest">Data1!$BG$102</definedName>
    <definedName name="A127832947A">Data1!$AU$1:$AU$10,Data1!$AU$11:$AU$102</definedName>
    <definedName name="A127832947A_Data">Data1!$AU$11:$AU$102</definedName>
    <definedName name="A127832947A_Latest">Data1!$AU$102</definedName>
    <definedName name="A127832948C">Data1!$BA$1:$BA$10,Data1!$BA$11:$BA$102</definedName>
    <definedName name="A127832948C_Data">Data1!$BA$11:$BA$102</definedName>
    <definedName name="A127832948C_Latest">Data1!$BA$102</definedName>
    <definedName name="A127832949F">Data1!$AX$1:$AX$10,Data1!$AX$11:$AX$102</definedName>
    <definedName name="A127832949F_Data">Data1!$AX$11:$AX$102</definedName>
    <definedName name="A127832949F_Latest">Data1!$AX$102</definedName>
    <definedName name="A127832950R">Data1!$BP$1:$BP$10,Data1!$BP$11:$BP$102</definedName>
    <definedName name="A127832950R_Data">Data1!$BP$11:$BP$102</definedName>
    <definedName name="A127832950R_Latest">Data1!$BP$102</definedName>
    <definedName name="A127832951T">Data1!$CK$1:$CK$10,Data1!$CK$11:$CK$102</definedName>
    <definedName name="A127832951T_Data">Data1!$CK$11:$CK$102</definedName>
    <definedName name="A127832951T_Latest">Data1!$CK$102</definedName>
    <definedName name="A127832967K">Data2!$GH$1:$GH$10,Data2!$GH$11:$GH$102</definedName>
    <definedName name="A127832967K_Data">Data2!$GH$11:$GH$102</definedName>
    <definedName name="A127832967K_Latest">Data2!$GH$102</definedName>
    <definedName name="A127832968L">Data2!$FY$1:$FY$10,Data2!$FY$11:$FY$102</definedName>
    <definedName name="A127832968L_Data">Data2!$FY$11:$FY$102</definedName>
    <definedName name="A127832968L_Latest">Data2!$FY$102</definedName>
    <definedName name="A127832969R">Data2!$FS$1:$FS$10,Data2!$FS$11:$FS$102</definedName>
    <definedName name="A127832969R_Data">Data2!$FS$11:$FS$102</definedName>
    <definedName name="A127832969R_Latest">Data2!$FS$102</definedName>
    <definedName name="A127832970X">Data2!$GE$1:$GE$10,Data2!$GE$11:$GE$102</definedName>
    <definedName name="A127832970X_Data">Data2!$GE$11:$GE$102</definedName>
    <definedName name="A127832970X_Latest">Data2!$GE$102</definedName>
    <definedName name="A127832971A">Data2!$FP$1:$FP$10,Data2!$FP$11:$FP$102</definedName>
    <definedName name="A127832971A_Data">Data2!$FP$11:$FP$102</definedName>
    <definedName name="A127832971A_Latest">Data2!$FP$102</definedName>
    <definedName name="A127832972C">Data2!$FJ$1:$FJ$10,Data2!$FJ$11:$FJ$102</definedName>
    <definedName name="A127832972C_Data">Data2!$FJ$11:$FJ$102</definedName>
    <definedName name="A127832972C_Latest">Data2!$FJ$102</definedName>
    <definedName name="A127832973F">Data2!$GN$1:$GN$10,Data2!$GN$11:$GN$102</definedName>
    <definedName name="A127832973F_Data">Data2!$GN$11:$GN$102</definedName>
    <definedName name="A127832973F_Latest">Data2!$GN$102</definedName>
    <definedName name="A127832974J">Data2!$GK$1:$GK$10,Data2!$GK$11:$GK$102</definedName>
    <definedName name="A127832974J_Data">Data2!$GK$11:$GK$102</definedName>
    <definedName name="A127832974J_Latest">Data2!$GK$102</definedName>
    <definedName name="A127832975K">Data2!$GB$1:$GB$10,Data2!$GB$11:$GB$102</definedName>
    <definedName name="A127832975K_Data">Data2!$GB$11:$GB$102</definedName>
    <definedName name="A127832975K_Latest">Data2!$GB$102</definedName>
    <definedName name="A127832976L">Data2!$FM$1:$FM$10,Data2!$FM$11:$FM$102</definedName>
    <definedName name="A127832976L_Data">Data2!$FM$11:$FM$102</definedName>
    <definedName name="A127832976L_Latest">Data2!$FM$102</definedName>
    <definedName name="A127832977R">Data2!$FA$1:$FA$10,Data2!$FA$11:$FA$102</definedName>
    <definedName name="A127832977R_Data">Data2!$FA$11:$FA$102</definedName>
    <definedName name="A127832977R_Latest">Data2!$FA$102</definedName>
    <definedName name="A127832978T">Data2!$FG$1:$FG$10,Data2!$FG$11:$FG$102</definedName>
    <definedName name="A127832978T_Data">Data2!$FG$11:$FG$102</definedName>
    <definedName name="A127832978T_Latest">Data2!$FG$102</definedName>
    <definedName name="A127832979V">Data2!$FD$1:$FD$10,Data2!$FD$11:$FD$102</definedName>
    <definedName name="A127832979V_Data">Data2!$FD$11:$FD$102</definedName>
    <definedName name="A127832979V_Latest">Data2!$FD$102</definedName>
    <definedName name="A127832980C">Data2!$FV$1:$FV$10,Data2!$FV$11:$FV$102</definedName>
    <definedName name="A127832980C_Data">Data2!$FV$11:$FV$102</definedName>
    <definedName name="A127832980C_Latest">Data2!$FV$102</definedName>
    <definedName name="A127832981F">Data2!$GQ$1:$GQ$10,Data2!$GQ$11:$GQ$102</definedName>
    <definedName name="A127832981F_Data">Data2!$GQ$11:$GQ$102</definedName>
    <definedName name="A127832981F_Latest">Data2!$GQ$102</definedName>
    <definedName name="A127832997X">Data2!$EO$1:$EO$10,Data2!$EO$11:$EO$102</definedName>
    <definedName name="A127832997X_Data">Data2!$EO$11:$EO$102</definedName>
    <definedName name="A127832997X_Latest">Data2!$EO$102</definedName>
    <definedName name="A127832998A">Data2!$EF$1:$EF$10,Data2!$EF$11:$EF$102</definedName>
    <definedName name="A127832998A_Data">Data2!$EF$11:$EF$102</definedName>
    <definedName name="A127832998A_Latest">Data2!$EF$102</definedName>
    <definedName name="A127832999C">Data2!$DZ$1:$DZ$10,Data2!$DZ$11:$DZ$102</definedName>
    <definedName name="A127832999C_Data">Data2!$DZ$11:$DZ$102</definedName>
    <definedName name="A127832999C_Latest">Data2!$DZ$102</definedName>
    <definedName name="A127833000C">Data2!$EL$1:$EL$10,Data2!$EL$11:$EL$102</definedName>
    <definedName name="A127833000C_Data">Data2!$EL$11:$EL$102</definedName>
    <definedName name="A127833000C_Latest">Data2!$EL$102</definedName>
    <definedName name="A127833001F">Data2!$DW$1:$DW$10,Data2!$DW$11:$DW$102</definedName>
    <definedName name="A127833001F_Data">Data2!$DW$11:$DW$102</definedName>
    <definedName name="A127833001F_Latest">Data2!$DW$102</definedName>
    <definedName name="A127833002J">Data2!$DQ$1:$DQ$10,Data2!$DQ$11:$DQ$102</definedName>
    <definedName name="A127833002J_Data">Data2!$DQ$11:$DQ$102</definedName>
    <definedName name="A127833002J_Latest">Data2!$DQ$102</definedName>
    <definedName name="A127833003K">Data2!$EU$1:$EU$10,Data2!$EU$11:$EU$102</definedName>
    <definedName name="A127833003K_Data">Data2!$EU$11:$EU$102</definedName>
    <definedName name="A127833003K_Latest">Data2!$EU$102</definedName>
    <definedName name="A127833004L">Data2!$ER$1:$ER$10,Data2!$ER$11:$ER$102</definedName>
    <definedName name="A127833004L_Data">Data2!$ER$11:$ER$102</definedName>
    <definedName name="A127833004L_Latest">Data2!$ER$102</definedName>
    <definedName name="A127833005R">Data2!$EI$1:$EI$10,Data2!$EI$11:$EI$102</definedName>
    <definedName name="A127833005R_Data">Data2!$EI$11:$EI$102</definedName>
    <definedName name="A127833005R_Latest">Data2!$EI$102</definedName>
    <definedName name="A127833006T">Data2!$DT$1:$DT$10,Data2!$DT$11:$DT$102</definedName>
    <definedName name="A127833006T_Data">Data2!$DT$11:$DT$102</definedName>
    <definedName name="A127833006T_Latest">Data2!$DT$102</definedName>
    <definedName name="A127833007V">Data2!$DH$1:$DH$10,Data2!$DH$11:$DH$102</definedName>
    <definedName name="A127833007V_Data">Data2!$DH$11:$DH$102</definedName>
    <definedName name="A127833007V_Latest">Data2!$DH$102</definedName>
    <definedName name="A127833008W">Data2!$DN$1:$DN$10,Data2!$DN$11:$DN$102</definedName>
    <definedName name="A127833008W_Data">Data2!$DN$11:$DN$102</definedName>
    <definedName name="A127833008W_Latest">Data2!$DN$102</definedName>
    <definedName name="A127833009X">Data2!$DK$1:$DK$10,Data2!$DK$11:$DK$102</definedName>
    <definedName name="A127833009X_Data">Data2!$DK$11:$DK$102</definedName>
    <definedName name="A127833009X_Latest">Data2!$DK$102</definedName>
    <definedName name="A127833010J">Data2!$EC$1:$EC$10,Data2!$EC$11:$EC$102</definedName>
    <definedName name="A127833010J_Data">Data2!$EC$11:$EC$102</definedName>
    <definedName name="A127833010J_Latest">Data2!$EC$102</definedName>
    <definedName name="A127833011K">Data2!$EX$1:$EX$10,Data2!$EX$11:$EX$102</definedName>
    <definedName name="A127833011K_Data">Data2!$EX$11:$EX$102</definedName>
    <definedName name="A127833011K_Latest">Data2!$EX$102</definedName>
    <definedName name="A127833027C">Data1!$HG$1:$HG$10,Data1!$HG$11:$HG$102</definedName>
    <definedName name="A127833027C_Data">Data1!$HG$11:$HG$102</definedName>
    <definedName name="A127833027C_Latest">Data1!$HG$102</definedName>
    <definedName name="A127833028F">Data1!$GX$1:$GX$10,Data1!$GX$11:$GX$102</definedName>
    <definedName name="A127833028F_Data">Data1!$GX$11:$GX$102</definedName>
    <definedName name="A127833028F_Latest">Data1!$GX$102</definedName>
    <definedName name="A127833029J">Data1!$GR$1:$GR$10,Data1!$GR$11:$GR$102</definedName>
    <definedName name="A127833029J_Data">Data1!$GR$11:$GR$102</definedName>
    <definedName name="A127833029J_Latest">Data1!$GR$102</definedName>
    <definedName name="A127833030T">Data1!$HD$1:$HD$10,Data1!$HD$11:$HD$102</definedName>
    <definedName name="A127833030T_Data">Data1!$HD$11:$HD$102</definedName>
    <definedName name="A127833030T_Latest">Data1!$HD$102</definedName>
    <definedName name="A127833031V">Data1!$GO$1:$GO$10,Data1!$GO$11:$GO$102</definedName>
    <definedName name="A127833031V_Data">Data1!$GO$11:$GO$102</definedName>
    <definedName name="A127833031V_Latest">Data1!$GO$102</definedName>
    <definedName name="A127833032W">Data1!$GI$1:$GI$10,Data1!$GI$11:$GI$102</definedName>
    <definedName name="A127833032W_Data">Data1!$GI$11:$GI$102</definedName>
    <definedName name="A127833032W_Latest">Data1!$GI$102</definedName>
    <definedName name="A127833033X">Data1!$HM$1:$HM$10,Data1!$HM$11:$HM$102</definedName>
    <definedName name="A127833033X_Data">Data1!$HM$11:$HM$102</definedName>
    <definedName name="A127833033X_Latest">Data1!$HM$102</definedName>
    <definedName name="A127833034A">Data1!$HJ$1:$HJ$10,Data1!$HJ$11:$HJ$102</definedName>
    <definedName name="A127833034A_Data">Data1!$HJ$11:$HJ$102</definedName>
    <definedName name="A127833034A_Latest">Data1!$HJ$102</definedName>
    <definedName name="A127833035C">Data1!$HA$1:$HA$10,Data1!$HA$11:$HA$102</definedName>
    <definedName name="A127833035C_Data">Data1!$HA$11:$HA$102</definedName>
    <definedName name="A127833035C_Latest">Data1!$HA$102</definedName>
    <definedName name="A127833036F">Data1!$GL$1:$GL$10,Data1!$GL$11:$GL$102</definedName>
    <definedName name="A127833036F_Data">Data1!$GL$11:$GL$102</definedName>
    <definedName name="A127833036F_Latest">Data1!$GL$102</definedName>
    <definedName name="A127833037J">Data1!$FZ$1:$FZ$10,Data1!$FZ$11:$FZ$102</definedName>
    <definedName name="A127833037J_Data">Data1!$FZ$11:$FZ$102</definedName>
    <definedName name="A127833037J_Latest">Data1!$FZ$102</definedName>
    <definedName name="A127833038K">Data1!$GF$1:$GF$10,Data1!$GF$11:$GF$102</definedName>
    <definedName name="A127833038K_Data">Data1!$GF$11:$GF$102</definedName>
    <definedName name="A127833038K_Latest">Data1!$GF$102</definedName>
    <definedName name="A127833039L">Data1!$GC$1:$GC$10,Data1!$GC$11:$GC$102</definedName>
    <definedName name="A127833039L_Data">Data1!$GC$11:$GC$102</definedName>
    <definedName name="A127833039L_Latest">Data1!$GC$102</definedName>
    <definedName name="A127833040W">Data1!$GU$1:$GU$10,Data1!$GU$11:$GU$102</definedName>
    <definedName name="A127833040W_Data">Data1!$GU$11:$GU$102</definedName>
    <definedName name="A127833040W_Latest">Data1!$GU$102</definedName>
    <definedName name="A127833041X">Data1!$HP$1:$HP$10,Data1!$HP$11:$HP$102</definedName>
    <definedName name="A127833041X_Data">Data1!$HP$11:$HP$102</definedName>
    <definedName name="A127833041X_Latest">Data1!$HP$102</definedName>
    <definedName name="A127833057T">Data1!$FN$1:$FN$10,Data1!$FN$11:$FN$102</definedName>
    <definedName name="A127833057T_Data">Data1!$FN$11:$FN$102</definedName>
    <definedName name="A127833057T_Latest">Data1!$FN$102</definedName>
    <definedName name="A127833058V">Data1!$FE$1:$FE$10,Data1!$FE$11:$FE$102</definedName>
    <definedName name="A127833058V_Data">Data1!$FE$11:$FE$102</definedName>
    <definedName name="A127833058V_Latest">Data1!$FE$102</definedName>
    <definedName name="A127833059W">Data1!$EY$1:$EY$10,Data1!$EY$11:$EY$102</definedName>
    <definedName name="A127833059W_Data">Data1!$EY$11:$EY$102</definedName>
    <definedName name="A127833059W_Latest">Data1!$EY$102</definedName>
    <definedName name="A127833060F">Data1!$FK$1:$FK$10,Data1!$FK$11:$FK$102</definedName>
    <definedName name="A127833060F_Data">Data1!$FK$11:$FK$102</definedName>
    <definedName name="A127833060F_Latest">Data1!$FK$102</definedName>
    <definedName name="A127833061J">Data1!$EV$1:$EV$10,Data1!$EV$11:$EV$102</definedName>
    <definedName name="A127833061J_Data">Data1!$EV$11:$EV$102</definedName>
    <definedName name="A127833061J_Latest">Data1!$EV$102</definedName>
    <definedName name="A127833062K">Data1!$EP$1:$EP$10,Data1!$EP$11:$EP$102</definedName>
    <definedName name="A127833062K_Data">Data1!$EP$11:$EP$102</definedName>
    <definedName name="A127833062K_Latest">Data1!$EP$102</definedName>
    <definedName name="A127833063L">Data1!$FT$1:$FT$10,Data1!$FT$11:$FT$102</definedName>
    <definedName name="A127833063L_Data">Data1!$FT$11:$FT$102</definedName>
    <definedName name="A127833063L_Latest">Data1!$FT$102</definedName>
    <definedName name="A127833064R">Data1!$FQ$1:$FQ$10,Data1!$FQ$11:$FQ$102</definedName>
    <definedName name="A127833064R_Data">Data1!$FQ$11:$FQ$102</definedName>
    <definedName name="A127833064R_Latest">Data1!$FQ$102</definedName>
    <definedName name="A127833065T">Data1!$FH$1:$FH$10,Data1!$FH$11:$FH$102</definedName>
    <definedName name="A127833065T_Data">Data1!$FH$11:$FH$102</definedName>
    <definedName name="A127833065T_Latest">Data1!$FH$102</definedName>
    <definedName name="A127833066V">Data1!$ES$1:$ES$10,Data1!$ES$11:$ES$102</definedName>
    <definedName name="A127833066V_Data">Data1!$ES$11:$ES$102</definedName>
    <definedName name="A127833066V_Latest">Data1!$ES$102</definedName>
    <definedName name="A127833067W">Data1!$EG$1:$EG$10,Data1!$EG$11:$EG$102</definedName>
    <definedName name="A127833067W_Data">Data1!$EG$11:$EG$102</definedName>
    <definedName name="A127833067W_Latest">Data1!$EG$102</definedName>
    <definedName name="A127833068X">Data1!$EM$1:$EM$10,Data1!$EM$11:$EM$102</definedName>
    <definedName name="A127833068X_Data">Data1!$EM$11:$EM$102</definedName>
    <definedName name="A127833068X_Latest">Data1!$EM$102</definedName>
    <definedName name="A127833069A">Data1!$EJ$1:$EJ$10,Data1!$EJ$11:$EJ$102</definedName>
    <definedName name="A127833069A_Data">Data1!$EJ$11:$EJ$102</definedName>
    <definedName name="A127833069A_Latest">Data1!$EJ$102</definedName>
    <definedName name="A127833070K">Data1!$FB$1:$FB$10,Data1!$FB$11:$FB$102</definedName>
    <definedName name="A127833070K_Data">Data1!$FB$11:$FB$102</definedName>
    <definedName name="A127833070K_Latest">Data1!$FB$102</definedName>
    <definedName name="A127833071L">Data1!$FW$1:$FW$10,Data1!$FW$11:$FW$102</definedName>
    <definedName name="A127833071L_Data">Data1!$FW$11:$FW$102</definedName>
    <definedName name="A127833071L_Latest">Data1!$FW$102</definedName>
    <definedName name="A127833087F">Data2!$IA$1:$IA$10,Data2!$IA$11:$IA$102</definedName>
    <definedName name="A127833087F_Data">Data2!$IA$11:$IA$102</definedName>
    <definedName name="A127833087F_Latest">Data2!$IA$102</definedName>
    <definedName name="A127833088J">Data2!$HR$1:$HR$10,Data2!$HR$11:$HR$102</definedName>
    <definedName name="A127833088J_Data">Data2!$HR$11:$HR$102</definedName>
    <definedName name="A127833088J_Latest">Data2!$HR$102</definedName>
    <definedName name="A127833089K">Data2!$HL$1:$HL$10,Data2!$HL$11:$HL$102</definedName>
    <definedName name="A127833089K_Data">Data2!$HL$11:$HL$102</definedName>
    <definedName name="A127833089K_Latest">Data2!$HL$102</definedName>
    <definedName name="A127833090V">Data2!$HX$1:$HX$10,Data2!$HX$11:$HX$102</definedName>
    <definedName name="A127833090V_Data">Data2!$HX$11:$HX$102</definedName>
    <definedName name="A127833090V_Latest">Data2!$HX$102</definedName>
    <definedName name="A127833091W">Data2!$HI$1:$HI$10,Data2!$HI$11:$HI$102</definedName>
    <definedName name="A127833091W_Data">Data2!$HI$11:$HI$102</definedName>
    <definedName name="A127833091W_Latest">Data2!$HI$102</definedName>
    <definedName name="A127833092X">Data2!$HC$1:$HC$10,Data2!$HC$11:$HC$102</definedName>
    <definedName name="A127833092X_Data">Data2!$HC$11:$HC$102</definedName>
    <definedName name="A127833092X_Latest">Data2!$HC$102</definedName>
    <definedName name="A127833093A">Data2!$IG$1:$IG$10,Data2!$IG$11:$IG$102</definedName>
    <definedName name="A127833093A_Data">Data2!$IG$11:$IG$102</definedName>
    <definedName name="A127833093A_Latest">Data2!$IG$102</definedName>
    <definedName name="A127833094C">Data2!$ID$1:$ID$10,Data2!$ID$11:$ID$102</definedName>
    <definedName name="A127833094C_Data">Data2!$ID$11:$ID$102</definedName>
    <definedName name="A127833094C_Latest">Data2!$ID$102</definedName>
    <definedName name="A127833095F">Data2!$HU$1:$HU$10,Data2!$HU$11:$HU$102</definedName>
    <definedName name="A127833095F_Data">Data2!$HU$11:$HU$102</definedName>
    <definedName name="A127833095F_Latest">Data2!$HU$102</definedName>
    <definedName name="A127833096J">Data2!$HF$1:$HF$10,Data2!$HF$11:$HF$102</definedName>
    <definedName name="A127833096J_Data">Data2!$HF$11:$HF$102</definedName>
    <definedName name="A127833096J_Latest">Data2!$HF$102</definedName>
    <definedName name="A127833097K">Data2!$GT$1:$GT$10,Data2!$GT$11:$GT$102</definedName>
    <definedName name="A127833097K_Data">Data2!$GT$11:$GT$102</definedName>
    <definedName name="A127833097K_Latest">Data2!$GT$102</definedName>
    <definedName name="A127833098L">Data2!$GZ$1:$GZ$10,Data2!$GZ$11:$GZ$102</definedName>
    <definedName name="A127833098L_Data">Data2!$GZ$11:$GZ$102</definedName>
    <definedName name="A127833098L_Latest">Data2!$GZ$102</definedName>
    <definedName name="A127833099R">Data2!$GW$1:$GW$10,Data2!$GW$11:$GW$102</definedName>
    <definedName name="A127833099R_Data">Data2!$GW$11:$GW$102</definedName>
    <definedName name="A127833099R_Latest">Data2!$GW$102</definedName>
    <definedName name="A127833100L">Data2!$HO$1:$HO$10,Data2!$HO$11:$HO$102</definedName>
    <definedName name="A127833100L_Data">Data2!$HO$11:$HO$102</definedName>
    <definedName name="A127833100L_Latest">Data2!$HO$102</definedName>
    <definedName name="A127833101R">Data2!$IJ$1:$IJ$10,Data2!$IJ$11:$IJ$102</definedName>
    <definedName name="A127833101R_Data">Data2!$IJ$11:$IJ$102</definedName>
    <definedName name="A127833101R_Latest">Data2!$IJ$102</definedName>
    <definedName name="A127833117J">Data1!$DU$1:$DU$10,Data1!$DU$11:$DU$102</definedName>
    <definedName name="A127833117J_Data">Data1!$DU$11:$DU$102</definedName>
    <definedName name="A127833117J_Latest">Data1!$DU$102</definedName>
    <definedName name="A127833118K">Data1!$DL$1:$DL$10,Data1!$DL$11:$DL$102</definedName>
    <definedName name="A127833118K_Data">Data1!$DL$11:$DL$102</definedName>
    <definedName name="A127833118K_Latest">Data1!$DL$102</definedName>
    <definedName name="A127833119L">Data1!$DF$1:$DF$10,Data1!$DF$11:$DF$102</definedName>
    <definedName name="A127833119L_Data">Data1!$DF$11:$DF$102</definedName>
    <definedName name="A127833119L_Latest">Data1!$DF$102</definedName>
    <definedName name="A127833120W">Data1!$DR$1:$DR$10,Data1!$DR$11:$DR$102</definedName>
    <definedName name="A127833120W_Data">Data1!$DR$11:$DR$102</definedName>
    <definedName name="A127833120W_Latest">Data1!$DR$102</definedName>
    <definedName name="A127833121X">Data1!$DC$1:$DC$10,Data1!$DC$11:$DC$102</definedName>
    <definedName name="A127833121X_Data">Data1!$DC$11:$DC$102</definedName>
    <definedName name="A127833121X_Latest">Data1!$DC$102</definedName>
    <definedName name="A127833122A">Data1!$CW$1:$CW$10,Data1!$CW$11:$CW$102</definedName>
    <definedName name="A127833122A_Data">Data1!$CW$11:$CW$102</definedName>
    <definedName name="A127833122A_Latest">Data1!$CW$102</definedName>
    <definedName name="A127833123C">Data1!$EA$1:$EA$10,Data1!$EA$11:$EA$102</definedName>
    <definedName name="A127833123C_Data">Data1!$EA$11:$EA$102</definedName>
    <definedName name="A127833123C_Latest">Data1!$EA$102</definedName>
    <definedName name="A127833124F">Data1!$DX$1:$DX$10,Data1!$DX$11:$DX$102</definedName>
    <definedName name="A127833124F_Data">Data1!$DX$11:$DX$102</definedName>
    <definedName name="A127833124F_Latest">Data1!$DX$102</definedName>
    <definedName name="A127833125J">Data1!$DO$1:$DO$10,Data1!$DO$11:$DO$102</definedName>
    <definedName name="A127833125J_Data">Data1!$DO$11:$DO$102</definedName>
    <definedName name="A127833125J_Latest">Data1!$DO$102</definedName>
    <definedName name="A127833126K">Data1!$CZ$1:$CZ$10,Data1!$CZ$11:$CZ$102</definedName>
    <definedName name="A127833126K_Data">Data1!$CZ$11:$CZ$102</definedName>
    <definedName name="A127833126K_Latest">Data1!$CZ$102</definedName>
    <definedName name="A127833127L">Data1!$CN$1:$CN$10,Data1!$CN$11:$CN$102</definedName>
    <definedName name="A127833127L_Data">Data1!$CN$11:$CN$102</definedName>
    <definedName name="A127833127L_Latest">Data1!$CN$102</definedName>
    <definedName name="A127833128R">Data1!$CT$1:$CT$10,Data1!$CT$11:$CT$102</definedName>
    <definedName name="A127833128R_Data">Data1!$CT$11:$CT$102</definedName>
    <definedName name="A127833128R_Latest">Data1!$CT$102</definedName>
    <definedName name="A127833129T">Data1!$CQ$1:$CQ$10,Data1!$CQ$11:$CQ$102</definedName>
    <definedName name="A127833129T_Data">Data1!$CQ$11:$CQ$102</definedName>
    <definedName name="A127833129T_Latest">Data1!$CQ$102</definedName>
    <definedName name="A127833130A">Data1!$DI$1:$DI$10,Data1!$DI$11:$DI$102</definedName>
    <definedName name="A127833130A_Data">Data1!$DI$11:$DI$102</definedName>
    <definedName name="A127833130A_Latest">Data1!$DI$102</definedName>
    <definedName name="A127833131C">Data1!$ED$1:$ED$10,Data1!$ED$11:$ED$102</definedName>
    <definedName name="A127833131C_Data">Data1!$ED$11:$ED$102</definedName>
    <definedName name="A127833131C_Latest">Data1!$ED$102</definedName>
    <definedName name="A127833147W">Data2!$CV$1:$CV$10,Data2!$CV$11:$CV$102</definedName>
    <definedName name="A127833147W_Data">Data2!$CV$11:$CV$102</definedName>
    <definedName name="A127833147W_Latest">Data2!$CV$102</definedName>
    <definedName name="A127833148X">Data2!$CM$1:$CM$10,Data2!$CM$11:$CM$102</definedName>
    <definedName name="A127833148X_Data">Data2!$CM$11:$CM$102</definedName>
    <definedName name="A127833148X_Latest">Data2!$CM$102</definedName>
    <definedName name="A127833149A">Data2!$CG$1:$CG$10,Data2!$CG$11:$CG$102</definedName>
    <definedName name="A127833149A_Data">Data2!$CG$11:$CG$102</definedName>
    <definedName name="A127833149A_Latest">Data2!$CG$102</definedName>
    <definedName name="A127833150K">Data2!$CS$1:$CS$10,Data2!$CS$11:$CS$102</definedName>
    <definedName name="A127833150K_Data">Data2!$CS$11:$CS$102</definedName>
    <definedName name="A127833150K_Latest">Data2!$CS$102</definedName>
    <definedName name="A127833151L">Data2!$CD$1:$CD$10,Data2!$CD$11:$CD$102</definedName>
    <definedName name="A127833151L_Data">Data2!$CD$11:$CD$102</definedName>
    <definedName name="A127833151L_Latest">Data2!$CD$102</definedName>
    <definedName name="A127833152R">Data2!$BX$1:$BX$10,Data2!$BX$11:$BX$102</definedName>
    <definedName name="A127833152R_Data">Data2!$BX$11:$BX$102</definedName>
    <definedName name="A127833152R_Latest">Data2!$BX$102</definedName>
    <definedName name="A127833153T">Data2!$DB$1:$DB$10,Data2!$DB$11:$DB$102</definedName>
    <definedName name="A127833153T_Data">Data2!$DB$11:$DB$102</definedName>
    <definedName name="A127833153T_Latest">Data2!$DB$102</definedName>
    <definedName name="A127833154V">Data2!$CY$1:$CY$10,Data2!$CY$11:$CY$102</definedName>
    <definedName name="A127833154V_Data">Data2!$CY$11:$CY$102</definedName>
    <definedName name="A127833154V_Latest">Data2!$CY$102</definedName>
    <definedName name="A127833155W">Data2!$CP$1:$CP$10,Data2!$CP$11:$CP$102</definedName>
    <definedName name="A127833155W_Data">Data2!$CP$11:$CP$102</definedName>
    <definedName name="A127833155W_Latest">Data2!$CP$102</definedName>
    <definedName name="A127833156X">Data2!$CA$1:$CA$10,Data2!$CA$11:$CA$102</definedName>
    <definedName name="A127833156X_Data">Data2!$CA$11:$CA$102</definedName>
    <definedName name="A127833156X_Latest">Data2!$CA$102</definedName>
    <definedName name="A127833157A">Data2!$BO$1:$BO$10,Data2!$BO$11:$BO$102</definedName>
    <definedName name="A127833157A_Data">Data2!$BO$11:$BO$102</definedName>
    <definedName name="A127833157A_Latest">Data2!$BO$102</definedName>
    <definedName name="A127833158C">Data2!$BU$1:$BU$10,Data2!$BU$11:$BU$102</definedName>
    <definedName name="A127833158C_Data">Data2!$BU$11:$BU$102</definedName>
    <definedName name="A127833158C_Latest">Data2!$BU$102</definedName>
    <definedName name="A127833159F">Data2!$BR$1:$BR$10,Data2!$BR$11:$BR$102</definedName>
    <definedName name="A127833159F_Data">Data2!$BR$11:$BR$102</definedName>
    <definedName name="A127833159F_Latest">Data2!$BR$102</definedName>
    <definedName name="A127833160R">Data2!$CJ$1:$CJ$10,Data2!$CJ$11:$CJ$102</definedName>
    <definedName name="A127833160R_Data">Data2!$CJ$11:$CJ$102</definedName>
    <definedName name="A127833160R_Latest">Data2!$CJ$102</definedName>
    <definedName name="A127833161T">Data2!$DE$1:$DE$10,Data2!$DE$11:$DE$102</definedName>
    <definedName name="A127833161T_Data">Data2!$DE$11:$DE$102</definedName>
    <definedName name="A127833161T_Latest">Data2!$DE$102</definedName>
    <definedName name="A127833177K">Data1!$AI$1:$AI$10,Data1!$AI$11:$AI$102</definedName>
    <definedName name="A127833177K_Data">Data1!$AI$11:$AI$102</definedName>
    <definedName name="A127833177K_Latest">Data1!$AI$102</definedName>
    <definedName name="A127833178L">Data1!$Z$1:$Z$10,Data1!$Z$11:$Z$102</definedName>
    <definedName name="A127833178L_Data">Data1!$Z$11:$Z$102</definedName>
    <definedName name="A127833178L_Latest">Data1!$Z$102</definedName>
    <definedName name="A127833179R">Data1!$T$1:$T$10,Data1!$T$11:$T$102</definedName>
    <definedName name="A127833179R_Data">Data1!$T$11:$T$102</definedName>
    <definedName name="A127833179R_Latest">Data1!$T$102</definedName>
    <definedName name="A127833180X">Data1!$AF$1:$AF$10,Data1!$AF$11:$AF$102</definedName>
    <definedName name="A127833180X_Data">Data1!$AF$11:$AF$102</definedName>
    <definedName name="A127833180X_Latest">Data1!$AF$102</definedName>
    <definedName name="A127833181A">Data1!$Q$1:$Q$10,Data1!$Q$11:$Q$102</definedName>
    <definedName name="A127833181A_Data">Data1!$Q$11:$Q$102</definedName>
    <definedName name="A127833181A_Latest">Data1!$Q$102</definedName>
    <definedName name="A127833182C">Data1!$K$1:$K$10,Data1!$K$11:$K$102</definedName>
    <definedName name="A127833182C_Data">Data1!$K$11:$K$102</definedName>
    <definedName name="A127833182C_Latest">Data1!$K$102</definedName>
    <definedName name="A127833183F">Data1!$AO$1:$AO$10,Data1!$AO$11:$AO$102</definedName>
    <definedName name="A127833183F_Data">Data1!$AO$11:$AO$102</definedName>
    <definedName name="A127833183F_Latest">Data1!$AO$102</definedName>
    <definedName name="A127833184J">Data1!$AL$1:$AL$10,Data1!$AL$11:$AL$102</definedName>
    <definedName name="A127833184J_Data">Data1!$AL$11:$AL$102</definedName>
    <definedName name="A127833184J_Latest">Data1!$AL$102</definedName>
    <definedName name="A127833185K">Data1!$AC$1:$AC$10,Data1!$AC$11:$AC$102</definedName>
    <definedName name="A127833185K_Data">Data1!$AC$11:$AC$102</definedName>
    <definedName name="A127833185K_Latest">Data1!$AC$102</definedName>
    <definedName name="A127833186L">Data1!$N$1:$N$10,Data1!$N$11:$N$102</definedName>
    <definedName name="A127833186L_Data">Data1!$N$11:$N$102</definedName>
    <definedName name="A127833186L_Latest">Data1!$N$102</definedName>
    <definedName name="A127833187R">Data1!$B$1:$B$10,Data1!$B$11:$B$102</definedName>
    <definedName name="A127833187R_Data">Data1!$B$11:$B$102</definedName>
    <definedName name="A127833187R_Latest">Data1!$B$102</definedName>
    <definedName name="A127833188T">Data1!$H$1:$H$10,Data1!$H$11:$H$102</definedName>
    <definedName name="A127833188T_Data">Data1!$H$11:$H$102</definedName>
    <definedName name="A127833188T_Latest">Data1!$H$102</definedName>
    <definedName name="A127833189V">Data1!$E$1:$E$10,Data1!$E$11:$E$102</definedName>
    <definedName name="A127833189V_Data">Data1!$E$11:$E$102</definedName>
    <definedName name="A127833189V_Latest">Data1!$E$102</definedName>
    <definedName name="A127833190C">Data1!$W$1:$W$10,Data1!$W$11:$W$102</definedName>
    <definedName name="A127833190C_Data">Data1!$W$11:$W$102</definedName>
    <definedName name="A127833190C_Latest">Data1!$W$102</definedName>
    <definedName name="A127833191F">Data1!$AR$1:$AR$10,Data1!$AR$11:$AR$102</definedName>
    <definedName name="A127833191F_Data">Data1!$AR$11:$AR$102</definedName>
    <definedName name="A127833191F_Latest">Data1!$AR$102</definedName>
    <definedName name="A127833207L">Data2!$J$1:$J$10,Data2!$J$11:$J$102</definedName>
    <definedName name="A127833207L_Data">Data2!$J$11:$J$102</definedName>
    <definedName name="A127833207L_Latest">Data2!$J$102</definedName>
    <definedName name="A127833208R">Data1!$IQ$1:$IQ$10,Data1!$IQ$11:$IQ$102</definedName>
    <definedName name="A127833208R_Data">Data1!$IQ$11:$IQ$102</definedName>
    <definedName name="A127833208R_Latest">Data1!$IQ$102</definedName>
    <definedName name="A127833209T">Data1!$IK$1:$IK$10,Data1!$IK$11:$IK$102</definedName>
    <definedName name="A127833209T_Data">Data1!$IK$11:$IK$102</definedName>
    <definedName name="A127833209T_Latest">Data1!$IK$102</definedName>
    <definedName name="A127833210A">Data2!$G$1:$G$10,Data2!$G$11:$G$102</definedName>
    <definedName name="A127833210A_Data">Data2!$G$11:$G$102</definedName>
    <definedName name="A127833210A_Latest">Data2!$G$102</definedName>
    <definedName name="A127833211C">Data1!$IH$1:$IH$10,Data1!$IH$11:$IH$102</definedName>
    <definedName name="A127833211C_Data">Data1!$IH$11:$IH$102</definedName>
    <definedName name="A127833211C_Latest">Data1!$IH$102</definedName>
    <definedName name="A127833212F">Data1!$IB$1:$IB$10,Data1!$IB$11:$IB$102</definedName>
    <definedName name="A127833212F_Data">Data1!$IB$11:$IB$102</definedName>
    <definedName name="A127833212F_Latest">Data1!$IB$102</definedName>
    <definedName name="A127833213J">Data2!$P$1:$P$10,Data2!$P$11:$P$102</definedName>
    <definedName name="A127833213J_Data">Data2!$P$11:$P$102</definedName>
    <definedName name="A127833213J_Latest">Data2!$P$102</definedName>
    <definedName name="A127833214K">Data2!$M$1:$M$10,Data2!$M$11:$M$102</definedName>
    <definedName name="A127833214K_Data">Data2!$M$11:$M$102</definedName>
    <definedName name="A127833214K_Latest">Data2!$M$102</definedName>
    <definedName name="A127833215L">Data2!$D$1:$D$10,Data2!$D$11:$D$102</definedName>
    <definedName name="A127833215L_Data">Data2!$D$11:$D$102</definedName>
    <definedName name="A127833215L_Latest">Data2!$D$102</definedName>
    <definedName name="A127833216R">Data1!$IE$1:$IE$10,Data1!$IE$11:$IE$102</definedName>
    <definedName name="A127833216R_Data">Data1!$IE$11:$IE$102</definedName>
    <definedName name="A127833216R_Latest">Data1!$IE$102</definedName>
    <definedName name="A127833217T">Data1!$HS$1:$HS$10,Data1!$HS$11:$HS$102</definedName>
    <definedName name="A127833217T_Data">Data1!$HS$11:$HS$102</definedName>
    <definedName name="A127833217T_Latest">Data1!$HS$102</definedName>
    <definedName name="A127833218V">Data1!$HY$1:$HY$10,Data1!$HY$11:$HY$102</definedName>
    <definedName name="A127833218V_Data">Data1!$HY$11:$HY$102</definedName>
    <definedName name="A127833218V_Latest">Data1!$HY$102</definedName>
    <definedName name="A127833219W">Data1!$HV$1:$HV$10,Data1!$HV$11:$HV$102</definedName>
    <definedName name="A127833219W_Data">Data1!$HV$11:$HV$102</definedName>
    <definedName name="A127833219W_Latest">Data1!$HV$102</definedName>
    <definedName name="A127833220F">Data1!$IN$1:$IN$10,Data1!$IN$11:$IN$102</definedName>
    <definedName name="A127833220F_Data">Data1!$IN$11:$IN$102</definedName>
    <definedName name="A127833220F_Latest">Data1!$IN$102</definedName>
    <definedName name="A127833221J">Data2!$S$1:$S$10,Data2!$S$11:$S$102</definedName>
    <definedName name="A127833221J_Data">Data2!$S$11:$S$102</definedName>
    <definedName name="A127833221J_Latest">Data2!$S$102</definedName>
    <definedName name="A127833237A">Data2!$BC$1:$BC$10,Data2!$BC$11:$BC$102</definedName>
    <definedName name="A127833237A_Data">Data2!$BC$11:$BC$102</definedName>
    <definedName name="A127833237A_Latest">Data2!$BC$102</definedName>
    <definedName name="A127833238C">Data2!$AT$1:$AT$10,Data2!$AT$11:$AT$102</definedName>
    <definedName name="A127833238C_Data">Data2!$AT$11:$AT$102</definedName>
    <definedName name="A127833238C_Latest">Data2!$AT$102</definedName>
    <definedName name="A127833239F">Data2!$AN$1:$AN$10,Data2!$AN$11:$AN$102</definedName>
    <definedName name="A127833239F_Data">Data2!$AN$11:$AN$102</definedName>
    <definedName name="A127833239F_Latest">Data2!$AN$102</definedName>
    <definedName name="A127833240R">Data2!$AZ$1:$AZ$10,Data2!$AZ$11:$AZ$102</definedName>
    <definedName name="A127833240R_Data">Data2!$AZ$11:$AZ$102</definedName>
    <definedName name="A127833240R_Latest">Data2!$AZ$102</definedName>
    <definedName name="A127833241T">Data2!$AK$1:$AK$10,Data2!$AK$11:$AK$102</definedName>
    <definedName name="A127833241T_Data">Data2!$AK$11:$AK$102</definedName>
    <definedName name="A127833241T_Latest">Data2!$AK$102</definedName>
    <definedName name="A127833242V">Data2!$AE$1:$AE$10,Data2!$AE$11:$AE$102</definedName>
    <definedName name="A127833242V_Data">Data2!$AE$11:$AE$102</definedName>
    <definedName name="A127833242V_Latest">Data2!$AE$102</definedName>
    <definedName name="A127833243W">Data2!$BI$1:$BI$10,Data2!$BI$11:$BI$102</definedName>
    <definedName name="A127833243W_Data">Data2!$BI$11:$BI$102</definedName>
    <definedName name="A127833243W_Latest">Data2!$BI$102</definedName>
    <definedName name="A127833244X">Data2!$BF$1:$BF$10,Data2!$BF$11:$BF$102</definedName>
    <definedName name="A127833244X_Data">Data2!$BF$11:$BF$102</definedName>
    <definedName name="A127833244X_Latest">Data2!$BF$102</definedName>
    <definedName name="A127833245A">Data2!$AW$1:$AW$10,Data2!$AW$11:$AW$102</definedName>
    <definedName name="A127833245A_Data">Data2!$AW$11:$AW$102</definedName>
    <definedName name="A127833245A_Latest">Data2!$AW$102</definedName>
    <definedName name="A127833246C">Data2!$AH$1:$AH$10,Data2!$AH$11:$AH$102</definedName>
    <definedName name="A127833246C_Data">Data2!$AH$11:$AH$102</definedName>
    <definedName name="A127833246C_Latest">Data2!$AH$102</definedName>
    <definedName name="A127833247F">Data2!$V$1:$V$10,Data2!$V$11:$V$102</definedName>
    <definedName name="A127833247F_Data">Data2!$V$11:$V$102</definedName>
    <definedName name="A127833247F_Latest">Data2!$V$102</definedName>
    <definedName name="A127833248J">Data2!$AB$1:$AB$10,Data2!$AB$11:$AB$102</definedName>
    <definedName name="A127833248J_Data">Data2!$AB$11:$AB$102</definedName>
    <definedName name="A127833248J_Latest">Data2!$AB$102</definedName>
    <definedName name="A127833249K">Data2!$Y$1:$Y$10,Data2!$Y$11:$Y$102</definedName>
    <definedName name="A127833249K_Data">Data2!$Y$11:$Y$102</definedName>
    <definedName name="A127833249K_Latest">Data2!$Y$102</definedName>
    <definedName name="A127833250V">Data2!$AQ$1:$AQ$10,Data2!$AQ$11:$AQ$102</definedName>
    <definedName name="A127833250V_Data">Data2!$AQ$11:$AQ$102</definedName>
    <definedName name="A127833250V_Latest">Data2!$AQ$102</definedName>
    <definedName name="A127833251W">Data2!$BL$1:$BL$10,Data2!$BL$11:$BL$102</definedName>
    <definedName name="A127833251W_Data">Data2!$BL$11:$BL$102</definedName>
    <definedName name="A127833251W_Latest">Data2!$BL$102</definedName>
    <definedName name="A127833507R">Data3!$BW$1:$BW$10,Data3!$BW$11:$BW$102</definedName>
    <definedName name="A127833507R_Data">Data3!$BW$11:$BW$102</definedName>
    <definedName name="A127833507R_Latest">Data3!$BW$102</definedName>
    <definedName name="A127833508T">Data3!$BN$1:$BN$10,Data3!$BN$11:$BN$102</definedName>
    <definedName name="A127833508T_Data">Data3!$BN$11:$BN$102</definedName>
    <definedName name="A127833508T_Latest">Data3!$BN$102</definedName>
    <definedName name="A127833509V">Data3!$BH$1:$BH$10,Data3!$BH$11:$BH$102</definedName>
    <definedName name="A127833509V_Data">Data3!$BH$11:$BH$102</definedName>
    <definedName name="A127833509V_Latest">Data3!$BH$102</definedName>
    <definedName name="A127833510C">Data3!$BT$1:$BT$10,Data3!$BT$11:$BT$102</definedName>
    <definedName name="A127833510C_Data">Data3!$BT$11:$BT$102</definedName>
    <definedName name="A127833510C_Latest">Data3!$BT$102</definedName>
    <definedName name="A127833511F">Data3!$BE$1:$BE$10,Data3!$BE$11:$BE$102</definedName>
    <definedName name="A127833511F_Data">Data3!$BE$11:$BE$102</definedName>
    <definedName name="A127833511F_Latest">Data3!$BE$102</definedName>
    <definedName name="A127833512J">Data3!$AY$1:$AY$10,Data3!$AY$11:$AY$102</definedName>
    <definedName name="A127833512J_Data">Data3!$AY$11:$AY$102</definedName>
    <definedName name="A127833512J_Latest">Data3!$AY$102</definedName>
    <definedName name="A127833513K">Data3!$CC$1:$CC$10,Data3!$CC$11:$CC$102</definedName>
    <definedName name="A127833513K_Data">Data3!$CC$11:$CC$102</definedName>
    <definedName name="A127833513K_Latest">Data3!$CC$102</definedName>
    <definedName name="A127833514L">Data3!$BZ$1:$BZ$10,Data3!$BZ$11:$BZ$102</definedName>
    <definedName name="A127833514L_Data">Data3!$BZ$11:$BZ$102</definedName>
    <definedName name="A127833514L_Latest">Data3!$BZ$102</definedName>
    <definedName name="A127833515R">Data3!$BQ$1:$BQ$10,Data3!$BQ$11:$BQ$102</definedName>
    <definedName name="A127833515R_Data">Data3!$BQ$11:$BQ$102</definedName>
    <definedName name="A127833515R_Latest">Data3!$BQ$102</definedName>
    <definedName name="A127833516T">Data3!$BB$1:$BB$10,Data3!$BB$11:$BB$102</definedName>
    <definedName name="A127833516T_Data">Data3!$BB$11:$BB$102</definedName>
    <definedName name="A127833516T_Latest">Data3!$BB$102</definedName>
    <definedName name="A127833517V">Data3!$AP$1:$AP$10,Data3!$AP$11:$AP$102</definedName>
    <definedName name="A127833517V_Data">Data3!$AP$11:$AP$102</definedName>
    <definedName name="A127833517V_Latest">Data3!$AP$102</definedName>
    <definedName name="A127833518W">Data3!$AV$1:$AV$10,Data3!$AV$11:$AV$102</definedName>
    <definedName name="A127833518W_Data">Data3!$AV$11:$AV$102</definedName>
    <definedName name="A127833518W_Latest">Data3!$AV$102</definedName>
    <definedName name="A127833519X">Data3!$AS$1:$AS$10,Data3!$AS$11:$AS$102</definedName>
    <definedName name="A127833519X_Data">Data3!$AS$11:$AS$102</definedName>
    <definedName name="A127833519X_Latest">Data3!$AS$102</definedName>
    <definedName name="A127833520J">Data3!$BK$1:$BK$10,Data3!$BK$11:$BK$102</definedName>
    <definedName name="A127833520J_Data">Data3!$BK$11:$BK$102</definedName>
    <definedName name="A127833520J_Latest">Data3!$BK$102</definedName>
    <definedName name="A127833521K">Data3!$CF$1:$CF$10,Data3!$CF$11:$CF$102</definedName>
    <definedName name="A127833521K_Data">Data3!$CF$11:$CF$102</definedName>
    <definedName name="A127833521K_Latest">Data3!$CF$102</definedName>
    <definedName name="A127833837F">Data3!$HB$1:$HB$10,Data3!$HB$11:$HB$102</definedName>
    <definedName name="A127833837F_Data">Data3!$HB$11:$HB$102</definedName>
    <definedName name="A127833837F_Latest">Data3!$HB$102</definedName>
    <definedName name="A127833838J">Data3!$GS$1:$GS$10,Data3!$GS$11:$GS$102</definedName>
    <definedName name="A127833838J_Data">Data3!$GS$11:$GS$102</definedName>
    <definedName name="A127833838J_Latest">Data3!$GS$102</definedName>
    <definedName name="A127833839K">Data3!$GM$1:$GM$10,Data3!$GM$11:$GM$102</definedName>
    <definedName name="A127833839K_Data">Data3!$GM$11:$GM$102</definedName>
    <definedName name="A127833839K_Latest">Data3!$GM$102</definedName>
    <definedName name="A127833840V">Data3!$GY$1:$GY$10,Data3!$GY$11:$GY$102</definedName>
    <definedName name="A127833840V_Data">Data3!$GY$11:$GY$102</definedName>
    <definedName name="A127833840V_Latest">Data3!$GY$102</definedName>
    <definedName name="A127833841W">Data3!$GJ$1:$GJ$10,Data3!$GJ$11:$GJ$102</definedName>
    <definedName name="A127833841W_Data">Data3!$GJ$11:$GJ$102</definedName>
    <definedName name="A127833841W_Latest">Data3!$GJ$102</definedName>
    <definedName name="A127833842X">Data3!$GD$1:$GD$10,Data3!$GD$11:$GD$102</definedName>
    <definedName name="A127833842X_Data">Data3!$GD$11:$GD$102</definedName>
    <definedName name="A127833842X_Latest">Data3!$GD$102</definedName>
    <definedName name="A127833843A">Data3!$HH$1:$HH$10,Data3!$HH$11:$HH$102</definedName>
    <definedName name="A127833843A_Data">Data3!$HH$11:$HH$102</definedName>
    <definedName name="A127833843A_Latest">Data3!$HH$102</definedName>
    <definedName name="A127833844C">Data3!$HE$1:$HE$10,Data3!$HE$11:$HE$102</definedName>
    <definedName name="A127833844C_Data">Data3!$HE$11:$HE$102</definedName>
    <definedName name="A127833844C_Latest">Data3!$HE$102</definedName>
    <definedName name="A127833845F">Data3!$GV$1:$GV$10,Data3!$GV$11:$GV$102</definedName>
    <definedName name="A127833845F_Data">Data3!$GV$11:$GV$102</definedName>
    <definedName name="A127833845F_Latest">Data3!$GV$102</definedName>
    <definedName name="A127833846J">Data3!$GG$1:$GG$10,Data3!$GG$11:$GG$102</definedName>
    <definedName name="A127833846J_Data">Data3!$GG$11:$GG$102</definedName>
    <definedName name="A127833846J_Latest">Data3!$GG$102</definedName>
    <definedName name="A127833847K">Data3!$FU$1:$FU$10,Data3!$FU$11:$FU$102</definedName>
    <definedName name="A127833847K_Data">Data3!$FU$11:$FU$102</definedName>
    <definedName name="A127833847K_Latest">Data3!$FU$102</definedName>
    <definedName name="A127833848L">Data3!$GA$1:$GA$10,Data3!$GA$11:$GA$102</definedName>
    <definedName name="A127833848L_Data">Data3!$GA$11:$GA$102</definedName>
    <definedName name="A127833848L_Latest">Data3!$GA$102</definedName>
    <definedName name="A127833849R">Data3!$FX$1:$FX$10,Data3!$FX$11:$FX$102</definedName>
    <definedName name="A127833849R_Data">Data3!$FX$11:$FX$102</definedName>
    <definedName name="A127833849R_Latest">Data3!$FX$102</definedName>
    <definedName name="A127833850X">Data3!$GP$1:$GP$10,Data3!$GP$11:$GP$102</definedName>
    <definedName name="A127833850X_Data">Data3!$GP$11:$GP$102</definedName>
    <definedName name="A127833850X_Latest">Data3!$GP$102</definedName>
    <definedName name="A127833851A">Data3!$HK$1:$HK$10,Data3!$HK$11:$HK$102</definedName>
    <definedName name="A127833851A_Data">Data3!$HK$11:$HK$102</definedName>
    <definedName name="A127833851A_Latest">Data3!$HK$102</definedName>
    <definedName name="A127834167X">Data4!$E$1:$E$10,Data4!$E$11:$E$102</definedName>
    <definedName name="A127834167X_Data">Data4!$E$11:$E$102</definedName>
    <definedName name="A127834167X_Latest">Data4!$E$102</definedName>
    <definedName name="A127834168A">Data3!$IL$1:$IL$10,Data3!$IL$11:$IL$102</definedName>
    <definedName name="A127834168A_Data">Data3!$IL$11:$IL$102</definedName>
    <definedName name="A127834168A_Latest">Data3!$IL$102</definedName>
    <definedName name="A127834169C">Data3!$IF$1:$IF$10,Data3!$IF$11:$IF$102</definedName>
    <definedName name="A127834169C_Data">Data3!$IF$11:$IF$102</definedName>
    <definedName name="A127834169C_Latest">Data3!$IF$102</definedName>
    <definedName name="A127834170L">Data4!$B$1:$B$10,Data4!$B$11:$B$102</definedName>
    <definedName name="A127834170L_Data">Data4!$B$11:$B$102</definedName>
    <definedName name="A127834170L_Latest">Data4!$B$102</definedName>
    <definedName name="A127834171R">Data3!$IC$1:$IC$10,Data3!$IC$11:$IC$102</definedName>
    <definedName name="A127834171R_Data">Data3!$IC$11:$IC$102</definedName>
    <definedName name="A127834171R_Latest">Data3!$IC$102</definedName>
    <definedName name="A127834172T">Data3!$HW$1:$HW$10,Data3!$HW$11:$HW$102</definedName>
    <definedName name="A127834172T_Data">Data3!$HW$11:$HW$102</definedName>
    <definedName name="A127834172T_Latest">Data3!$HW$102</definedName>
    <definedName name="A127834173V">Data4!$K$1:$K$10,Data4!$K$11:$K$102</definedName>
    <definedName name="A127834173V_Data">Data4!$K$11:$K$102</definedName>
    <definedName name="A127834173V_Latest">Data4!$K$102</definedName>
    <definedName name="A127834174W">Data4!$H$1:$H$10,Data4!$H$11:$H$102</definedName>
    <definedName name="A127834174W_Data">Data4!$H$11:$H$102</definedName>
    <definedName name="A127834174W_Latest">Data4!$H$102</definedName>
    <definedName name="A127834175X">Data3!$IO$1:$IO$10,Data3!$IO$11:$IO$102</definedName>
    <definedName name="A127834175X_Data">Data3!$IO$11:$IO$102</definedName>
    <definedName name="A127834175X_Latest">Data3!$IO$102</definedName>
    <definedName name="A127834176A">Data3!$HZ$1:$HZ$10,Data3!$HZ$11:$HZ$102</definedName>
    <definedName name="A127834176A_Data">Data3!$HZ$11:$HZ$102</definedName>
    <definedName name="A127834176A_Latest">Data3!$HZ$102</definedName>
    <definedName name="A127834177C">Data3!$HN$1:$HN$10,Data3!$HN$11:$HN$102</definedName>
    <definedName name="A127834177C_Data">Data3!$HN$11:$HN$102</definedName>
    <definedName name="A127834177C_Latest">Data3!$HN$102</definedName>
    <definedName name="A127834178F">Data3!$HT$1:$HT$10,Data3!$HT$11:$HT$102</definedName>
    <definedName name="A127834178F_Data">Data3!$HT$11:$HT$102</definedName>
    <definedName name="A127834178F_Latest">Data3!$HT$102</definedName>
    <definedName name="A127834179J">Data3!$HQ$1:$HQ$10,Data3!$HQ$11:$HQ$102</definedName>
    <definedName name="A127834179J_Data">Data3!$HQ$11:$HQ$102</definedName>
    <definedName name="A127834179J_Latest">Data3!$HQ$102</definedName>
    <definedName name="A127834180T">Data3!$II$1:$II$10,Data3!$II$11:$II$102</definedName>
    <definedName name="A127834180T_Data">Data3!$II$11:$II$102</definedName>
    <definedName name="A127834180T_Latest">Data3!$II$102</definedName>
    <definedName name="A127834181V">Data4!$N$1:$N$10,Data4!$N$11:$N$102</definedName>
    <definedName name="A127834181V_Data">Data4!$N$11:$N$102</definedName>
    <definedName name="A127834181V_Latest">Data4!$N$102</definedName>
    <definedName name="A127834497R">Data4!$AX$1:$AX$10,Data4!$AX$11:$AX$102</definedName>
    <definedName name="A127834497R_Data">Data4!$AX$11:$AX$102</definedName>
    <definedName name="A127834497R_Latest">Data4!$AX$102</definedName>
    <definedName name="A127834498T">Data4!$AO$1:$AO$10,Data4!$AO$11:$AO$102</definedName>
    <definedName name="A127834498T_Data">Data4!$AO$11:$AO$102</definedName>
    <definedName name="A127834498T_Latest">Data4!$AO$102</definedName>
    <definedName name="A127834499V">Data4!$AI$1:$AI$10,Data4!$AI$11:$AI$102</definedName>
    <definedName name="A127834499V_Data">Data4!$AI$11:$AI$102</definedName>
    <definedName name="A127834499V_Latest">Data4!$AI$102</definedName>
    <definedName name="A127834500T">Data4!$AU$1:$AU$10,Data4!$AU$11:$AU$102</definedName>
    <definedName name="A127834500T_Data">Data4!$AU$11:$AU$102</definedName>
    <definedName name="A127834500T_Latest">Data4!$AU$102</definedName>
    <definedName name="A127834501V">Data4!$AF$1:$AF$10,Data4!$AF$11:$AF$102</definedName>
    <definedName name="A127834501V_Data">Data4!$AF$11:$AF$102</definedName>
    <definedName name="A127834501V_Latest">Data4!$AF$102</definedName>
    <definedName name="A127834502W">Data4!$Z$1:$Z$10,Data4!$Z$11:$Z$102</definedName>
    <definedName name="A127834502W_Data">Data4!$Z$11:$Z$102</definedName>
    <definedName name="A127834502W_Latest">Data4!$Z$102</definedName>
    <definedName name="A127834503X">Data4!$BD$1:$BD$10,Data4!$BD$11:$BD$102</definedName>
    <definedName name="A127834503X_Data">Data4!$BD$11:$BD$102</definedName>
    <definedName name="A127834503X_Latest">Data4!$BD$102</definedName>
    <definedName name="A127834504A">Data4!$BA$1:$BA$10,Data4!$BA$11:$BA$102</definedName>
    <definedName name="A127834504A_Data">Data4!$BA$11:$BA$102</definedName>
    <definedName name="A127834504A_Latest">Data4!$BA$102</definedName>
    <definedName name="A127834505C">Data4!$AR$1:$AR$10,Data4!$AR$11:$AR$102</definedName>
    <definedName name="A127834505C_Data">Data4!$AR$11:$AR$102</definedName>
    <definedName name="A127834505C_Latest">Data4!$AR$102</definedName>
    <definedName name="A127834506F">Data4!$AC$1:$AC$10,Data4!$AC$11:$AC$102</definedName>
    <definedName name="A127834506F_Data">Data4!$AC$11:$AC$102</definedName>
    <definedName name="A127834506F_Latest">Data4!$AC$102</definedName>
    <definedName name="A127834507J">Data4!$Q$1:$Q$10,Data4!$Q$11:$Q$102</definedName>
    <definedName name="A127834507J_Data">Data4!$Q$11:$Q$102</definedName>
    <definedName name="A127834507J_Latest">Data4!$Q$102</definedName>
    <definedName name="A127834508K">Data4!$W$1:$W$10,Data4!$W$11:$W$102</definedName>
    <definedName name="A127834508K_Data">Data4!$W$11:$W$102</definedName>
    <definedName name="A127834508K_Latest">Data4!$W$102</definedName>
    <definedName name="A127834509L">Data4!$T$1:$T$10,Data4!$T$11:$T$102</definedName>
    <definedName name="A127834509L_Data">Data4!$T$11:$T$102</definedName>
    <definedName name="A127834509L_Latest">Data4!$T$102</definedName>
    <definedName name="A127834510W">Data4!$AL$1:$AL$10,Data4!$AL$11:$AL$102</definedName>
    <definedName name="A127834510W_Data">Data4!$AL$11:$AL$102</definedName>
    <definedName name="A127834510W_Latest">Data4!$AL$102</definedName>
    <definedName name="A127834511X">Data4!$BG$1:$BG$10,Data4!$BG$11:$BG$102</definedName>
    <definedName name="A127834511X_Data">Data4!$BG$11:$BG$102</definedName>
    <definedName name="A127834511X_Latest">Data4!$BG$102</definedName>
    <definedName name="A127834827V">Data3!$AD$1:$AD$10,Data3!$AD$11:$AD$102</definedName>
    <definedName name="A127834827V_Data">Data3!$AD$11:$AD$102</definedName>
    <definedName name="A127834827V_Latest">Data3!$AD$102</definedName>
    <definedName name="A127834828W">Data3!$U$1:$U$10,Data3!$U$11:$U$102</definedName>
    <definedName name="A127834828W_Data">Data3!$U$11:$U$102</definedName>
    <definedName name="A127834828W_Latest">Data3!$U$102</definedName>
    <definedName name="A127834829X">Data3!$O$1:$O$10,Data3!$O$11:$O$102</definedName>
    <definedName name="A127834829X_Data">Data3!$O$11:$O$102</definedName>
    <definedName name="A127834829X_Latest">Data3!$O$102</definedName>
    <definedName name="A127834830J">Data3!$AA$1:$AA$10,Data3!$AA$11:$AA$102</definedName>
    <definedName name="A127834830J_Data">Data3!$AA$11:$AA$102</definedName>
    <definedName name="A127834830J_Latest">Data3!$AA$102</definedName>
    <definedName name="A127834831K">Data3!$L$1:$L$10,Data3!$L$11:$L$102</definedName>
    <definedName name="A127834831K_Data">Data3!$L$11:$L$102</definedName>
    <definedName name="A127834831K_Latest">Data3!$L$102</definedName>
    <definedName name="A127834832L">Data3!$F$1:$F$10,Data3!$F$11:$F$102</definedName>
    <definedName name="A127834832L_Data">Data3!$F$11:$F$102</definedName>
    <definedName name="A127834832L_Latest">Data3!$F$102</definedName>
    <definedName name="A127834833R">Data3!$AJ$1:$AJ$10,Data3!$AJ$11:$AJ$102</definedName>
    <definedName name="A127834833R_Data">Data3!$AJ$11:$AJ$102</definedName>
    <definedName name="A127834833R_Latest">Data3!$AJ$102</definedName>
    <definedName name="A127834834T">Data3!$AG$1:$AG$10,Data3!$AG$11:$AG$102</definedName>
    <definedName name="A127834834T_Data">Data3!$AG$11:$AG$102</definedName>
    <definedName name="A127834834T_Latest">Data3!$AG$102</definedName>
    <definedName name="A127834835V">Data3!$X$1:$X$10,Data3!$X$11:$X$102</definedName>
    <definedName name="A127834835V_Data">Data3!$X$11:$X$102</definedName>
    <definedName name="A127834835V_Latest">Data3!$X$102</definedName>
    <definedName name="A127834836W">Data3!$I$1:$I$10,Data3!$I$11:$I$102</definedName>
    <definedName name="A127834836W_Data">Data3!$I$11:$I$102</definedName>
    <definedName name="A127834836W_Latest">Data3!$I$102</definedName>
    <definedName name="A127834837X">Data2!$IM$1:$IM$10,Data2!$IM$11:$IM$102</definedName>
    <definedName name="A127834837X_Data">Data2!$IM$11:$IM$102</definedName>
    <definedName name="A127834837X_Latest">Data2!$IM$102</definedName>
    <definedName name="A127834838A">Data3!$C$1:$C$10,Data3!$C$11:$C$102</definedName>
    <definedName name="A127834838A_Data">Data3!$C$11:$C$102</definedName>
    <definedName name="A127834838A_Latest">Data3!$C$102</definedName>
    <definedName name="A127834839C">Data2!$IP$1:$IP$10,Data2!$IP$11:$IP$102</definedName>
    <definedName name="A127834839C_Data">Data2!$IP$11:$IP$102</definedName>
    <definedName name="A127834839C_Latest">Data2!$IP$102</definedName>
    <definedName name="A127834840L">Data3!$R$1:$R$10,Data3!$R$11:$R$102</definedName>
    <definedName name="A127834840L_Data">Data3!$R$11:$R$102</definedName>
    <definedName name="A127834840L_Latest">Data3!$R$102</definedName>
    <definedName name="A127834841R">Data3!$AM$1:$AM$10,Data3!$AM$11:$AM$102</definedName>
    <definedName name="A127834841R_Data">Data3!$AM$11:$AM$102</definedName>
    <definedName name="A127834841R_Latest">Data3!$AM$102</definedName>
    <definedName name="A127835157L">Data3!$DP$1:$DP$10,Data3!$DP$11:$DP$102</definedName>
    <definedName name="A127835157L_Data">Data3!$DP$11:$DP$102</definedName>
    <definedName name="A127835157L_Latest">Data3!$DP$102</definedName>
    <definedName name="A127835158R">Data3!$DG$1:$DG$10,Data3!$DG$11:$DG$102</definedName>
    <definedName name="A127835158R_Data">Data3!$DG$11:$DG$102</definedName>
    <definedName name="A127835158R_Latest">Data3!$DG$102</definedName>
    <definedName name="A127835159T">Data3!$DA$1:$DA$10,Data3!$DA$11:$DA$102</definedName>
    <definedName name="A127835159T_Data">Data3!$DA$11:$DA$102</definedName>
    <definedName name="A127835159T_Latest">Data3!$DA$102</definedName>
    <definedName name="A127835160A">Data3!$DM$1:$DM$10,Data3!$DM$11:$DM$102</definedName>
    <definedName name="A127835160A_Data">Data3!$DM$11:$DM$102</definedName>
    <definedName name="A127835160A_Latest">Data3!$DM$102</definedName>
    <definedName name="A127835161C">Data3!$CX$1:$CX$10,Data3!$CX$11:$CX$102</definedName>
    <definedName name="A127835161C_Data">Data3!$CX$11:$CX$102</definedName>
    <definedName name="A127835161C_Latest">Data3!$CX$102</definedName>
    <definedName name="A127835162F">Data3!$CR$1:$CR$10,Data3!$CR$11:$CR$102</definedName>
    <definedName name="A127835162F_Data">Data3!$CR$11:$CR$102</definedName>
    <definedName name="A127835162F_Latest">Data3!$CR$102</definedName>
    <definedName name="A127835163J">Data3!$DV$1:$DV$10,Data3!$DV$11:$DV$102</definedName>
    <definedName name="A127835163J_Data">Data3!$DV$11:$DV$102</definedName>
    <definedName name="A127835163J_Latest">Data3!$DV$102</definedName>
    <definedName name="A127835164K">Data3!$DS$1:$DS$10,Data3!$DS$11:$DS$102</definedName>
    <definedName name="A127835164K_Data">Data3!$DS$11:$DS$102</definedName>
    <definedName name="A127835164K_Latest">Data3!$DS$102</definedName>
    <definedName name="A127835165L">Data3!$DJ$1:$DJ$10,Data3!$DJ$11:$DJ$102</definedName>
    <definedName name="A127835165L_Data">Data3!$DJ$11:$DJ$102</definedName>
    <definedName name="A127835165L_Latest">Data3!$DJ$102</definedName>
    <definedName name="A127835166R">Data3!$CU$1:$CU$10,Data3!$CU$11:$CU$102</definedName>
    <definedName name="A127835166R_Data">Data3!$CU$11:$CU$102</definedName>
    <definedName name="A127835166R_Latest">Data3!$CU$102</definedName>
    <definedName name="A127835167T">Data3!$CI$1:$CI$10,Data3!$CI$11:$CI$102</definedName>
    <definedName name="A127835167T_Data">Data3!$CI$11:$CI$102</definedName>
    <definedName name="A127835167T_Latest">Data3!$CI$102</definedName>
    <definedName name="A127835168V">Data3!$CO$1:$CO$10,Data3!$CO$11:$CO$102</definedName>
    <definedName name="A127835168V_Data">Data3!$CO$11:$CO$102</definedName>
    <definedName name="A127835168V_Latest">Data3!$CO$102</definedName>
    <definedName name="A127835169W">Data3!$CL$1:$CL$10,Data3!$CL$11:$CL$102</definedName>
    <definedName name="A127835169W_Data">Data3!$CL$11:$CL$102</definedName>
    <definedName name="A127835169W_Latest">Data3!$CL$102</definedName>
    <definedName name="A127835170F">Data3!$DD$1:$DD$10,Data3!$DD$11:$DD$102</definedName>
    <definedName name="A127835170F_Data">Data3!$DD$11:$DD$102</definedName>
    <definedName name="A127835170F_Latest">Data3!$DD$102</definedName>
    <definedName name="A127835171J">Data3!$DY$1:$DY$10,Data3!$DY$11:$DY$102</definedName>
    <definedName name="A127835171J_Data">Data3!$DY$11:$DY$102</definedName>
    <definedName name="A127835171J_Latest">Data3!$DY$102</definedName>
    <definedName name="A127835487C">Data3!$FI$1:$FI$10,Data3!$FI$11:$FI$102</definedName>
    <definedName name="A127835487C_Data">Data3!$FI$11:$FI$102</definedName>
    <definedName name="A127835487C_Latest">Data3!$FI$102</definedName>
    <definedName name="A127835488F">Data3!$EZ$1:$EZ$10,Data3!$EZ$11:$EZ$102</definedName>
    <definedName name="A127835488F_Data">Data3!$EZ$11:$EZ$102</definedName>
    <definedName name="A127835488F_Latest">Data3!$EZ$102</definedName>
    <definedName name="A127835489J">Data3!$ET$1:$ET$10,Data3!$ET$11:$ET$102</definedName>
    <definedName name="A127835489J_Data">Data3!$ET$11:$ET$102</definedName>
    <definedName name="A127835489J_Latest">Data3!$ET$102</definedName>
    <definedName name="A127835490T">Data3!$FF$1:$FF$10,Data3!$FF$11:$FF$102</definedName>
    <definedName name="A127835490T_Data">Data3!$FF$11:$FF$102</definedName>
    <definedName name="A127835490T_Latest">Data3!$FF$102</definedName>
    <definedName name="A127835491V">Data3!$EQ$1:$EQ$10,Data3!$EQ$11:$EQ$102</definedName>
    <definedName name="A127835491V_Data">Data3!$EQ$11:$EQ$102</definedName>
    <definedName name="A127835491V_Latest">Data3!$EQ$102</definedName>
    <definedName name="A127835492W">Data3!$EK$1:$EK$10,Data3!$EK$11:$EK$102</definedName>
    <definedName name="A127835492W_Data">Data3!$EK$11:$EK$102</definedName>
    <definedName name="A127835492W_Latest">Data3!$EK$102</definedName>
    <definedName name="A127835493X">Data3!$FO$1:$FO$10,Data3!$FO$11:$FO$102</definedName>
    <definedName name="A127835493X_Data">Data3!$FO$11:$FO$102</definedName>
    <definedName name="A127835493X_Latest">Data3!$FO$102</definedName>
    <definedName name="A127835494A">Data3!$FL$1:$FL$10,Data3!$FL$11:$FL$102</definedName>
    <definedName name="A127835494A_Data">Data3!$FL$11:$FL$102</definedName>
    <definedName name="A127835494A_Latest">Data3!$FL$102</definedName>
    <definedName name="A127835495C">Data3!$FC$1:$FC$10,Data3!$FC$11:$FC$102</definedName>
    <definedName name="A127835495C_Data">Data3!$FC$11:$FC$102</definedName>
    <definedName name="A127835495C_Latest">Data3!$FC$102</definedName>
    <definedName name="A127835496F">Data3!$EN$1:$EN$10,Data3!$EN$11:$EN$102</definedName>
    <definedName name="A127835496F_Data">Data3!$EN$11:$EN$102</definedName>
    <definedName name="A127835496F_Latest">Data3!$EN$102</definedName>
    <definedName name="A127835497J">Data3!$EB$1:$EB$10,Data3!$EB$11:$EB$102</definedName>
    <definedName name="A127835497J_Data">Data3!$EB$11:$EB$102</definedName>
    <definedName name="A127835497J_Latest">Data3!$EB$102</definedName>
    <definedName name="A127835498K">Data3!$EH$1:$EH$10,Data3!$EH$11:$EH$102</definedName>
    <definedName name="A127835498K_Data">Data3!$EH$11:$EH$102</definedName>
    <definedName name="A127835498K_Latest">Data3!$EH$102</definedName>
    <definedName name="A127835499L">Data3!$EE$1:$EE$10,Data3!$EE$11:$EE$102</definedName>
    <definedName name="A127835499L_Data">Data3!$EE$11:$EE$102</definedName>
    <definedName name="A127835499L_Latest">Data3!$EE$102</definedName>
    <definedName name="A127835500K">Data3!$EW$1:$EW$10,Data3!$EW$11:$EW$102</definedName>
    <definedName name="A127835500K_Data">Data3!$EW$11:$EW$102</definedName>
    <definedName name="A127835500K_Latest">Data3!$EW$102</definedName>
    <definedName name="A127835501L">Data3!$FR$1:$FR$10,Data3!$FR$11:$FR$102</definedName>
    <definedName name="A127835501L_Data">Data3!$FR$11:$FR$102</definedName>
    <definedName name="A127835501L_Latest">Data3!$FR$102</definedName>
    <definedName name="Date_Range">Data1!$A$2:$A$10,Data1!$A$11:$A$102</definedName>
    <definedName name="Date_Range_Data">Data1!$A$11:$A$102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4" i="9" l="1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D65" i="9"/>
  <c r="C15" i="9" s="1" a="1"/>
  <c r="C15" i="9" s="1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D67" i="9"/>
  <c r="C17" i="9" s="1" a="1"/>
  <c r="C17" i="9" s="1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AB67" i="9"/>
  <c r="AC67" i="9"/>
  <c r="AD67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AB68" i="9"/>
  <c r="AC68" i="9"/>
  <c r="AD68" i="9"/>
  <c r="D69" i="9"/>
  <c r="C19" i="9" s="1" a="1"/>
  <c r="C19" i="9" s="1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AB70" i="9"/>
  <c r="AC70" i="9"/>
  <c r="AD70" i="9"/>
  <c r="D71" i="9"/>
  <c r="C21" i="9" s="1" a="1"/>
  <c r="C21" i="9" s="1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AB71" i="9"/>
  <c r="AC71" i="9"/>
  <c r="AD71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AA72" i="9"/>
  <c r="AB72" i="9"/>
  <c r="AC72" i="9"/>
  <c r="AD72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AB75" i="9"/>
  <c r="AC75" i="9"/>
  <c r="AD75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AA76" i="9"/>
  <c r="AB76" i="9"/>
  <c r="AC76" i="9"/>
  <c r="AD76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AA77" i="9"/>
  <c r="AB77" i="9"/>
  <c r="AC77" i="9"/>
  <c r="AD77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AA78" i="9"/>
  <c r="AB78" i="9"/>
  <c r="AC78" i="9"/>
  <c r="AD78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AB79" i="9"/>
  <c r="AC79" i="9"/>
  <c r="AD79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Z80" i="9"/>
  <c r="AA80" i="9"/>
  <c r="AB80" i="9"/>
  <c r="AC80" i="9"/>
  <c r="AD80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AA81" i="9"/>
  <c r="AB81" i="9"/>
  <c r="AC81" i="9"/>
  <c r="AD81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AB84" i="9"/>
  <c r="AC84" i="9"/>
  <c r="AD84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AA85" i="9"/>
  <c r="AB85" i="9"/>
  <c r="AC85" i="9"/>
  <c r="AD85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AA89" i="9"/>
  <c r="AB89" i="9"/>
  <c r="AC89" i="9"/>
  <c r="AD89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AA90" i="9"/>
  <c r="AB90" i="9"/>
  <c r="AC90" i="9"/>
  <c r="AD90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AA91" i="9"/>
  <c r="AB91" i="9"/>
  <c r="AC91" i="9"/>
  <c r="AD91" i="9"/>
  <c r="G29" i="8" a="1"/>
  <c r="G29" i="8" s="1"/>
  <c r="G35" i="8" a="1"/>
  <c r="G35" i="8" s="1"/>
  <c r="G41" i="8" a="1"/>
  <c r="G41" i="8" s="1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Z66" i="8"/>
  <c r="AA66" i="8"/>
  <c r="AB66" i="8"/>
  <c r="AC66" i="8"/>
  <c r="AD66" i="8"/>
  <c r="AE66" i="8"/>
  <c r="AF66" i="8"/>
  <c r="AG66" i="8"/>
  <c r="AH66" i="8"/>
  <c r="AI66" i="8"/>
  <c r="AJ66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Z67" i="8"/>
  <c r="AA67" i="8"/>
  <c r="AB67" i="8"/>
  <c r="AC67" i="8"/>
  <c r="AD67" i="8"/>
  <c r="AE67" i="8"/>
  <c r="AF67" i="8"/>
  <c r="AG67" i="8"/>
  <c r="AH67" i="8"/>
  <c r="AI67" i="8"/>
  <c r="AJ67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Z68" i="8"/>
  <c r="AA68" i="8"/>
  <c r="AB68" i="8"/>
  <c r="AC68" i="8"/>
  <c r="AD68" i="8"/>
  <c r="AE68" i="8"/>
  <c r="AF68" i="8"/>
  <c r="AG68" i="8"/>
  <c r="AH68" i="8"/>
  <c r="AI68" i="8"/>
  <c r="AJ68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AB69" i="8"/>
  <c r="AC69" i="8"/>
  <c r="AD69" i="8"/>
  <c r="AE69" i="8"/>
  <c r="AF69" i="8"/>
  <c r="AG69" i="8"/>
  <c r="AH69" i="8"/>
  <c r="AI69" i="8"/>
  <c r="AJ69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Z70" i="8"/>
  <c r="AA70" i="8"/>
  <c r="AB70" i="8"/>
  <c r="AC70" i="8"/>
  <c r="AD70" i="8"/>
  <c r="AE70" i="8"/>
  <c r="AF70" i="8"/>
  <c r="AG70" i="8"/>
  <c r="AH70" i="8"/>
  <c r="AI70" i="8"/>
  <c r="AJ70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Z71" i="8"/>
  <c r="AA71" i="8"/>
  <c r="AB71" i="8"/>
  <c r="AC71" i="8"/>
  <c r="AD71" i="8"/>
  <c r="AE71" i="8"/>
  <c r="AF71" i="8"/>
  <c r="AG71" i="8"/>
  <c r="AH71" i="8"/>
  <c r="AI71" i="8"/>
  <c r="AJ71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Z72" i="8"/>
  <c r="AA72" i="8"/>
  <c r="AB72" i="8"/>
  <c r="AC72" i="8"/>
  <c r="AD72" i="8"/>
  <c r="AE72" i="8"/>
  <c r="AF72" i="8"/>
  <c r="AG72" i="8"/>
  <c r="AH72" i="8"/>
  <c r="AI72" i="8"/>
  <c r="AJ72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AA73" i="8"/>
  <c r="AB73" i="8"/>
  <c r="AC73" i="8"/>
  <c r="AD73" i="8"/>
  <c r="AE73" i="8"/>
  <c r="AF73" i="8"/>
  <c r="AG73" i="8"/>
  <c r="AH73" i="8"/>
  <c r="AI73" i="8"/>
  <c r="AJ73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Z74" i="8"/>
  <c r="AA74" i="8"/>
  <c r="AB74" i="8"/>
  <c r="AC74" i="8"/>
  <c r="AD74" i="8"/>
  <c r="AE74" i="8"/>
  <c r="AF74" i="8"/>
  <c r="AG74" i="8"/>
  <c r="AH74" i="8"/>
  <c r="AI74" i="8"/>
  <c r="AJ74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Z77" i="8"/>
  <c r="AA77" i="8"/>
  <c r="AB77" i="8"/>
  <c r="AC77" i="8"/>
  <c r="AD77" i="8"/>
  <c r="AE77" i="8"/>
  <c r="AF77" i="8"/>
  <c r="AG77" i="8"/>
  <c r="AH77" i="8"/>
  <c r="AI77" i="8"/>
  <c r="AJ77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Z78" i="8"/>
  <c r="AA78" i="8"/>
  <c r="AB78" i="8"/>
  <c r="AC78" i="8"/>
  <c r="AD78" i="8"/>
  <c r="AE78" i="8"/>
  <c r="AF78" i="8"/>
  <c r="AG78" i="8"/>
  <c r="AH78" i="8"/>
  <c r="AI78" i="8"/>
  <c r="AJ78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R79" i="8"/>
  <c r="S79" i="8"/>
  <c r="T79" i="8"/>
  <c r="U79" i="8"/>
  <c r="V79" i="8"/>
  <c r="W79" i="8"/>
  <c r="X79" i="8"/>
  <c r="Y79" i="8"/>
  <c r="Z79" i="8"/>
  <c r="AA79" i="8"/>
  <c r="AB79" i="8"/>
  <c r="AC79" i="8"/>
  <c r="AD79" i="8"/>
  <c r="AE79" i="8"/>
  <c r="AF79" i="8"/>
  <c r="AG79" i="8"/>
  <c r="AH79" i="8"/>
  <c r="AI79" i="8"/>
  <c r="AJ79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R80" i="8"/>
  <c r="S80" i="8"/>
  <c r="T80" i="8"/>
  <c r="U80" i="8"/>
  <c r="V80" i="8"/>
  <c r="W80" i="8"/>
  <c r="X80" i="8"/>
  <c r="Y80" i="8"/>
  <c r="Z80" i="8"/>
  <c r="AA80" i="8"/>
  <c r="AB80" i="8"/>
  <c r="AC80" i="8"/>
  <c r="AD80" i="8"/>
  <c r="AE80" i="8"/>
  <c r="AF80" i="8"/>
  <c r="AG80" i="8"/>
  <c r="AH80" i="8"/>
  <c r="AI80" i="8"/>
  <c r="AJ80" i="8"/>
  <c r="D81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R81" i="8"/>
  <c r="S81" i="8"/>
  <c r="T81" i="8"/>
  <c r="U81" i="8"/>
  <c r="V81" i="8"/>
  <c r="W81" i="8"/>
  <c r="X81" i="8"/>
  <c r="Y81" i="8"/>
  <c r="Z81" i="8"/>
  <c r="AA81" i="8"/>
  <c r="AB81" i="8"/>
  <c r="AC81" i="8"/>
  <c r="AD81" i="8"/>
  <c r="AE81" i="8"/>
  <c r="AF81" i="8"/>
  <c r="AG81" i="8"/>
  <c r="AH81" i="8"/>
  <c r="AI81" i="8"/>
  <c r="AJ81" i="8"/>
  <c r="D82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R82" i="8"/>
  <c r="S82" i="8"/>
  <c r="T82" i="8"/>
  <c r="U82" i="8"/>
  <c r="V82" i="8"/>
  <c r="W82" i="8"/>
  <c r="X82" i="8"/>
  <c r="Y82" i="8"/>
  <c r="Z82" i="8"/>
  <c r="AA82" i="8"/>
  <c r="AB82" i="8"/>
  <c r="AC82" i="8"/>
  <c r="AD82" i="8"/>
  <c r="AE82" i="8"/>
  <c r="AF82" i="8"/>
  <c r="AG82" i="8"/>
  <c r="AH82" i="8"/>
  <c r="AI82" i="8"/>
  <c r="AJ82" i="8"/>
  <c r="D83" i="8"/>
  <c r="E83" i="8"/>
  <c r="F83" i="8"/>
  <c r="G83" i="8"/>
  <c r="H83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V83" i="8"/>
  <c r="W83" i="8"/>
  <c r="X83" i="8"/>
  <c r="Y83" i="8"/>
  <c r="Z83" i="8"/>
  <c r="AA83" i="8"/>
  <c r="AB83" i="8"/>
  <c r="AC83" i="8"/>
  <c r="AD83" i="8"/>
  <c r="AE83" i="8"/>
  <c r="AF83" i="8"/>
  <c r="AG83" i="8"/>
  <c r="AH83" i="8"/>
  <c r="AI83" i="8"/>
  <c r="AJ83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Z86" i="8"/>
  <c r="AA86" i="8"/>
  <c r="AB86" i="8"/>
  <c r="AC86" i="8"/>
  <c r="AD86" i="8"/>
  <c r="AE86" i="8"/>
  <c r="AF86" i="8"/>
  <c r="AG86" i="8"/>
  <c r="AH86" i="8"/>
  <c r="AI86" i="8"/>
  <c r="AJ86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Z87" i="8"/>
  <c r="AA87" i="8"/>
  <c r="AB87" i="8"/>
  <c r="AC87" i="8"/>
  <c r="AD87" i="8"/>
  <c r="AE87" i="8"/>
  <c r="AF87" i="8"/>
  <c r="AG87" i="8"/>
  <c r="AH87" i="8"/>
  <c r="AI87" i="8"/>
  <c r="AJ87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Z88" i="8"/>
  <c r="AA88" i="8"/>
  <c r="AB88" i="8"/>
  <c r="AC88" i="8"/>
  <c r="AD88" i="8"/>
  <c r="AE88" i="8"/>
  <c r="AF88" i="8"/>
  <c r="AG88" i="8"/>
  <c r="AH88" i="8"/>
  <c r="AI88" i="8"/>
  <c r="AJ88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Z91" i="8"/>
  <c r="AA91" i="8"/>
  <c r="AB91" i="8"/>
  <c r="AC91" i="8"/>
  <c r="AD91" i="8"/>
  <c r="AE91" i="8"/>
  <c r="AF91" i="8"/>
  <c r="AG91" i="8"/>
  <c r="AH91" i="8"/>
  <c r="AI91" i="8"/>
  <c r="AJ91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Z92" i="8"/>
  <c r="AA92" i="8"/>
  <c r="AB92" i="8"/>
  <c r="AC92" i="8"/>
  <c r="AD92" i="8"/>
  <c r="AE92" i="8"/>
  <c r="AF92" i="8"/>
  <c r="AG92" i="8"/>
  <c r="AH92" i="8"/>
  <c r="AI92" i="8"/>
  <c r="AJ92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Z93" i="8"/>
  <c r="AA93" i="8"/>
  <c r="AB93" i="8"/>
  <c r="AC93" i="8"/>
  <c r="AD93" i="8"/>
  <c r="AE93" i="8"/>
  <c r="AF93" i="8"/>
  <c r="AG93" i="8"/>
  <c r="AH93" i="8"/>
  <c r="AI93" i="8"/>
  <c r="AJ93" i="8"/>
  <c r="C56" i="9"/>
  <c r="C47" i="9"/>
  <c r="C48" i="9" s="1"/>
  <c r="C49" i="9" s="1"/>
  <c r="C50" i="9" s="1"/>
  <c r="C51" i="9" s="1"/>
  <c r="C52" i="9" s="1"/>
  <c r="C53" i="9" s="1"/>
  <c r="C54" i="9" s="1"/>
  <c r="A8" i="9"/>
  <c r="B7" i="9"/>
  <c r="B6" i="9"/>
  <c r="B5" i="9"/>
  <c r="C58" i="8"/>
  <c r="C47" i="8"/>
  <c r="C48" i="8" s="1"/>
  <c r="C49" i="8" s="1"/>
  <c r="C50" i="8" s="1"/>
  <c r="C51" i="8" s="1"/>
  <c r="C52" i="8" s="1"/>
  <c r="C53" i="8" s="1"/>
  <c r="C54" i="8" s="1"/>
  <c r="C55" i="8" s="1"/>
  <c r="C56" i="8" s="1"/>
  <c r="A8" i="8"/>
  <c r="B7" i="8"/>
  <c r="B6" i="8"/>
  <c r="B5" i="8"/>
  <c r="B27" i="7"/>
  <c r="D56" i="9" l="1"/>
  <c r="G15" i="9" a="1"/>
  <c r="G15" i="9" s="1"/>
  <c r="G16" i="9" a="1"/>
  <c r="G16" i="9" s="1"/>
  <c r="G17" i="9" a="1"/>
  <c r="G17" i="9" s="1"/>
  <c r="G18" i="9" a="1"/>
  <c r="G18" i="9" s="1"/>
  <c r="G19" i="9" a="1"/>
  <c r="G19" i="9" s="1"/>
  <c r="G20" i="9" a="1"/>
  <c r="G20" i="9" s="1"/>
  <c r="G21" i="9" a="1"/>
  <c r="G21" i="9" s="1"/>
  <c r="G22" i="9" a="1"/>
  <c r="G22" i="9" s="1"/>
  <c r="G25" i="9" a="1"/>
  <c r="G25" i="9" s="1"/>
  <c r="G26" i="9" a="1"/>
  <c r="G26" i="9" s="1"/>
  <c r="G27" i="9" a="1"/>
  <c r="G27" i="9" s="1"/>
  <c r="G28" i="9" a="1"/>
  <c r="G28" i="9" s="1"/>
  <c r="G29" i="9" a="1"/>
  <c r="G29" i="9" s="1"/>
  <c r="G30" i="9" a="1"/>
  <c r="G30" i="9" s="1"/>
  <c r="G31" i="9" a="1"/>
  <c r="G31" i="9" s="1"/>
  <c r="G34" i="9" a="1"/>
  <c r="G34" i="9" s="1"/>
  <c r="G35" i="9" a="1"/>
  <c r="G35" i="9" s="1"/>
  <c r="G36" i="9" a="1"/>
  <c r="G36" i="9" s="1"/>
  <c r="G39" i="9" a="1"/>
  <c r="G39" i="9" s="1"/>
  <c r="G40" i="9" a="1"/>
  <c r="G40" i="9" s="1"/>
  <c r="G41" i="9" a="1"/>
  <c r="G41" i="9" s="1"/>
  <c r="G14" i="9" a="1"/>
  <c r="G14" i="9" s="1"/>
  <c r="C14" i="9" a="1"/>
  <c r="C14" i="9" s="1"/>
  <c r="C41" i="9" a="1"/>
  <c r="C41" i="9" s="1"/>
  <c r="C40" i="9" a="1"/>
  <c r="C40" i="9" s="1"/>
  <c r="C39" i="9" a="1"/>
  <c r="C39" i="9" s="1"/>
  <c r="C36" i="9" a="1"/>
  <c r="C36" i="9" s="1"/>
  <c r="C35" i="9" a="1"/>
  <c r="C35" i="9" s="1"/>
  <c r="C34" i="9" a="1"/>
  <c r="C34" i="9" s="1"/>
  <c r="C31" i="9" a="1"/>
  <c r="C31" i="9" s="1"/>
  <c r="C30" i="9" a="1"/>
  <c r="C30" i="9" s="1"/>
  <c r="C29" i="9" a="1"/>
  <c r="C29" i="9" s="1"/>
  <c r="C28" i="9" a="1"/>
  <c r="C28" i="9" s="1"/>
  <c r="C27" i="9" a="1"/>
  <c r="C27" i="9" s="1"/>
  <c r="C26" i="9" a="1"/>
  <c r="C26" i="9" s="1"/>
  <c r="C25" i="9" a="1"/>
  <c r="C25" i="9" s="1"/>
  <c r="C22" i="9" a="1"/>
  <c r="C22" i="9" s="1"/>
  <c r="C20" i="9" a="1"/>
  <c r="C20" i="9" s="1"/>
  <c r="C18" i="9" a="1"/>
  <c r="C18" i="9" s="1"/>
  <c r="C16" i="9" a="1"/>
  <c r="C16" i="9" s="1"/>
  <c r="G15" i="8" a="1"/>
  <c r="G15" i="8" s="1"/>
  <c r="G16" i="8" a="1"/>
  <c r="G16" i="8" s="1"/>
  <c r="G17" i="8" a="1"/>
  <c r="G17" i="8" s="1"/>
  <c r="G18" i="8" a="1"/>
  <c r="G18" i="8" s="1"/>
  <c r="G19" i="8" a="1"/>
  <c r="G19" i="8" s="1"/>
  <c r="G20" i="8" a="1"/>
  <c r="G20" i="8" s="1"/>
  <c r="G21" i="8" a="1"/>
  <c r="G21" i="8" s="1"/>
  <c r="G22" i="8" a="1"/>
  <c r="G22" i="8" s="1"/>
  <c r="G25" i="8" a="1"/>
  <c r="G25" i="8" s="1"/>
  <c r="G26" i="8" a="1"/>
  <c r="G26" i="8" s="1"/>
  <c r="G27" i="8" a="1"/>
  <c r="G27" i="8" s="1"/>
  <c r="G28" i="8" a="1"/>
  <c r="G28" i="8" s="1"/>
  <c r="G30" i="8" a="1"/>
  <c r="G30" i="8" s="1"/>
  <c r="G34" i="8" a="1"/>
  <c r="G34" i="8" s="1"/>
  <c r="G36" i="8" a="1"/>
  <c r="G36" i="8" s="1"/>
  <c r="G40" i="8" a="1"/>
  <c r="G40" i="8" s="1"/>
  <c r="G14" i="8" a="1"/>
  <c r="G14" i="8" s="1"/>
  <c r="C14" i="8" a="1"/>
  <c r="C14" i="8" s="1"/>
  <c r="C41" i="8" a="1"/>
  <c r="C41" i="8" s="1"/>
  <c r="C40" i="8" a="1"/>
  <c r="C40" i="8" s="1"/>
  <c r="C39" i="8" a="1"/>
  <c r="C39" i="8" s="1"/>
  <c r="C36" i="8" a="1"/>
  <c r="C36" i="8" s="1"/>
  <c r="C35" i="8" a="1"/>
  <c r="C35" i="8" s="1"/>
  <c r="C34" i="8" a="1"/>
  <c r="C34" i="8" s="1"/>
  <c r="C31" i="8" a="1"/>
  <c r="C31" i="8" s="1"/>
  <c r="C30" i="8" a="1"/>
  <c r="C30" i="8" s="1"/>
  <c r="C29" i="8" a="1"/>
  <c r="C29" i="8" s="1"/>
  <c r="C28" i="8" a="1"/>
  <c r="C28" i="8" s="1"/>
  <c r="C27" i="8" a="1"/>
  <c r="C27" i="8" s="1"/>
  <c r="C26" i="8" a="1"/>
  <c r="C26" i="8" s="1"/>
  <c r="C25" i="8" a="1"/>
  <c r="C25" i="8" s="1"/>
  <c r="C22" i="8" a="1"/>
  <c r="C22" i="8" s="1"/>
  <c r="C21" i="8" a="1"/>
  <c r="C21" i="8" s="1"/>
  <c r="C20" i="8" a="1"/>
  <c r="C20" i="8" s="1"/>
  <c r="C19" i="8" a="1"/>
  <c r="C19" i="8" s="1"/>
  <c r="C18" i="8" a="1"/>
  <c r="C18" i="8" s="1"/>
  <c r="C17" i="8" a="1"/>
  <c r="C17" i="8" s="1"/>
  <c r="C16" i="8" a="1"/>
  <c r="C16" i="8" s="1"/>
  <c r="C15" i="8" a="1"/>
  <c r="C15" i="8" s="1"/>
  <c r="G39" i="8" a="1"/>
  <c r="G39" i="8" s="1"/>
  <c r="G31" i="8" a="1"/>
  <c r="G31" i="8" s="1"/>
  <c r="A44" i="9"/>
  <c r="A44" i="8"/>
  <c r="D58" i="8"/>
  <c r="H15" i="9" l="1" a="1"/>
  <c r="H15" i="9" s="1"/>
  <c r="H16" i="9" a="1"/>
  <c r="H16" i="9" s="1"/>
  <c r="H17" i="9" a="1"/>
  <c r="H17" i="9" s="1"/>
  <c r="H18" i="9" a="1"/>
  <c r="H18" i="9" s="1"/>
  <c r="H19" i="9" a="1"/>
  <c r="H19" i="9" s="1"/>
  <c r="H20" i="9" a="1"/>
  <c r="H20" i="9" s="1"/>
  <c r="H21" i="9" a="1"/>
  <c r="H21" i="9" s="1"/>
  <c r="H22" i="9" a="1"/>
  <c r="H22" i="9" s="1"/>
  <c r="H25" i="9" a="1"/>
  <c r="H25" i="9" s="1"/>
  <c r="H26" i="9" a="1"/>
  <c r="H26" i="9" s="1"/>
  <c r="H27" i="9" a="1"/>
  <c r="H27" i="9" s="1"/>
  <c r="H28" i="9" a="1"/>
  <c r="H28" i="9" s="1"/>
  <c r="H29" i="9" a="1"/>
  <c r="H29" i="9" s="1"/>
  <c r="H30" i="9" a="1"/>
  <c r="H30" i="9" s="1"/>
  <c r="H31" i="9" a="1"/>
  <c r="H31" i="9" s="1"/>
  <c r="H34" i="9" a="1"/>
  <c r="H34" i="9" s="1"/>
  <c r="H35" i="9" a="1"/>
  <c r="H35" i="9" s="1"/>
  <c r="H36" i="9" a="1"/>
  <c r="H36" i="9" s="1"/>
  <c r="H39" i="9" a="1"/>
  <c r="H39" i="9" s="1"/>
  <c r="H40" i="9" a="1"/>
  <c r="H40" i="9" s="1"/>
  <c r="H41" i="9" a="1"/>
  <c r="H41" i="9" s="1"/>
  <c r="H14" i="9" a="1"/>
  <c r="H14" i="9" s="1"/>
  <c r="D15" i="9" a="1"/>
  <c r="D15" i="9" s="1"/>
  <c r="D17" i="9" a="1"/>
  <c r="D17" i="9" s="1"/>
  <c r="D19" i="9" a="1"/>
  <c r="D19" i="9" s="1"/>
  <c r="D21" i="9" a="1"/>
  <c r="D21" i="9" s="1"/>
  <c r="D22" i="9" a="1"/>
  <c r="D22" i="9" s="1"/>
  <c r="D25" i="9" a="1"/>
  <c r="D25" i="9" s="1"/>
  <c r="D26" i="9" a="1"/>
  <c r="D26" i="9" s="1"/>
  <c r="D27" i="9" a="1"/>
  <c r="D27" i="9" s="1"/>
  <c r="D28" i="9" a="1"/>
  <c r="D28" i="9" s="1"/>
  <c r="D29" i="9" a="1"/>
  <c r="D29" i="9" s="1"/>
  <c r="D30" i="9" a="1"/>
  <c r="D30" i="9" s="1"/>
  <c r="D31" i="9" a="1"/>
  <c r="D31" i="9" s="1"/>
  <c r="D34" i="9" a="1"/>
  <c r="D34" i="9" s="1"/>
  <c r="D35" i="9" a="1"/>
  <c r="D35" i="9" s="1"/>
  <c r="D36" i="9" a="1"/>
  <c r="D36" i="9" s="1"/>
  <c r="D39" i="9" a="1"/>
  <c r="D39" i="9" s="1"/>
  <c r="D40" i="9" a="1"/>
  <c r="D40" i="9" s="1"/>
  <c r="D41" i="9" a="1"/>
  <c r="D41" i="9" s="1"/>
  <c r="D14" i="9" a="1"/>
  <c r="D14" i="9" s="1"/>
  <c r="D16" i="9" a="1"/>
  <c r="D16" i="9" s="1"/>
  <c r="D18" i="9" a="1"/>
  <c r="D18" i="9" s="1"/>
  <c r="D20" i="9" a="1"/>
  <c r="D20" i="9" s="1"/>
  <c r="E56" i="9"/>
  <c r="H15" i="8" a="1"/>
  <c r="H15" i="8" s="1"/>
  <c r="H16" i="8" a="1"/>
  <c r="H16" i="8" s="1"/>
  <c r="H17" i="8" a="1"/>
  <c r="H17" i="8" s="1"/>
  <c r="H18" i="8" a="1"/>
  <c r="H18" i="8" s="1"/>
  <c r="H19" i="8" a="1"/>
  <c r="H19" i="8" s="1"/>
  <c r="H20" i="8" a="1"/>
  <c r="H20" i="8" s="1"/>
  <c r="H21" i="8" a="1"/>
  <c r="H21" i="8" s="1"/>
  <c r="H22" i="8" a="1"/>
  <c r="H22" i="8" s="1"/>
  <c r="H25" i="8" a="1"/>
  <c r="H25" i="8" s="1"/>
  <c r="H26" i="8" a="1"/>
  <c r="H26" i="8" s="1"/>
  <c r="H27" i="8" a="1"/>
  <c r="H27" i="8" s="1"/>
  <c r="H28" i="8" a="1"/>
  <c r="H28" i="8" s="1"/>
  <c r="H29" i="8" a="1"/>
  <c r="H29" i="8" s="1"/>
  <c r="H31" i="8" a="1"/>
  <c r="H31" i="8" s="1"/>
  <c r="H35" i="8" a="1"/>
  <c r="H35" i="8" s="1"/>
  <c r="H39" i="8" a="1"/>
  <c r="H39" i="8" s="1"/>
  <c r="H41" i="8" a="1"/>
  <c r="H41" i="8" s="1"/>
  <c r="H14" i="8" a="1"/>
  <c r="H14" i="8" s="1"/>
  <c r="H34" i="8" a="1"/>
  <c r="H34" i="8" s="1"/>
  <c r="H40" i="8" a="1"/>
  <c r="H40" i="8" s="1"/>
  <c r="D35" i="8" a="1"/>
  <c r="D35" i="8" s="1"/>
  <c r="D36" i="8" a="1"/>
  <c r="D36" i="8" s="1"/>
  <c r="D39" i="8" a="1"/>
  <c r="D39" i="8" s="1"/>
  <c r="D40" i="8" a="1"/>
  <c r="D40" i="8" s="1"/>
  <c r="D41" i="8" a="1"/>
  <c r="D41" i="8" s="1"/>
  <c r="H30" i="8" a="1"/>
  <c r="H30" i="8" s="1"/>
  <c r="H36" i="8" a="1"/>
  <c r="H36" i="8" s="1"/>
  <c r="D14" i="8" a="1"/>
  <c r="D14" i="8" s="1"/>
  <c r="D15" i="8" a="1"/>
  <c r="D15" i="8" s="1"/>
  <c r="D16" i="8" a="1"/>
  <c r="D16" i="8" s="1"/>
  <c r="D17" i="8" a="1"/>
  <c r="D17" i="8" s="1"/>
  <c r="D18" i="8" a="1"/>
  <c r="D18" i="8" s="1"/>
  <c r="D19" i="8" a="1"/>
  <c r="D19" i="8" s="1"/>
  <c r="D20" i="8" a="1"/>
  <c r="D20" i="8" s="1"/>
  <c r="D21" i="8" a="1"/>
  <c r="D21" i="8" s="1"/>
  <c r="D22" i="8" a="1"/>
  <c r="D22" i="8" s="1"/>
  <c r="D25" i="8" a="1"/>
  <c r="D25" i="8" s="1"/>
  <c r="D26" i="8" a="1"/>
  <c r="D26" i="8" s="1"/>
  <c r="D27" i="8" a="1"/>
  <c r="D27" i="8" s="1"/>
  <c r="D28" i="8" a="1"/>
  <c r="D28" i="8" s="1"/>
  <c r="D29" i="8" a="1"/>
  <c r="D29" i="8" s="1"/>
  <c r="D30" i="8" a="1"/>
  <c r="D30" i="8" s="1"/>
  <c r="D31" i="8" a="1"/>
  <c r="D31" i="8" s="1"/>
  <c r="D34" i="8" a="1"/>
  <c r="D34" i="8" s="1"/>
  <c r="E58" i="8"/>
  <c r="I15" i="9" l="1" a="1"/>
  <c r="I15" i="9" s="1"/>
  <c r="I16" i="9" a="1"/>
  <c r="I16" i="9" s="1"/>
  <c r="I17" i="9" a="1"/>
  <c r="I17" i="9" s="1"/>
  <c r="I18" i="9" a="1"/>
  <c r="I18" i="9" s="1"/>
  <c r="I19" i="9" a="1"/>
  <c r="I19" i="9" s="1"/>
  <c r="I20" i="9" a="1"/>
  <c r="I20" i="9" s="1"/>
  <c r="I21" i="9" a="1"/>
  <c r="I21" i="9" s="1"/>
  <c r="I22" i="9" a="1"/>
  <c r="I22" i="9" s="1"/>
  <c r="I25" i="9" a="1"/>
  <c r="I25" i="9" s="1"/>
  <c r="I26" i="9" a="1"/>
  <c r="I26" i="9" s="1"/>
  <c r="I27" i="9" a="1"/>
  <c r="I27" i="9" s="1"/>
  <c r="I28" i="9" a="1"/>
  <c r="I28" i="9" s="1"/>
  <c r="I29" i="9" a="1"/>
  <c r="I29" i="9" s="1"/>
  <c r="I30" i="9" a="1"/>
  <c r="I30" i="9" s="1"/>
  <c r="I31" i="9" a="1"/>
  <c r="I31" i="9" s="1"/>
  <c r="I34" i="9" a="1"/>
  <c r="I34" i="9" s="1"/>
  <c r="I35" i="9" a="1"/>
  <c r="I35" i="9" s="1"/>
  <c r="I36" i="9" a="1"/>
  <c r="I36" i="9" s="1"/>
  <c r="I39" i="9" a="1"/>
  <c r="I39" i="9" s="1"/>
  <c r="I40" i="9" a="1"/>
  <c r="I40" i="9" s="1"/>
  <c r="I41" i="9" a="1"/>
  <c r="I41" i="9" s="1"/>
  <c r="I14" i="9" a="1"/>
  <c r="I14" i="9" s="1"/>
  <c r="E16" i="9" a="1"/>
  <c r="E16" i="9" s="1"/>
  <c r="E18" i="9" a="1"/>
  <c r="E18" i="9" s="1"/>
  <c r="E20" i="9" a="1"/>
  <c r="E20" i="9" s="1"/>
  <c r="E21" i="9" a="1"/>
  <c r="E21" i="9" s="1"/>
  <c r="E22" i="9" a="1"/>
  <c r="E22" i="9" s="1"/>
  <c r="E25" i="9" a="1"/>
  <c r="E25" i="9" s="1"/>
  <c r="E26" i="9" a="1"/>
  <c r="E26" i="9" s="1"/>
  <c r="E27" i="9" a="1"/>
  <c r="E27" i="9" s="1"/>
  <c r="E28" i="9" a="1"/>
  <c r="E28" i="9" s="1"/>
  <c r="E29" i="9" a="1"/>
  <c r="E29" i="9" s="1"/>
  <c r="E30" i="9" a="1"/>
  <c r="E30" i="9" s="1"/>
  <c r="E31" i="9" a="1"/>
  <c r="E31" i="9" s="1"/>
  <c r="E34" i="9" a="1"/>
  <c r="E34" i="9" s="1"/>
  <c r="E35" i="9" a="1"/>
  <c r="E35" i="9" s="1"/>
  <c r="E36" i="9" a="1"/>
  <c r="E36" i="9" s="1"/>
  <c r="E39" i="9" a="1"/>
  <c r="E39" i="9" s="1"/>
  <c r="E40" i="9" a="1"/>
  <c r="E40" i="9" s="1"/>
  <c r="E41" i="9" a="1"/>
  <c r="E41" i="9" s="1"/>
  <c r="E14" i="9" a="1"/>
  <c r="E14" i="9" s="1"/>
  <c r="E15" i="9" a="1"/>
  <c r="E15" i="9" s="1"/>
  <c r="E17" i="9" a="1"/>
  <c r="E17" i="9" s="1"/>
  <c r="E19" i="9" a="1"/>
  <c r="E19" i="9" s="1"/>
  <c r="I15" i="8" a="1"/>
  <c r="I15" i="8" s="1"/>
  <c r="I16" i="8" a="1"/>
  <c r="I16" i="8" s="1"/>
  <c r="I17" i="8" a="1"/>
  <c r="I17" i="8" s="1"/>
  <c r="I18" i="8" a="1"/>
  <c r="I18" i="8" s="1"/>
  <c r="I19" i="8" a="1"/>
  <c r="I19" i="8" s="1"/>
  <c r="I20" i="8" a="1"/>
  <c r="I20" i="8" s="1"/>
  <c r="I21" i="8" a="1"/>
  <c r="I21" i="8" s="1"/>
  <c r="I22" i="8" a="1"/>
  <c r="I22" i="8" s="1"/>
  <c r="I25" i="8" a="1"/>
  <c r="I25" i="8" s="1"/>
  <c r="I26" i="8" a="1"/>
  <c r="I26" i="8" s="1"/>
  <c r="I27" i="8" a="1"/>
  <c r="I27" i="8" s="1"/>
  <c r="I28" i="8" a="1"/>
  <c r="I28" i="8" s="1"/>
  <c r="I30" i="8" a="1"/>
  <c r="I30" i="8" s="1"/>
  <c r="I34" i="8" a="1"/>
  <c r="I34" i="8" s="1"/>
  <c r="I36" i="8" a="1"/>
  <c r="I36" i="8" s="1"/>
  <c r="I40" i="8" a="1"/>
  <c r="I40" i="8" s="1"/>
  <c r="I14" i="8" a="1"/>
  <c r="I14" i="8" s="1"/>
  <c r="I29" i="8" a="1"/>
  <c r="I29" i="8" s="1"/>
  <c r="I35" i="8" a="1"/>
  <c r="I35" i="8" s="1"/>
  <c r="I41" i="8" a="1"/>
  <c r="I41" i="8" s="1"/>
  <c r="E14" i="8" a="1"/>
  <c r="E14" i="8" s="1"/>
  <c r="E15" i="8" a="1"/>
  <c r="E15" i="8" s="1"/>
  <c r="E16" i="8" a="1"/>
  <c r="E16" i="8" s="1"/>
  <c r="E17" i="8" a="1"/>
  <c r="E17" i="8" s="1"/>
  <c r="E18" i="8" a="1"/>
  <c r="E18" i="8" s="1"/>
  <c r="E19" i="8" a="1"/>
  <c r="E19" i="8" s="1"/>
  <c r="E20" i="8" a="1"/>
  <c r="E20" i="8" s="1"/>
  <c r="E21" i="8" a="1"/>
  <c r="E21" i="8" s="1"/>
  <c r="E22" i="8" a="1"/>
  <c r="E22" i="8" s="1"/>
  <c r="E25" i="8" a="1"/>
  <c r="E25" i="8" s="1"/>
  <c r="E26" i="8" a="1"/>
  <c r="E26" i="8" s="1"/>
  <c r="E27" i="8" a="1"/>
  <c r="E27" i="8" s="1"/>
  <c r="E28" i="8" a="1"/>
  <c r="E28" i="8" s="1"/>
  <c r="E29" i="8" a="1"/>
  <c r="E29" i="8" s="1"/>
  <c r="E30" i="8" a="1"/>
  <c r="E30" i="8" s="1"/>
  <c r="E31" i="8" a="1"/>
  <c r="E31" i="8" s="1"/>
  <c r="E34" i="8" a="1"/>
  <c r="E34" i="8" s="1"/>
  <c r="E35" i="8" a="1"/>
  <c r="E35" i="8" s="1"/>
  <c r="E36" i="8" a="1"/>
  <c r="E36" i="8" s="1"/>
  <c r="E39" i="8" a="1"/>
  <c r="E39" i="8" s="1"/>
  <c r="E40" i="8" a="1"/>
  <c r="E40" i="8" s="1"/>
  <c r="E41" i="8" a="1"/>
  <c r="E41" i="8" s="1"/>
  <c r="I31" i="8" a="1"/>
  <c r="I31" i="8" s="1"/>
  <c r="I39" i="8" a="1"/>
  <c r="I39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49BEC322-853C-40C6-A22E-CCE9439E6C88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8AACD1A1-22DE-4EE2-9950-C75F4AF5ADB6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E11" authorId="0" shapeId="0" xr:uid="{EFC41409-05FA-4DAD-8CCE-1962783FB3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1" authorId="0" shapeId="0" xr:uid="{4C8CC563-4E2D-4B5A-AE4A-CFDE9A6522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1" authorId="0" shapeId="0" xr:uid="{D7DF95CD-6948-4865-9341-5E45F5B961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1" authorId="0" shapeId="0" xr:uid="{3C1D994C-7BD6-46A6-94F7-FBFC1F5DA3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1" authorId="0" shapeId="0" xr:uid="{A0A834CF-38A1-4AD5-9628-7A6B697E94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1" authorId="0" shapeId="0" xr:uid="{451B76BA-5AB4-4C41-AF8E-8E3295BF92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1" authorId="0" shapeId="0" xr:uid="{D0CF36CE-26B2-4F67-823B-73B73356ED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1" authorId="0" shapeId="0" xr:uid="{ECC6C172-965E-4969-A1B1-B4C2396930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1" authorId="0" shapeId="0" xr:uid="{576A5AC1-2683-4B92-A426-44B66579CA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1" authorId="0" shapeId="0" xr:uid="{8708EF9F-EB03-4F65-AFAB-0AA0D7C30D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1" authorId="0" shapeId="0" xr:uid="{292C62B9-F963-44C2-B0E4-93EEC0249C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1" authorId="0" shapeId="0" xr:uid="{05C5762B-9751-433D-946C-C5D4BC3381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1" authorId="0" shapeId="0" xr:uid="{A6AF015C-FBA2-4A1B-A19F-3F7A2B1814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1" authorId="0" shapeId="0" xr:uid="{D239F0D7-7D87-4BC1-A28C-3BF158625A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1" authorId="0" shapeId="0" xr:uid="{C1075830-AA59-4143-B601-BE5646C775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1" authorId="0" shapeId="0" xr:uid="{75EBD65C-57E3-4FE5-A003-4C298D8041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1" authorId="0" shapeId="0" xr:uid="{ED77E6A6-26FF-4291-9A9F-DC73DBF0DB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1" authorId="0" shapeId="0" xr:uid="{86302DF0-9E7C-4D7C-BDBE-35D6010B3B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1" authorId="0" shapeId="0" xr:uid="{EEA4FAC7-9279-4A6F-9E71-57FE4F6F3E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1" authorId="0" shapeId="0" xr:uid="{F0D3F8D4-5A30-4721-852F-A1C949965C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1" authorId="0" shapeId="0" xr:uid="{B782F775-B865-41AF-9666-46F7C1FAA3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1" authorId="0" shapeId="0" xr:uid="{4E1D4464-10EA-4BA7-B374-98672C50FF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1" authorId="0" shapeId="0" xr:uid="{ABE07968-5957-46DE-B099-9125586F70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1" authorId="0" shapeId="0" xr:uid="{26634F43-8413-43EB-9602-C4AE5471A6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1" authorId="0" shapeId="0" xr:uid="{FEEDF638-CA71-417E-A9F4-4936E8C7B0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2" authorId="0" shapeId="0" xr:uid="{E4F25E0E-B0EE-448F-932B-360E469985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2" authorId="0" shapeId="0" xr:uid="{1E3BC659-8F5F-4FA0-91B3-BA4E57A56C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2" authorId="0" shapeId="0" xr:uid="{2BC2EEA8-CA22-43C2-802C-3CABD97703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2" authorId="0" shapeId="0" xr:uid="{C8E9CDDC-9947-4736-A348-D2C267F660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2" authorId="0" shapeId="0" xr:uid="{8DE881D9-2F14-4FAC-836C-722EA18BF8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2" authorId="0" shapeId="0" xr:uid="{E019DE7F-D783-4259-9477-27370DA5C9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2" authorId="0" shapeId="0" xr:uid="{1EFEFA02-571E-4AA1-ACBA-3F223FB606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2" authorId="0" shapeId="0" xr:uid="{CEDFE5EA-F7B7-4B5C-B3EC-76BE8EAD7A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2" authorId="0" shapeId="0" xr:uid="{94CE91AB-A66A-4757-9181-35632252D0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2" authorId="0" shapeId="0" xr:uid="{662121D9-2A4D-4266-BF1E-23A9EEA413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2" authorId="0" shapeId="0" xr:uid="{5843768E-4ADF-47A0-B610-7FFF2EFD0B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2" authorId="0" shapeId="0" xr:uid="{C309B6D8-F058-4ED0-BF01-D2D1428DA8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2" authorId="0" shapeId="0" xr:uid="{46342248-F393-461F-AAE5-7D72B30AA7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2" authorId="0" shapeId="0" xr:uid="{281FE04B-21FE-486E-8357-1C5B94026E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2" authorId="0" shapeId="0" xr:uid="{284E9627-8D50-47C4-A616-2CB4ECD7AF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2" authorId="0" shapeId="0" xr:uid="{DE3E3E25-BC1D-4B00-9F53-890593763E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2" authorId="0" shapeId="0" xr:uid="{AA27796F-803F-4CB6-832D-1452304E2E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2" authorId="0" shapeId="0" xr:uid="{DAA84AD5-5E2A-47BB-967E-0385DAF476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2" authorId="0" shapeId="0" xr:uid="{E38E89B5-32C9-4075-9ABD-6D0FE0AA9B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2" authorId="0" shapeId="0" xr:uid="{DEF2F9F9-77DC-4834-AB65-33678B536F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2" authorId="0" shapeId="0" xr:uid="{8206E048-F901-4905-9086-BDF3FE96EA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2" authorId="0" shapeId="0" xr:uid="{EE915D95-1C69-468A-A8D7-FCBE5E41BC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2" authorId="0" shapeId="0" xr:uid="{AB5CB4B8-7D0E-4FB4-AA3B-0CE11C2A8F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2" authorId="0" shapeId="0" xr:uid="{D348FFAF-6240-493D-BB75-281336194A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2" authorId="0" shapeId="0" xr:uid="{47401ED2-2A8B-41FA-A1EE-0398247D00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2" authorId="0" shapeId="0" xr:uid="{57D62D15-38B4-4755-91A6-64C269084D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2" authorId="0" shapeId="0" xr:uid="{25F1616E-5A10-4D21-AFC6-F024576898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12" authorId="0" shapeId="0" xr:uid="{5199CC96-7538-4FF6-A127-4AEE5437AA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2" authorId="0" shapeId="0" xr:uid="{4A7F792F-33E2-4060-AD79-04092FB1E5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3" authorId="0" shapeId="0" xr:uid="{C00F6A3F-A829-4044-A543-08BFD991F8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3" authorId="0" shapeId="0" xr:uid="{7B53CFD1-F869-48BC-A862-B44A64581E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3" authorId="0" shapeId="0" xr:uid="{F3901737-DEA3-408B-A95A-797FF24263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3" authorId="0" shapeId="0" xr:uid="{7B2C24EA-6733-4025-8C4C-F44A1D9FEC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3" authorId="0" shapeId="0" xr:uid="{E68AB7DF-7775-48D4-AED3-523776C7E9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3" authorId="0" shapeId="0" xr:uid="{B30CB67B-ECD3-4F16-B90C-F45BCCB4DE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3" authorId="0" shapeId="0" xr:uid="{4116F16F-874B-4F9C-BE8F-1F4E5B4DC2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3" authorId="0" shapeId="0" xr:uid="{5045AA96-9D28-4DE9-912D-6E29D5CE74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3" authorId="0" shapeId="0" xr:uid="{B814B364-EB93-4BA1-81EF-6DD061DD27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3" authorId="0" shapeId="0" xr:uid="{E857CAE8-2125-4A0E-BDBD-7E5B51FEFB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3" authorId="0" shapeId="0" xr:uid="{80B5E256-E614-4571-A7CB-3410F3333C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3" authorId="0" shapeId="0" xr:uid="{76FC6B04-EC12-4F88-A698-00D64D8E4F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3" authorId="0" shapeId="0" xr:uid="{C09B4EF7-C98F-4335-AD83-E7A9A84FE3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3" authorId="0" shapeId="0" xr:uid="{4C3952B7-AD84-4A56-8CDA-A583460BBA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3" authorId="0" shapeId="0" xr:uid="{459661B8-CD26-4791-9565-36CD6DC33C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3" authorId="0" shapeId="0" xr:uid="{63D799C1-C76C-485A-8149-E8567CF573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3" authorId="0" shapeId="0" xr:uid="{B8AEDDC1-89FB-4823-95D5-BB2D6F8E6D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3" authorId="0" shapeId="0" xr:uid="{1766B7A0-B659-4EFC-8F0D-A1E6835591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3" authorId="0" shapeId="0" xr:uid="{0158FBFA-EAFC-42A2-A7F7-7467774188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3" authorId="0" shapeId="0" xr:uid="{1CDB219D-D73A-4869-AF7D-03924DDDE0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3" authorId="0" shapeId="0" xr:uid="{3EA50802-18C8-4B01-9F11-712FC5ACAE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3" authorId="0" shapeId="0" xr:uid="{3EBDEFD3-1DF3-46F9-B23C-005E7DB199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4" authorId="0" shapeId="0" xr:uid="{5C9D8ADA-436E-44CB-91EA-4662F3C8DC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4" authorId="0" shapeId="0" xr:uid="{B91859A0-F999-4E1B-8DCF-1AA58AEE41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4" authorId="0" shapeId="0" xr:uid="{DD9EFD9C-441A-4FD0-A635-6D8C0CFFC6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4" authorId="0" shapeId="0" xr:uid="{6247AE4E-7264-46F3-97FC-6ACC6A7F30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4" authorId="0" shapeId="0" xr:uid="{8DF68878-6A60-4067-B4B4-0B63C40860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4" authorId="0" shapeId="0" xr:uid="{B3A62C48-6024-403E-8AD7-B4593ABB34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4" authorId="0" shapeId="0" xr:uid="{3D6A965E-C166-4AE1-925D-9BAB67FA7F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4" authorId="0" shapeId="0" xr:uid="{6B648916-D463-4C51-BFD3-509FF10F17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4" authorId="0" shapeId="0" xr:uid="{667D619D-83F1-4C82-B8EF-9DAD6AEF8A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4" authorId="0" shapeId="0" xr:uid="{95BE56DD-3CC6-48BA-85EF-C63F1DACFA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4" authorId="0" shapeId="0" xr:uid="{4CF26FA7-A486-4EAD-9456-45A79C1612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4" authorId="0" shapeId="0" xr:uid="{220BB783-B6CD-40D9-8F43-38599A4421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4" authorId="0" shapeId="0" xr:uid="{A04618F8-0FC9-455D-B239-31215783BB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4" authorId="0" shapeId="0" xr:uid="{1A5C959E-89CA-4C8F-9D16-ED7893E62D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4" authorId="0" shapeId="0" xr:uid="{F0F5CC57-B8B8-407C-90E9-B836219268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4" authorId="0" shapeId="0" xr:uid="{00F0219C-F4C4-4442-B1F2-290E0D06B9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4" authorId="0" shapeId="0" xr:uid="{E4748711-2F10-4441-9BCF-9BFD35AC47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4" authorId="0" shapeId="0" xr:uid="{DAE44F2F-48C6-4920-9AD1-439D5A7FE6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4" authorId="0" shapeId="0" xr:uid="{208C79B9-8EBF-4EEB-90FB-B465BCF976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4" authorId="0" shapeId="0" xr:uid="{BAE88FEE-087C-45D1-A5FF-AE49C138A8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4" authorId="0" shapeId="0" xr:uid="{0DB3CB61-E9F9-441D-9B4B-DB14257A37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4" authorId="0" shapeId="0" xr:uid="{81B51EAF-D045-47D8-8933-B9E8B88671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4" authorId="0" shapeId="0" xr:uid="{3B326DC2-1DB8-4406-8D34-EE07AD03EE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4" authorId="0" shapeId="0" xr:uid="{19CC9CD5-F20F-4C18-9D23-5ADB122C6F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4" authorId="0" shapeId="0" xr:uid="{EE21BB2D-8633-4111-B240-B58E460EFD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5" authorId="0" shapeId="0" xr:uid="{8312106E-BC82-412F-AE28-44CDD5F1EA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5" authorId="0" shapeId="0" xr:uid="{23F6E063-A5A7-4F1C-823F-4A19C16EF0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5" authorId="0" shapeId="0" xr:uid="{E9452D86-196A-479F-A5F4-FAA271766B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5" authorId="0" shapeId="0" xr:uid="{D236B226-D0F4-4609-A0D2-EC1BAE5A24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5" authorId="0" shapeId="0" xr:uid="{C52DE618-C561-4C0B-B354-77A08B74A4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5" authorId="0" shapeId="0" xr:uid="{BC69BD74-0DDB-48CA-9F32-443C5271C1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5" authorId="0" shapeId="0" xr:uid="{7045C5D2-3BB1-4305-85E1-BF760ADE4E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5" authorId="0" shapeId="0" xr:uid="{F556E844-D9A3-4029-BBF9-6963E710C3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5" authorId="0" shapeId="0" xr:uid="{1013DF0E-6EA2-46B2-91F7-836C2F574E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5" authorId="0" shapeId="0" xr:uid="{47EA0F1B-ECFD-4C29-AA83-CBAABDB0BE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5" authorId="0" shapeId="0" xr:uid="{81C96C3F-DB7C-4031-87BF-81C2AD4284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5" authorId="0" shapeId="0" xr:uid="{2437BA36-C77D-4B85-94AD-877842E146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5" authorId="0" shapeId="0" xr:uid="{5E77C7AF-ED2B-4CFF-9AB3-33D3D0CABC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5" authorId="0" shapeId="0" xr:uid="{F6F28F25-1456-4E5F-8322-C444E93795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5" authorId="0" shapeId="0" xr:uid="{3769D080-A909-499B-82F8-F96535FF88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15" authorId="0" shapeId="0" xr:uid="{BF0C336B-316C-41F0-8407-25B0BF845E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5" authorId="0" shapeId="0" xr:uid="{EF4DFB94-40AE-4EA2-ACF3-1DD910D6A0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5" authorId="0" shapeId="0" xr:uid="{15F5C0F0-21FE-45E1-B00B-5EDE3836D0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5" authorId="0" shapeId="0" xr:uid="{92219E2C-DD7B-43B8-BF29-F315F9A58B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5" authorId="0" shapeId="0" xr:uid="{F783FCA2-B414-4FA4-BF84-EBE0173B66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5" authorId="0" shapeId="0" xr:uid="{258A31A9-00A8-4C16-9268-20365DF557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5" authorId="0" shapeId="0" xr:uid="{CC4F2206-A68A-4201-B408-D586E3B6F3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5" authorId="0" shapeId="0" xr:uid="{9E7A07D0-71B1-492D-B168-BF232A5C02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5" authorId="0" shapeId="0" xr:uid="{D099B5B2-DC39-43DE-B9BE-8BF962DC44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5" authorId="0" shapeId="0" xr:uid="{739F10C7-601E-4082-8C36-0D3F4BB538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5" authorId="0" shapeId="0" xr:uid="{8C07476A-4008-4F64-B722-5CF528A84D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N15" authorId="0" shapeId="0" xr:uid="{6B76792E-879D-4FA6-AEC8-4D41B00A22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15" authorId="0" shapeId="0" xr:uid="{1600C182-3A9B-4AB5-8457-E208ECE52C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5" authorId="0" shapeId="0" xr:uid="{5998A37C-9B5B-42D0-A4CF-1230BF0AA0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6" authorId="0" shapeId="0" xr:uid="{C3B1F4EA-6EE7-4CC2-AE8C-61E2252172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6" authorId="0" shapeId="0" xr:uid="{61C8EDCF-1380-4273-A8FD-070085A421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6" authorId="0" shapeId="0" xr:uid="{52D8D437-B17D-49D4-8A0C-377B06CA75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6" authorId="0" shapeId="0" xr:uid="{C8B3C793-3F4A-4433-A2D8-F1ABE2CA5A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6" authorId="0" shapeId="0" xr:uid="{DAD13C0D-BE29-40ED-B622-611551C74F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6" authorId="0" shapeId="0" xr:uid="{687258FD-E970-465F-93E2-8DFD1D6AA0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6" authorId="0" shapeId="0" xr:uid="{52F8DEA7-D589-4462-BD91-0C4BA5A684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6" authorId="0" shapeId="0" xr:uid="{E6EF5E42-8FFE-4416-AB4F-11241D9361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6" authorId="0" shapeId="0" xr:uid="{1FD4D25A-15D3-4648-8505-6F2EB3C1CD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6" authorId="0" shapeId="0" xr:uid="{AA76D257-22EE-4757-8FAA-7B273E81A3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6" authorId="0" shapeId="0" xr:uid="{99E0D8ED-98D1-45EC-AB4E-9F0976DCA8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6" authorId="0" shapeId="0" xr:uid="{3FF17B44-E743-4EC6-A80A-33BC1AEC08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6" authorId="0" shapeId="0" xr:uid="{C6B0E74D-9A0F-499D-9703-62600866D6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6" authorId="0" shapeId="0" xr:uid="{16740DE9-0860-48D6-A5B4-86B917A6AB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6" authorId="0" shapeId="0" xr:uid="{E917C85B-B598-429C-A5AB-2CAA8E4D75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6" authorId="0" shapeId="0" xr:uid="{68A64B51-717F-44C3-AA54-4EFCD071F1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6" authorId="0" shapeId="0" xr:uid="{8F9B27F5-8D11-43C0-9A3E-26AEC50D17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6" authorId="0" shapeId="0" xr:uid="{5021AB9A-27D2-48A9-803A-DD27821E3D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6" authorId="0" shapeId="0" xr:uid="{9BCCB01D-5A10-44E3-9135-B7822A65D2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6" authorId="0" shapeId="0" xr:uid="{73CD5BC5-B070-471B-B0DB-8C46736A51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6" authorId="0" shapeId="0" xr:uid="{205925E5-62DC-4502-A772-860DFDB55D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6" authorId="0" shapeId="0" xr:uid="{7F74F5DD-BD6A-431C-9947-3EAD257AE0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6" authorId="0" shapeId="0" xr:uid="{0AAA1C25-A8F7-49DC-B90D-7E52256FCD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7" authorId="0" shapeId="0" xr:uid="{1AFA2DF8-6C21-4977-B10E-95FF783381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7" authorId="0" shapeId="0" xr:uid="{751AA166-214F-434B-8C6F-1F1FC99EE7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7" authorId="0" shapeId="0" xr:uid="{9125A170-390F-4C0B-ABFC-C271EFC959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7" authorId="0" shapeId="0" xr:uid="{805317FA-B7E3-4FF9-818F-B4C8666F3B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7" authorId="0" shapeId="0" xr:uid="{28F1A7B0-117B-43E8-BA6A-5FAC4ACA92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7" authorId="0" shapeId="0" xr:uid="{A35F8B40-D42E-4202-A7DA-145743F7C4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7" authorId="0" shapeId="0" xr:uid="{0D29875E-85EC-471A-A241-1CD7136B60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7" authorId="0" shapeId="0" xr:uid="{5BAB0EB3-1944-4791-9EE9-FDA5E31C5B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7" authorId="0" shapeId="0" xr:uid="{51228B7E-B025-48E3-ACE1-A15417AEBE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7" authorId="0" shapeId="0" xr:uid="{6CB5FF24-7E86-4495-974B-9A9D9E1420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7" authorId="0" shapeId="0" xr:uid="{13C43362-314D-4680-9F36-F753F44FF8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7" authorId="0" shapeId="0" xr:uid="{3C5000B8-0E54-4A48-9F7A-49481C495C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7" authorId="0" shapeId="0" xr:uid="{B046130D-9493-4308-9AB3-F450D30BBE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7" authorId="0" shapeId="0" xr:uid="{48119B85-A084-4CA2-87CF-B835941929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7" authorId="0" shapeId="0" xr:uid="{887AFD21-041F-40FE-8AD1-697FC41491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7" authorId="0" shapeId="0" xr:uid="{06CFEF8A-2386-42D7-ABEA-3BEAFA8481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7" authorId="0" shapeId="0" xr:uid="{485294AB-00B2-4436-8FA3-8522C461F3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7" authorId="0" shapeId="0" xr:uid="{21689B26-6036-4196-8AFC-1DC4066037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7" authorId="0" shapeId="0" xr:uid="{B5FFD1B8-97D6-41BC-88B5-C2BE9ACF80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7" authorId="0" shapeId="0" xr:uid="{3C839706-2987-437F-B17F-D237A927F8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7" authorId="0" shapeId="0" xr:uid="{A584E44A-4FE7-45BC-BAE2-E19167F2B7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8" authorId="0" shapeId="0" xr:uid="{DA3E95F0-DFA6-45CF-BE88-6C25E0D3F5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8" authorId="0" shapeId="0" xr:uid="{AD88010E-3ED6-4895-8430-89705D601F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8" authorId="0" shapeId="0" xr:uid="{2FDDCA63-A36C-4D47-A578-9C2D6A6713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8" authorId="0" shapeId="0" xr:uid="{B5F44AC7-6B2F-4E66-8E0D-70CED4CB62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8" authorId="0" shapeId="0" xr:uid="{02754050-8FFB-4A3F-8C0B-01D043ABB8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8" authorId="0" shapeId="0" xr:uid="{C9107B72-A70B-4F1A-8A19-D331A9E067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8" authorId="0" shapeId="0" xr:uid="{DF774412-B213-41FB-9534-BC4A996E0A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8" authorId="0" shapeId="0" xr:uid="{A74C672C-A5BC-4882-9050-D9A7894F42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8" authorId="0" shapeId="0" xr:uid="{4A2134D4-6DD4-40F1-815B-869AACF619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8" authorId="0" shapeId="0" xr:uid="{233A3468-B46C-402F-A052-3A99D0FB17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8" authorId="0" shapeId="0" xr:uid="{EA27F842-ECB5-4180-8748-46823080CD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8" authorId="0" shapeId="0" xr:uid="{54024B1A-B9F6-4B9D-830B-FF72976C49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8" authorId="0" shapeId="0" xr:uid="{AA0DE447-ABAD-4A17-9A1A-1494D6859F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8" authorId="0" shapeId="0" xr:uid="{B04E01C3-1D79-43DB-A23E-F0B9C2A757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8" authorId="0" shapeId="0" xr:uid="{46223BE0-FD4E-43DB-99A9-CE2D5B8C07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8" authorId="0" shapeId="0" xr:uid="{CEA6A59D-2AEE-4AFA-86E2-E9CDA318A7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8" authorId="0" shapeId="0" xr:uid="{56B2BD53-AD56-4B41-992D-CE414033E3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8" authorId="0" shapeId="0" xr:uid="{6E4B0870-D2CD-4F05-8CC4-33B88C75EF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8" authorId="0" shapeId="0" xr:uid="{7CEC07A0-A9B4-44A5-80ED-C66A8EA60F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8" authorId="0" shapeId="0" xr:uid="{41056A5B-0016-4B51-9622-E972F39E0A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8" authorId="0" shapeId="0" xr:uid="{E172F4D9-7654-4FA4-A7FC-67EE7EDC60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8" authorId="0" shapeId="0" xr:uid="{8D2915A1-E9AA-46BD-A8D8-C618F71344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8" authorId="0" shapeId="0" xr:uid="{0ADD0286-A122-4034-83FE-C61A6680B2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9" authorId="0" shapeId="0" xr:uid="{674E9FBA-1BB3-4A47-A614-23A73980D3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9" authorId="0" shapeId="0" xr:uid="{8D8BF542-A9CB-4FA8-B28C-69104A1BC3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9" authorId="0" shapeId="0" xr:uid="{F58ED9EF-EB15-40E4-A86C-9D065ACC81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9" authorId="0" shapeId="0" xr:uid="{1D725852-981A-47DB-A34A-4FB93E135E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9" authorId="0" shapeId="0" xr:uid="{E1CC942C-A6E4-4047-B773-2D60707D6B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9" authorId="0" shapeId="0" xr:uid="{B0CE7E23-53C5-4D08-B77B-A06E898DC2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9" authorId="0" shapeId="0" xr:uid="{A78E30AA-9C89-4D13-923E-71C314C1A1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9" authorId="0" shapeId="0" xr:uid="{0C01D0A9-1F45-4160-8A37-6B754A05F5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9" authorId="0" shapeId="0" xr:uid="{7D6AA008-00C4-4F3D-B271-A61FE68C8C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9" authorId="0" shapeId="0" xr:uid="{893C31B4-736A-46F4-8ED6-954EF9D801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9" authorId="0" shapeId="0" xr:uid="{1CE4FA67-5D69-4C80-81A3-C0A76DA9EE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9" authorId="0" shapeId="0" xr:uid="{4B6FD60E-25BF-41CC-BBDF-CBD22F1B59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9" authorId="0" shapeId="0" xr:uid="{FDD8FBF9-EBE9-4897-B39C-1376959A1C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9" authorId="0" shapeId="0" xr:uid="{3946AFAE-BCCE-4D01-8811-597085FF63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9" authorId="0" shapeId="0" xr:uid="{48DBE460-B6C9-4B9E-8762-C8AD027CE9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9" authorId="0" shapeId="0" xr:uid="{B03E9E5E-71C8-453D-BDE0-D7B3BC49D6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9" authorId="0" shapeId="0" xr:uid="{9532FAAB-B8F3-4B49-AC0B-9DB7F295E4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9" authorId="0" shapeId="0" xr:uid="{B2217E31-3ECB-4B1D-AB08-D73C9DF149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9" authorId="0" shapeId="0" xr:uid="{54895A96-B1E2-44CA-B530-56E101F6E2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9" authorId="0" shapeId="0" xr:uid="{16512CAB-3E4F-4B8A-A18C-5936DD3DB0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9" authorId="0" shapeId="0" xr:uid="{C7EEDCF0-B0E0-4228-B556-4FBDF6FECC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9" authorId="0" shapeId="0" xr:uid="{53602428-9E9E-4C93-BB97-E01391D45A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9" authorId="0" shapeId="0" xr:uid="{079BF923-0CDF-4B6C-A00B-E4F826B28D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9" authorId="0" shapeId="0" xr:uid="{C2DB7E0C-7C13-460A-8567-A3CECCE68D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9" authorId="0" shapeId="0" xr:uid="{21E14343-4826-4425-B669-79707C0C46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9" authorId="0" shapeId="0" xr:uid="{6D68571C-3036-4F6F-B41A-F83A00A7B5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20" authorId="0" shapeId="0" xr:uid="{0F178494-A2D8-4342-B461-64FF50E5E6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0" authorId="0" shapeId="0" xr:uid="{04098799-F858-4C6E-BA80-8A123056B5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0" authorId="0" shapeId="0" xr:uid="{9ED2DA5B-5793-440F-BD74-AE9F26A701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0" authorId="0" shapeId="0" xr:uid="{395E1BA3-10A8-48E1-9AC8-16EC016002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0" authorId="0" shapeId="0" xr:uid="{0CA70057-3AB0-4CFF-91A1-9BFD5E69B2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0" authorId="0" shapeId="0" xr:uid="{2404B7A7-4AF8-4B58-85F2-0B02E38E0A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0" authorId="0" shapeId="0" xr:uid="{66D3E714-997F-40DC-AA8D-93B3D3EF04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0" authorId="0" shapeId="0" xr:uid="{8BE16EF1-3920-4768-ABCC-B69D0EB148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0" authorId="0" shapeId="0" xr:uid="{C18A1881-1D3B-44B0-BD8E-7CD25BE58C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0" authorId="0" shapeId="0" xr:uid="{ECE7D026-9DCA-46B3-B6CD-B227E50CCD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0" authorId="0" shapeId="0" xr:uid="{9F06FB7E-62C7-41BB-BBF1-4C2A11C31D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0" authorId="0" shapeId="0" xr:uid="{4DEDB906-045A-4787-B003-90EAAB7235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0" authorId="0" shapeId="0" xr:uid="{99B41703-E139-4968-84C1-170BE89CAB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0" authorId="0" shapeId="0" xr:uid="{7E75ED1A-9940-40E6-B6C5-BBB369FD18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0" authorId="0" shapeId="0" xr:uid="{B33F0883-61CA-4BC6-BB3E-8C4F1909B4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0" authorId="0" shapeId="0" xr:uid="{60280A7A-9DC9-4EAD-A2EA-5D3FB1F958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0" authorId="0" shapeId="0" xr:uid="{D5B56187-E237-42EA-AC84-88F6677ACB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0" authorId="0" shapeId="0" xr:uid="{752BFF7A-1C37-4FB2-8D8C-3484CB1DF5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0" authorId="0" shapeId="0" xr:uid="{988CD784-F24F-44B9-B732-CB7497E4C2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0" authorId="0" shapeId="0" xr:uid="{11A179E6-89FC-4D6D-8B26-8BAD5D0996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0" authorId="0" shapeId="0" xr:uid="{C9998D6A-CB4E-4844-97DD-768D788D7E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0" authorId="0" shapeId="0" xr:uid="{6AC865AF-6ED9-4B4B-8F72-8A5BA93052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0" authorId="0" shapeId="0" xr:uid="{07B7BF03-7366-4388-B242-BDC250B4C8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0" authorId="0" shapeId="0" xr:uid="{08EF2A6A-BB55-4487-A7F4-9787CE5010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0" authorId="0" shapeId="0" xr:uid="{7A1F2889-9C7E-4917-90CD-578B80E64A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0" authorId="0" shapeId="0" xr:uid="{94640AEE-50C2-425D-BCF0-15C397C289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0" authorId="0" shapeId="0" xr:uid="{EC3C1B0E-FBB5-4813-A4EB-0F826516D8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0" authorId="0" shapeId="0" xr:uid="{E70D2891-D93B-45BA-97EA-BC69F1AA36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0" authorId="0" shapeId="0" xr:uid="{D114E7CE-B5EB-4D8F-9854-97BAA34753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0" authorId="0" shapeId="0" xr:uid="{0D05AC56-9682-4336-BFE3-D726D1DA54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0" authorId="0" shapeId="0" xr:uid="{EC27DED8-90C2-420A-ACC2-732AABC871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N20" authorId="0" shapeId="0" xr:uid="{E47F6251-E71F-4F9A-AFBE-0FCFADDFC8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20" authorId="0" shapeId="0" xr:uid="{CE68EAB0-562B-40E7-9453-A592046492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0" authorId="0" shapeId="0" xr:uid="{51C4A213-09E2-4314-A620-2725C8219C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1" authorId="0" shapeId="0" xr:uid="{3A4F42E0-08E8-419C-B97B-3F2B94AB6B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1" authorId="0" shapeId="0" xr:uid="{DA0FD07F-14C6-47E1-89FB-5F82253D3C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1" authorId="0" shapeId="0" xr:uid="{6E8EBCD0-6E0A-4ADC-9321-5430E92E8E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1" authorId="0" shapeId="0" xr:uid="{066AA32E-E229-45EB-B455-F1B2EEC544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1" authorId="0" shapeId="0" xr:uid="{40BAA49C-6A4A-4B72-BAB0-68958B0924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1" authorId="0" shapeId="0" xr:uid="{EB13F568-3BF0-48FA-9E6C-8B5744536E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1" authorId="0" shapeId="0" xr:uid="{531F9C79-9ACE-4D94-AFCD-F09007DB82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1" authorId="0" shapeId="0" xr:uid="{70C40DF7-6AA3-4944-A8C7-D23A559276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1" authorId="0" shapeId="0" xr:uid="{4BFC77E7-2CA3-4002-B27F-60D3257859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1" authorId="0" shapeId="0" xr:uid="{EC315E20-FDCA-4C34-85CD-33886BF0F2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1" authorId="0" shapeId="0" xr:uid="{719C240C-90C0-4122-8649-C97C16B3EC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1" authorId="0" shapeId="0" xr:uid="{8D8C7424-AAE0-4441-8E7C-C7475D811E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1" authorId="0" shapeId="0" xr:uid="{2F81EAB4-8D90-4E62-BBB8-9536323C41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1" authorId="0" shapeId="0" xr:uid="{12B67D9E-67F6-467F-80BB-C9C00C4963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1" authorId="0" shapeId="0" xr:uid="{185C8D50-0AFD-4E4A-9809-9C2A5AF40E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1" authorId="0" shapeId="0" xr:uid="{38D812C2-F65C-4CBE-B0F3-27C93E25DB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1" authorId="0" shapeId="0" xr:uid="{5B03ACDE-EB35-4E50-96DE-0C5C40B137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1" authorId="0" shapeId="0" xr:uid="{A4972C99-6EF2-44B0-8435-7E51FEE33A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1" authorId="0" shapeId="0" xr:uid="{6D9533E9-BEB8-44AD-88C5-A9087C2569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1" authorId="0" shapeId="0" xr:uid="{B7ABA2F0-3DD4-4F04-80C7-41CB9A10A6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1" authorId="0" shapeId="0" xr:uid="{66E82412-179B-4901-BAD4-76EA1C3130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1" authorId="0" shapeId="0" xr:uid="{E472304B-B220-4AFA-97FA-68408568AC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1" authorId="0" shapeId="0" xr:uid="{B0555376-E047-46DB-8B15-7ABA9BA67A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1" authorId="0" shapeId="0" xr:uid="{961A9230-1566-474E-8D87-AAB920E8D2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1" authorId="0" shapeId="0" xr:uid="{5CA785E8-6947-4A2C-B32E-EC2673300E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1" authorId="0" shapeId="0" xr:uid="{051B3F62-8800-4821-BE11-014E497C23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1" authorId="0" shapeId="0" xr:uid="{C9819C92-341F-4755-91D9-BF60408D3F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1" authorId="0" shapeId="0" xr:uid="{2C0954B6-F4DA-4F5E-93F5-B211872B0C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22" authorId="0" shapeId="0" xr:uid="{18F2F5DE-E6A1-41A2-900A-5B63E0A4DB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2" authorId="0" shapeId="0" xr:uid="{90725623-0AAE-44C6-996E-5C14CF5720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2" authorId="0" shapeId="0" xr:uid="{21F5E752-94E7-4C49-A5C5-3E5B551B98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2" authorId="0" shapeId="0" xr:uid="{170DFF8B-29B5-46E7-8C75-B63D5AADD6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2" authorId="0" shapeId="0" xr:uid="{522B8515-C74E-440A-9A7F-433DFE676D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2" authorId="0" shapeId="0" xr:uid="{1E44BA62-12CD-4EC4-A51C-BDCEC24E05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2" authorId="0" shapeId="0" xr:uid="{C518E906-3C5B-43BA-8EFF-B89B38DFC5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2" authorId="0" shapeId="0" xr:uid="{0924E2B4-845C-4B62-9C0B-85B6967538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2" authorId="0" shapeId="0" xr:uid="{DCB73A43-FAB7-489F-AC52-C10EECA28E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2" authorId="0" shapeId="0" xr:uid="{9096D5B2-7DC4-4D48-801B-5A1E8F8B28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2" authorId="0" shapeId="0" xr:uid="{821B3E30-1516-49C3-B4D2-26074A7FC7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2" authorId="0" shapeId="0" xr:uid="{BF6F79A9-D9EE-439A-9A61-527BC27709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2" authorId="0" shapeId="0" xr:uid="{8769C1CB-87DB-4240-B725-E40CE2E63F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2" authorId="0" shapeId="0" xr:uid="{5D1052EB-C391-4B30-B189-3235CB9F10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2" authorId="0" shapeId="0" xr:uid="{5701552C-B177-4294-8855-A9575F8E51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2" authorId="0" shapeId="0" xr:uid="{DA222F87-DEFA-46F1-A4AE-38A0436BC6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2" authorId="0" shapeId="0" xr:uid="{303C59BC-2E8B-4E3C-9B10-B00A43C62A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2" authorId="0" shapeId="0" xr:uid="{CAE3FBC7-A806-47BE-AC7D-9033C0E55A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2" authorId="0" shapeId="0" xr:uid="{71FAF9C7-6CF2-465F-A55E-8B2BCED1CF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2" authorId="0" shapeId="0" xr:uid="{8515517C-42ED-4848-8B30-B3EE154322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2" authorId="0" shapeId="0" xr:uid="{DF9DF928-C913-4801-9ED2-9CD7DCC3FC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2" authorId="0" shapeId="0" xr:uid="{2A83D72C-6394-4B2D-B42B-84D109A6EB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2" authorId="0" shapeId="0" xr:uid="{A32A651C-D259-45E5-95BC-E7C9AB0E09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2" authorId="0" shapeId="0" xr:uid="{AF01EEBB-FDEA-46CE-8718-A2958EE758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2" authorId="0" shapeId="0" xr:uid="{E0B0B9AC-8AB1-4D12-A6C6-9DEF026503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2" authorId="0" shapeId="0" xr:uid="{82B738BC-CD1C-4427-B316-AAE69D6916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2" authorId="0" shapeId="0" xr:uid="{89C5571F-66C5-44B3-B05E-E9C4B54DFE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2" authorId="0" shapeId="0" xr:uid="{AC89C42F-C2AF-43A1-87B0-D72275EB89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2" authorId="0" shapeId="0" xr:uid="{4D2098A2-2E80-4208-B1C9-D4FAAEC56F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2" authorId="0" shapeId="0" xr:uid="{6D8ECBD0-4407-42D8-B236-F07A9FE28C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2" authorId="0" shapeId="0" xr:uid="{12A775A2-B699-401D-914C-9A752D74C8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2" authorId="0" shapeId="0" xr:uid="{E2BADA44-5BC4-4653-B630-8C485F73A5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3" authorId="0" shapeId="0" xr:uid="{C9681D03-06A6-4BA2-B320-BBEFB83A0E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3" authorId="0" shapeId="0" xr:uid="{6B6E6363-3E4B-4CC8-9C10-BE3FF3CE11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3" authorId="0" shapeId="0" xr:uid="{69ECB6F4-CBD2-486C-944A-CEFFF35F62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3" authorId="0" shapeId="0" xr:uid="{B1F92F1A-56BE-491A-AC64-7A1AD65907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3" authorId="0" shapeId="0" xr:uid="{B4933C71-C754-4783-9264-56B3722467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3" authorId="0" shapeId="0" xr:uid="{E4C2AA9F-FD56-41D9-9526-CAF6007561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3" authorId="0" shapeId="0" xr:uid="{43248D8A-3CD4-4E58-9F01-5374CD16A3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3" authorId="0" shapeId="0" xr:uid="{25CACB2B-E5F1-43F0-982E-7AF2481F99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3" authorId="0" shapeId="0" xr:uid="{6285D3CB-7080-41C5-A905-8D6649DA1A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3" authorId="0" shapeId="0" xr:uid="{E652B14D-7C9D-4F39-8B9F-69FA2C38B1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3" authorId="0" shapeId="0" xr:uid="{BD9D2933-5F09-460D-A381-98557BC36B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3" authorId="0" shapeId="0" xr:uid="{F7FD9337-EB3F-4FB2-A80E-372CCFEACE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3" authorId="0" shapeId="0" xr:uid="{F82C638D-F4CE-4C8F-9FA0-909A8B3BD6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3" authorId="0" shapeId="0" xr:uid="{EE52C1B2-BDA9-41FE-A552-54B602B607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3" authorId="0" shapeId="0" xr:uid="{260867EA-8182-4DBA-960C-FECF8469F3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3" authorId="0" shapeId="0" xr:uid="{D8993E0D-24DD-4547-894A-2CDE858471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3" authorId="0" shapeId="0" xr:uid="{F0F8285F-5B28-4E5C-9E42-426918D692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3" authorId="0" shapeId="0" xr:uid="{F409EFD0-1447-43C3-86E9-494E470E27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3" authorId="0" shapeId="0" xr:uid="{AF8D34E5-E00B-467B-88AB-27DF32FB5F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3" authorId="0" shapeId="0" xr:uid="{910956A9-CCA2-4CFC-BD0F-0A00BB3065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3" authorId="0" shapeId="0" xr:uid="{3DEE7E37-4D6B-4BB0-9771-C74E183901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3" authorId="0" shapeId="0" xr:uid="{8EA7906B-80AA-49B7-8100-A92ED059AC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3" authorId="0" shapeId="0" xr:uid="{206D2566-77E8-4A17-913F-8746BF652A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24" authorId="0" shapeId="0" xr:uid="{57EE20C7-1A45-4B45-A4A8-FE61E8C596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4" authorId="0" shapeId="0" xr:uid="{DAC7D717-C65A-4B87-A8FF-BD1947F494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4" authorId="0" shapeId="0" xr:uid="{CB663F76-0706-4221-A3DE-9E73F17045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4" authorId="0" shapeId="0" xr:uid="{532974F3-9FF6-4E23-9827-2FDC5DA835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4" authorId="0" shapeId="0" xr:uid="{879B92AC-937A-4FD8-ADB0-5F351EA798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4" authorId="0" shapeId="0" xr:uid="{FE84A988-7480-4CFA-B73F-205F7343CD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4" authorId="0" shapeId="0" xr:uid="{3C66D2F1-934E-4B00-8E01-A87DD8AC48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4" authorId="0" shapeId="0" xr:uid="{1FBC5E09-FE55-428B-8AF8-4A4AD8BBC1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4" authorId="0" shapeId="0" xr:uid="{A53870F3-AF15-4BE3-97BB-CD1FA15F16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4" authorId="0" shapeId="0" xr:uid="{9B8CAC6A-B466-4F2E-818F-C2869FB507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4" authorId="0" shapeId="0" xr:uid="{85AC391C-7A3A-4196-84EE-E48FD65D50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4" authorId="0" shapeId="0" xr:uid="{55C39789-B555-4134-9423-8B740DA674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4" authorId="0" shapeId="0" xr:uid="{23BA2992-44E1-4003-BCCB-3D7FB39200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4" authorId="0" shapeId="0" xr:uid="{2A49D412-10BA-403B-9291-227A453051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4" authorId="0" shapeId="0" xr:uid="{166D4237-7257-4F8F-9B8A-A158D5C434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4" authorId="0" shapeId="0" xr:uid="{92F5E018-73EB-463F-B5AE-40E81BD59B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4" authorId="0" shapeId="0" xr:uid="{FDCE1E7A-54C9-4C73-AB45-098C753A53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4" authorId="0" shapeId="0" xr:uid="{D15D7B5F-DBF7-4A0D-94F7-7E5AB179B1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4" authorId="0" shapeId="0" xr:uid="{2092DC59-837B-4FE6-86AC-C814920821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4" authorId="0" shapeId="0" xr:uid="{2B979C6D-D86C-4CBE-A9D1-03CD0CB8C8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4" authorId="0" shapeId="0" xr:uid="{88799A61-F4D1-4456-8127-D6767F27B5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4" authorId="0" shapeId="0" xr:uid="{5121DFD0-07B2-4270-88E7-9C79179B5C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4" authorId="0" shapeId="0" xr:uid="{2AEBA1A3-9890-4D45-8A20-9FBBEA2DB4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4" authorId="0" shapeId="0" xr:uid="{6ECD62C7-E58F-4242-9EE6-0C0F809FFC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4" authorId="0" shapeId="0" xr:uid="{066BF29F-6660-412C-9252-B92875369E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4" authorId="0" shapeId="0" xr:uid="{43CFCD81-0814-4317-9AFE-03BFA5CE62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4" authorId="0" shapeId="0" xr:uid="{53861DF9-E658-47C7-B17F-374D6C8418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4" authorId="0" shapeId="0" xr:uid="{60AD47CD-E614-4E1D-8FE1-7CA91E7EC3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4" authorId="0" shapeId="0" xr:uid="{B3D8996F-77A4-445B-9E2A-5AC3AE70E0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5" authorId="0" shapeId="0" xr:uid="{516FE50B-5141-49A1-BC1C-B20E969F7B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5" authorId="0" shapeId="0" xr:uid="{3B977B34-342B-41E7-B849-0ABF7FF23F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5" authorId="0" shapeId="0" xr:uid="{05F68174-0A61-42BD-95B4-F307F8BF8B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5" authorId="0" shapeId="0" xr:uid="{CCAF3D51-BD0E-4E42-B918-E3237D0017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5" authorId="0" shapeId="0" xr:uid="{38D72DF8-5772-49F0-9691-DB52C220C2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5" authorId="0" shapeId="0" xr:uid="{05893335-BBE3-4516-82D6-D9A3730DDC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5" authorId="0" shapeId="0" xr:uid="{D04F520E-0B6A-4C4F-8668-B04E95855E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5" authorId="0" shapeId="0" xr:uid="{17C0657C-A32B-477C-B035-ABCE3DD2EF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5" authorId="0" shapeId="0" xr:uid="{6E342325-31FF-4B83-B1D4-FE8344748F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5" authorId="0" shapeId="0" xr:uid="{DF202176-46BA-422B-BD28-FDDA8AB9D5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5" authorId="0" shapeId="0" xr:uid="{71225623-C5F6-40C1-A24E-F0BCFEC9BB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5" authorId="0" shapeId="0" xr:uid="{0A358915-8294-4027-A22D-84AFCD0C33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5" authorId="0" shapeId="0" xr:uid="{76189C5E-63AB-4502-B220-C9DB461D3E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5" authorId="0" shapeId="0" xr:uid="{C5A57478-94E0-4201-99A7-BD6CB454CF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5" authorId="0" shapeId="0" xr:uid="{6720CEF9-65F8-4CA3-8E72-B5140DE7AB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5" authorId="0" shapeId="0" xr:uid="{D4549651-8A11-49E7-9F2D-8EA9504C8F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5" authorId="0" shapeId="0" xr:uid="{35F73966-4966-4A45-BABF-0230965E5E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5" authorId="0" shapeId="0" xr:uid="{FFB2F685-83AC-4EE8-B074-4067D6B925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5" authorId="0" shapeId="0" xr:uid="{83EBC286-BD45-416C-B1D4-729B7EE499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5" authorId="0" shapeId="0" xr:uid="{B6914FEC-070A-4C21-AC17-F6F6658B1F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5" authorId="0" shapeId="0" xr:uid="{156F3C8A-7989-4CD0-B59F-21669B6208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5" authorId="0" shapeId="0" xr:uid="{D6D6A476-8748-4F00-A226-55E75DA44E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5" authorId="0" shapeId="0" xr:uid="{5D06DFC3-FD04-4901-9F5F-7F64454108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5" authorId="0" shapeId="0" xr:uid="{2A8E8AF3-D023-46FF-8419-AB4CF59992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5" authorId="0" shapeId="0" xr:uid="{CDB21C57-25AF-4DB3-B208-96AE9E24EC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5" authorId="0" shapeId="0" xr:uid="{A77669C9-A70B-4D2B-AB4E-EA7359CBC1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5" authorId="0" shapeId="0" xr:uid="{89984C45-DF7E-4B91-B646-F9698E5CF6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5" authorId="0" shapeId="0" xr:uid="{6C12006E-9C34-4FFC-B893-2819FE6AA9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6" authorId="0" shapeId="0" xr:uid="{ACEBED53-B504-4436-834D-B4071AED7C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6" authorId="0" shapeId="0" xr:uid="{A7EE801A-0A96-461A-BA61-59FA0CB4C1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6" authorId="0" shapeId="0" xr:uid="{3AE2970D-48B7-4010-A6A1-49A234107B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6" authorId="0" shapeId="0" xr:uid="{B01292DA-A25F-4AD0-A2E8-AB66FBFAE4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6" authorId="0" shapeId="0" xr:uid="{7C1FE586-F4BA-46E0-AC3B-02C5928087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6" authorId="0" shapeId="0" xr:uid="{5E6F8409-BEBF-4000-BACB-8F143E23D8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6" authorId="0" shapeId="0" xr:uid="{E198B1A8-448F-4CF4-B151-AA13D3BEC3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6" authorId="0" shapeId="0" xr:uid="{E5CFF99C-95A7-4AB2-89F3-0DE4D17065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6" authorId="0" shapeId="0" xr:uid="{C81DABA9-8FA7-4B65-8EE0-B18CDB2549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6" authorId="0" shapeId="0" xr:uid="{AAE3EFC7-D48D-4122-8075-FDE580588D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6" authorId="0" shapeId="0" xr:uid="{81EB46AA-E13B-4071-8C77-3968A977FB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6" authorId="0" shapeId="0" xr:uid="{D48416F8-118E-41DC-B64C-FA2520748B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6" authorId="0" shapeId="0" xr:uid="{90994577-5B3F-40D1-A93F-A378084634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6" authorId="0" shapeId="0" xr:uid="{EA8C0CCB-8F7F-4298-82A2-72EEE79300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6" authorId="0" shapeId="0" xr:uid="{8A3C4BB8-6208-4244-96F0-8DBC87ECBC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6" authorId="0" shapeId="0" xr:uid="{4C25DD7C-F4D9-45E8-BBB1-9FC51CF229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6" authorId="0" shapeId="0" xr:uid="{60282D0A-0CE0-439C-A61E-B37D60652E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6" authorId="0" shapeId="0" xr:uid="{0A43C675-5783-4592-AFFC-1C07A227BE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6" authorId="0" shapeId="0" xr:uid="{5AD6EC5D-7334-44F8-8F00-4EE56BA84B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6" authorId="0" shapeId="0" xr:uid="{D3411707-CD5F-45D3-AFBD-D3A3298A8C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6" authorId="0" shapeId="0" xr:uid="{3727869E-1C13-45B0-A317-35332264A2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6" authorId="0" shapeId="0" xr:uid="{0D98D6F2-9A5F-4395-8B6C-F1C6711A11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6" authorId="0" shapeId="0" xr:uid="{344CD12F-A88A-4A16-9658-FCCC6A9B76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6" authorId="0" shapeId="0" xr:uid="{55533088-8D2C-4C2E-8417-1E28AEE3C1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6" authorId="0" shapeId="0" xr:uid="{72A0D524-271D-4EA5-B4B5-3B1F6B0682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6" authorId="0" shapeId="0" xr:uid="{9A496659-712B-46F6-8E2F-C40B147740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6" authorId="0" shapeId="0" xr:uid="{828950E1-B272-4A2D-8C72-D6C98CEFE6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6" authorId="0" shapeId="0" xr:uid="{ADA31488-A0E4-41D8-9A2A-6C74545A12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6" authorId="0" shapeId="0" xr:uid="{D0A58319-923A-4909-AB9C-82DF73C923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6" authorId="0" shapeId="0" xr:uid="{E5B0CD21-64EB-45D0-8806-86397D96E5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26" authorId="0" shapeId="0" xr:uid="{06795E6F-7F84-4ABB-8F70-12DF76162F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6" authorId="0" shapeId="0" xr:uid="{8F588F0A-8D76-4EFE-A36E-8EFA684209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7" authorId="0" shapeId="0" xr:uid="{C82D6636-4C8E-4DF4-B149-2C98546B18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7" authorId="0" shapeId="0" xr:uid="{5245B5F9-7DB2-4EE4-B26B-775B4F7460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7" authorId="0" shapeId="0" xr:uid="{A4E5F522-BBC1-4FE0-904B-E08E9DF9C9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7" authorId="0" shapeId="0" xr:uid="{991DD588-B06C-484E-B660-46A616F8DB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7" authorId="0" shapeId="0" xr:uid="{64F7CA0F-410E-4718-8390-C63346EBB8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7" authorId="0" shapeId="0" xr:uid="{3E814087-E95D-4D31-8C3A-4D7C258B58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7" authorId="0" shapeId="0" xr:uid="{2A13FF2E-EFCE-4136-8459-3EFB28510D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7" authorId="0" shapeId="0" xr:uid="{A5C2A50D-F0EA-4940-834A-B346B934DA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7" authorId="0" shapeId="0" xr:uid="{4C0B1A6D-E293-410E-96BB-715CC8DC37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7" authorId="0" shapeId="0" xr:uid="{6F64F9BC-37EA-4304-8921-360712D6D1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7" authorId="0" shapeId="0" xr:uid="{5B5A78E2-BB49-4092-B86C-433CE1A214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7" authorId="0" shapeId="0" xr:uid="{54875D0C-F4D0-4E67-BB0F-5401C1C2F1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7" authorId="0" shapeId="0" xr:uid="{6DF46A0C-07B7-44BD-AA68-114C1A6961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7" authorId="0" shapeId="0" xr:uid="{E03802D7-0F1C-4E0F-8FB2-DBF64255DE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7" authorId="0" shapeId="0" xr:uid="{E80C4F95-350C-4AC5-957B-FDA7FB5ADF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7" authorId="0" shapeId="0" xr:uid="{4A88A8E2-0BAD-411F-B8F6-A282E9519B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7" authorId="0" shapeId="0" xr:uid="{205C13EC-04DA-4837-9DE3-92D02DB693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7" authorId="0" shapeId="0" xr:uid="{7CED8EC0-3F71-4AEE-850A-C72D2D1D6A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7" authorId="0" shapeId="0" xr:uid="{F2C86127-37F6-4C8C-BA29-FE061135F0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7" authorId="0" shapeId="0" xr:uid="{73A9C312-F6D1-47AB-90F2-1E48CA2D0C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7" authorId="0" shapeId="0" xr:uid="{3343183C-D390-43E7-AC39-12A93B34FD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7" authorId="0" shapeId="0" xr:uid="{4D0EB7C0-1795-4568-BED5-5628A64570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7" authorId="0" shapeId="0" xr:uid="{C0737185-154E-473F-8C99-4E20C36760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7" authorId="0" shapeId="0" xr:uid="{D6FC2D86-CDE4-40EA-A471-1BA798DBF8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7" authorId="0" shapeId="0" xr:uid="{158BF982-E977-4449-A7BD-44F12C37B6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7" authorId="0" shapeId="0" xr:uid="{5A0D9B1A-F81A-4482-B67F-AEBD663A30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8" authorId="0" shapeId="0" xr:uid="{A648FB89-A328-4A5A-BB23-6357E78BF0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8" authorId="0" shapeId="0" xr:uid="{CB29CEB3-7450-4E04-ADE4-877D4FA06E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8" authorId="0" shapeId="0" xr:uid="{BD828CC7-38EC-4B68-B970-1AA26046DB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8" authorId="0" shapeId="0" xr:uid="{F0695260-F121-4FC5-859D-FF44B89B89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8" authorId="0" shapeId="0" xr:uid="{1A4BEB54-1722-4A9E-8ADC-779005BAFF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8" authorId="0" shapeId="0" xr:uid="{A33DD39F-1FDE-4FDC-A85A-46F8839B5C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8" authorId="0" shapeId="0" xr:uid="{94CDCFAB-5844-4C26-A093-F55329C7F1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8" authorId="0" shapeId="0" xr:uid="{725F8172-DFBD-4275-AF5D-A393D5E0EB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8" authorId="0" shapeId="0" xr:uid="{88D7470C-BB8E-46F2-8B09-B10DA517C1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8" authorId="0" shapeId="0" xr:uid="{56D69B1B-F2BB-4C18-881A-B9B94B5E4B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8" authorId="0" shapeId="0" xr:uid="{281DE8B0-471A-4B7E-9190-6D9D97F9C1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8" authorId="0" shapeId="0" xr:uid="{EC4613D0-885F-475F-932E-DE65A7B263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8" authorId="0" shapeId="0" xr:uid="{3D0F5400-9A7C-49CF-8AFB-EB1F4C6350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8" authorId="0" shapeId="0" xr:uid="{E679C30D-B722-415C-B65B-4DEDFA1EA6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8" authorId="0" shapeId="0" xr:uid="{A79BC7FD-7C93-4CF0-8077-DCE4AFB2EC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F28" authorId="0" shapeId="0" xr:uid="{C43066AE-FD60-4BA2-A7F8-6828C331E2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8" authorId="0" shapeId="0" xr:uid="{28977C34-170A-4AB9-A943-53B57F7FF9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8" authorId="0" shapeId="0" xr:uid="{A6FCAA3C-9C1C-4913-9376-057C5C0234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8" authorId="0" shapeId="0" xr:uid="{FD141B57-F180-4BDE-8089-2A24829A83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8" authorId="0" shapeId="0" xr:uid="{8107A3FD-51D0-4E62-A307-66096E3BF8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8" authorId="0" shapeId="0" xr:uid="{0F99A625-C3C5-4563-BC2B-A7601929DD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8" authorId="0" shapeId="0" xr:uid="{CC13B7C2-228F-40B6-8E1E-7576563D58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8" authorId="0" shapeId="0" xr:uid="{BB1DDD71-2027-44E7-927A-8054FB244E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8" authorId="0" shapeId="0" xr:uid="{D0CC5770-68C7-441D-878A-671CAF96BC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8" authorId="0" shapeId="0" xr:uid="{D88C751D-6409-46BD-B8BB-8661E46A8B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8" authorId="0" shapeId="0" xr:uid="{24C71901-FD04-4DB2-B35E-030217B314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9" authorId="0" shapeId="0" xr:uid="{45250876-8AB1-4043-ABD2-AFDD6F901F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9" authorId="0" shapeId="0" xr:uid="{282A9E6D-2112-43A8-A736-8191470077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9" authorId="0" shapeId="0" xr:uid="{07D2BBD7-FC2A-4F6A-A049-95C2B31A88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9" authorId="0" shapeId="0" xr:uid="{7C607178-861D-4A46-A553-FD6B8DBF76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9" authorId="0" shapeId="0" xr:uid="{0994E905-8678-4634-8948-4B1F9EB918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9" authorId="0" shapeId="0" xr:uid="{A0C23C3A-97DE-43EE-8EAF-9BB7038331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9" authorId="0" shapeId="0" xr:uid="{0E377166-4AD2-4F27-88D1-D3C11337C2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9" authorId="0" shapeId="0" xr:uid="{1C63D2FC-46F3-4C5B-B917-A69E5C3912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9" authorId="0" shapeId="0" xr:uid="{FA97FDC9-0C6A-4AF2-B2DA-1988D57766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9" authorId="0" shapeId="0" xr:uid="{2E1379FB-3CF5-4360-8296-A1E4763A14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9" authorId="0" shapeId="0" xr:uid="{E602D88E-B1EE-4495-928F-E7E5DF5E62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9" authorId="0" shapeId="0" xr:uid="{E907A281-EBC2-4047-99EF-169E575973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9" authorId="0" shapeId="0" xr:uid="{57A01579-A560-40E7-A693-6064F9DA2F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9" authorId="0" shapeId="0" xr:uid="{6432E9E3-B710-43EF-B380-4AB02C5FBE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9" authorId="0" shapeId="0" xr:uid="{0E81AAC4-5AEE-4BC1-A314-7E807165B2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9" authorId="0" shapeId="0" xr:uid="{76BAA4D3-4165-4843-AA1C-D89C06FFCB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9" authorId="0" shapeId="0" xr:uid="{F485FD74-F5C2-4E66-90DD-F00E9F440E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9" authorId="0" shapeId="0" xr:uid="{2485F88B-77D9-4938-A6F1-0E566B8C19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9" authorId="0" shapeId="0" xr:uid="{10C8CC41-AE61-4C5B-83A4-9EA552D20E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9" authorId="0" shapeId="0" xr:uid="{8D4F75F8-B480-489D-A2E3-B251411353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9" authorId="0" shapeId="0" xr:uid="{68336C42-B3DB-475F-A75F-4737BBEAC7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0" authorId="0" shapeId="0" xr:uid="{84CA4BB3-D179-4DC5-BFE7-58AF3BFFEF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0" authorId="0" shapeId="0" xr:uid="{920E3314-AD05-415A-8BBF-380106E100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0" authorId="0" shapeId="0" xr:uid="{D8A35262-A3F8-4108-9A88-66A690A199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0" authorId="0" shapeId="0" xr:uid="{32425B54-34D2-4C48-81B1-142B5DA84C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0" authorId="0" shapeId="0" xr:uid="{3629E61F-45ED-4D22-A7A1-F46E38FCAD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0" authorId="0" shapeId="0" xr:uid="{51B44577-3884-455F-B319-2B9AA9979E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0" authorId="0" shapeId="0" xr:uid="{B6D8E87E-4751-4B13-BCC2-DD0DD434C9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0" authorId="0" shapeId="0" xr:uid="{CB071610-37E7-4A8B-B105-55649B67BF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0" authorId="0" shapeId="0" xr:uid="{29D7BBE0-817B-4B46-A4F3-FA0DD48B78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0" authorId="0" shapeId="0" xr:uid="{E53705D8-3809-4539-9805-C84DE095AD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0" authorId="0" shapeId="0" xr:uid="{41005157-3F6D-48AE-99D7-68EB741B9D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0" authorId="0" shapeId="0" xr:uid="{2AA25209-E481-4D9C-9364-60E0FBBD5B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0" authorId="0" shapeId="0" xr:uid="{C98914C5-477A-47C7-8891-86C1217CA0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0" authorId="0" shapeId="0" xr:uid="{3C830FB1-7AA3-4086-B919-D81EDBB274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0" authorId="0" shapeId="0" xr:uid="{35C5F51C-A455-4E42-A544-1971C905AE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0" authorId="0" shapeId="0" xr:uid="{3C059A76-A4D7-45DB-8625-2CC40E96B2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0" authorId="0" shapeId="0" xr:uid="{A88FBB44-5B80-4F79-B627-E7BC1A39F9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0" authorId="0" shapeId="0" xr:uid="{6891CB79-6F31-4CB0-878C-2A19C02906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0" authorId="0" shapeId="0" xr:uid="{8D4E6102-E0DD-4898-ABF8-6C66A657CC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0" authorId="0" shapeId="0" xr:uid="{45299D74-BE56-4150-A0A7-FB9C136807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0" authorId="0" shapeId="0" xr:uid="{44623AD4-8EA2-49FB-9E3D-189F5908A6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0" authorId="0" shapeId="0" xr:uid="{10F3023A-317C-4446-B50F-27848F7939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0" authorId="0" shapeId="0" xr:uid="{06415267-D7BC-43FA-8B61-72B494EC3A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0" authorId="0" shapeId="0" xr:uid="{35AE2F6E-9E07-4F39-A055-7BF2185683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0" authorId="0" shapeId="0" xr:uid="{A2C58947-4AA7-451F-9256-DE04CA5447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30" authorId="0" shapeId="0" xr:uid="{C313A69A-FA6E-42CF-97C5-475458F844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0" authorId="0" shapeId="0" xr:uid="{E0F69CFF-DAEC-4CA0-86F3-3334466B3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1" authorId="0" shapeId="0" xr:uid="{8DE517CA-5FD6-422E-87ED-A82ACE9C34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1" authorId="0" shapeId="0" xr:uid="{BB1615B0-5F1A-4312-AA73-CDD708CDE0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1" authorId="0" shapeId="0" xr:uid="{49C8B676-DBBA-465B-B7E0-27B106059A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1" authorId="0" shapeId="0" xr:uid="{93C12B73-1457-4ADB-8F68-C5595D2118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1" authorId="0" shapeId="0" xr:uid="{8BCA06B9-C389-4C4E-93AD-C7BB70CE62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1" authorId="0" shapeId="0" xr:uid="{21EA8E27-406E-4C66-858A-771B83E7FE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1" authorId="0" shapeId="0" xr:uid="{B971AEC5-2ADE-4D92-83A8-B2811B74A6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1" authorId="0" shapeId="0" xr:uid="{88B171CE-21F9-4CB4-8899-8EC6C9B7B0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1" authorId="0" shapeId="0" xr:uid="{4A5BB876-5E4B-465F-B56F-822F5C4042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1" authorId="0" shapeId="0" xr:uid="{BAAF1C92-12B1-4B33-831B-388824B1BE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1" authorId="0" shapeId="0" xr:uid="{2D5AE32A-0437-4654-AC99-EA8A412DAA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1" authorId="0" shapeId="0" xr:uid="{41BF4752-A6A7-4FD9-A552-F04A7E7640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1" authorId="0" shapeId="0" xr:uid="{BF3C6AEA-7469-40A9-881E-25734C5383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1" authorId="0" shapeId="0" xr:uid="{8B727F2F-1568-4DD7-996E-189B496F27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1" authorId="0" shapeId="0" xr:uid="{B38C2515-A543-4E0D-9BE4-ED46FF857C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1" authorId="0" shapeId="0" xr:uid="{975E551D-E5BC-4E7D-8702-592BFAFA21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1" authorId="0" shapeId="0" xr:uid="{EF582FF4-3B69-491D-9159-D80499421C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1" authorId="0" shapeId="0" xr:uid="{3E5955A3-6D08-40E3-8CE1-FA40FA4898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1" authorId="0" shapeId="0" xr:uid="{0141A9EC-CC13-4E29-A44B-5B96BB993A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1" authorId="0" shapeId="0" xr:uid="{2627741D-8922-492A-AE9B-40FF592DE2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1" authorId="0" shapeId="0" xr:uid="{CDCF38DD-E22A-433B-9A03-76C6E52C36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1" authorId="0" shapeId="0" xr:uid="{E5C3E7AF-F7B4-4AC7-AD0F-4A685C7A7A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1" authorId="0" shapeId="0" xr:uid="{88227BA8-E1E3-4EDF-B059-A8092D10C6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1" authorId="0" shapeId="0" xr:uid="{4E9230B7-F4D9-4FDD-8C9D-5C05AEC6BB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2" authorId="0" shapeId="0" xr:uid="{80EBBB15-CE21-42BE-9F5D-041E7272E3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2" authorId="0" shapeId="0" xr:uid="{DE0AAE44-3418-496D-9162-1BEB0EFEE6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2" authorId="0" shapeId="0" xr:uid="{97E904D4-ECF2-489A-A239-73F1055034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2" authorId="0" shapeId="0" xr:uid="{C96A3EC5-F6F8-4B27-912B-C9678B02E0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2" authorId="0" shapeId="0" xr:uid="{0903C527-A44A-45D7-83FA-9A83C9E587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2" authorId="0" shapeId="0" xr:uid="{83DA78A7-E8D9-4238-9194-78F221DA8B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2" authorId="0" shapeId="0" xr:uid="{7B164303-55B2-49D2-961C-5090B47734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2" authorId="0" shapeId="0" xr:uid="{67120B9F-7E90-4E72-8177-F804367F1F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2" authorId="0" shapeId="0" xr:uid="{D79CF691-86A3-4967-8934-21362D7C42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2" authorId="0" shapeId="0" xr:uid="{DF7F1DDB-6213-4112-85F0-5C5FE900EF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2" authorId="0" shapeId="0" xr:uid="{574BB47F-9E5F-46EA-B6B0-A12A8C5F41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2" authorId="0" shapeId="0" xr:uid="{DCD2AFF3-C362-489D-9973-EE500B449B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2" authorId="0" shapeId="0" xr:uid="{B6EB9913-8791-4AC5-81E1-17670DC6A3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2" authorId="0" shapeId="0" xr:uid="{DCFB94D0-BA49-4043-BA22-52EC1CE720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2" authorId="0" shapeId="0" xr:uid="{00FF50BF-61F4-40A0-8326-C4146791C2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2" authorId="0" shapeId="0" xr:uid="{7588A80C-DB64-4A5C-BCAF-8E8015A2CC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2" authorId="0" shapeId="0" xr:uid="{6B33CDB2-275B-4132-9205-DA53626AFF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32" authorId="0" shapeId="0" xr:uid="{3B5795B2-050D-44CB-BAB8-40CA42631C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2" authorId="0" shapeId="0" xr:uid="{D3C0AAEC-A1BF-4C95-A78C-AAA2C6EC3E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2" authorId="0" shapeId="0" xr:uid="{FF4DE687-846D-41A2-9414-2F4DA6238E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2" authorId="0" shapeId="0" xr:uid="{63AC128D-D50C-4428-B822-C98857908F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2" authorId="0" shapeId="0" xr:uid="{13E1C020-8A56-4281-B758-A866D7003E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2" authorId="0" shapeId="0" xr:uid="{08BF3AE8-1604-465E-A431-75808ED678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2" authorId="0" shapeId="0" xr:uid="{9148BE04-692E-46D0-99A1-B2592CE383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2" authorId="0" shapeId="0" xr:uid="{DAB2BD05-5207-4E25-A100-D65855D890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2" authorId="0" shapeId="0" xr:uid="{895CF653-332D-4F5C-AC56-A5B3820E29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2" authorId="0" shapeId="0" xr:uid="{045C1C8C-31F6-4EAE-A94C-EC694F97A4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2" authorId="0" shapeId="0" xr:uid="{84862480-F639-45C3-A022-118F35C23F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3" authorId="0" shapeId="0" xr:uid="{695B5689-1FC4-482D-8C99-5D07762D8C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3" authorId="0" shapeId="0" xr:uid="{A81C5E36-06D4-46D6-A44B-D3741462F8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3" authorId="0" shapeId="0" xr:uid="{3E4DE3EF-47E9-43A8-9A31-2A8E3E1CE7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3" authorId="0" shapeId="0" xr:uid="{DC63CDB6-A84C-4B87-B283-774699C654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3" authorId="0" shapeId="0" xr:uid="{BC8A536D-A376-483D-B47A-8A68F7842A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3" authorId="0" shapeId="0" xr:uid="{144943B9-C2FB-475F-AB22-4C5384B03F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3" authorId="0" shapeId="0" xr:uid="{5E7F6644-7C70-4472-B256-5F154A7B75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3" authorId="0" shapeId="0" xr:uid="{651599ED-E902-4871-868F-72433DC985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3" authorId="0" shapeId="0" xr:uid="{A289375F-DAA8-4A40-AA61-A9C7492429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3" authorId="0" shapeId="0" xr:uid="{024FB349-AF5D-4215-BF9B-A97438586D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3" authorId="0" shapeId="0" xr:uid="{0D900524-AA85-4641-B750-2786564A9C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3" authorId="0" shapeId="0" xr:uid="{127EDBE3-63F5-4235-911F-866C261900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3" authorId="0" shapeId="0" xr:uid="{CCAD3292-0BE3-4C49-89DD-94728D9BAF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3" authorId="0" shapeId="0" xr:uid="{F94B19B6-98BB-4ADF-B101-4C3D0CB8FE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3" authorId="0" shapeId="0" xr:uid="{3692886B-6459-41E1-87D6-8393A21CC4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3" authorId="0" shapeId="0" xr:uid="{BD998ECB-3641-497D-8B03-150EA41D85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3" authorId="0" shapeId="0" xr:uid="{A3B902B2-ED12-450F-BC01-5BD1111084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3" authorId="0" shapeId="0" xr:uid="{84B0C411-868E-433F-8044-C8F6D7094F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3" authorId="0" shapeId="0" xr:uid="{BEEEFE7F-C1E5-4C78-80A8-FF543505CB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3" authorId="0" shapeId="0" xr:uid="{6C62E58F-CA80-45CB-8C41-3A5AADB5B5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3" authorId="0" shapeId="0" xr:uid="{A060AF44-6205-48A8-BDAF-B90CCE157C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3" authorId="0" shapeId="0" xr:uid="{7E8F21BF-5A7C-4E3A-B457-B23DF6CD5D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3" authorId="0" shapeId="0" xr:uid="{233B2A55-CE73-4925-BA03-F74582C8C0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3" authorId="0" shapeId="0" xr:uid="{3104F0B3-2767-4EBF-8A34-6F7C394912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3" authorId="0" shapeId="0" xr:uid="{97CB0CCC-F3C5-4BFB-811A-52DACC7734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4" authorId="0" shapeId="0" xr:uid="{7AA39495-EDE9-40C8-A4B6-CEF1D1D961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4" authorId="0" shapeId="0" xr:uid="{9A70A8A9-918E-4FA9-B764-AA916FA8EB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4" authorId="0" shapeId="0" xr:uid="{4C1E0518-9921-4436-97CE-7D93B07266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4" authorId="0" shapeId="0" xr:uid="{D96777CF-61F5-4CAD-815F-F1E1DAB0AA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4" authorId="0" shapeId="0" xr:uid="{57069195-0EED-4424-BBDD-5F48AA989B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4" authorId="0" shapeId="0" xr:uid="{0F836B6C-F1B8-4367-AF67-18B6F9F166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4" authorId="0" shapeId="0" xr:uid="{AE4B62E6-43AA-4B95-8715-6EA6BBD23B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4" authorId="0" shapeId="0" xr:uid="{9C4C3D10-F022-42FE-8479-114A5F8C6B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4" authorId="0" shapeId="0" xr:uid="{C6569E34-B60E-4FA2-81E7-E05A4F9592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4" authorId="0" shapeId="0" xr:uid="{663DE452-8458-48EF-9AD4-50535677F2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4" authorId="0" shapeId="0" xr:uid="{311F94ED-394B-4C69-99C0-A30EC158DC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4" authorId="0" shapeId="0" xr:uid="{5DE48F71-278C-4908-AA04-874EB740F4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4" authorId="0" shapeId="0" xr:uid="{06E81293-EB0E-4AF5-924B-828EE5ED0A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4" authorId="0" shapeId="0" xr:uid="{6580D9BE-371C-4A18-92F5-26368622EA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4" authorId="0" shapeId="0" xr:uid="{381E3EF9-B870-46D6-A549-5204E7FA02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4" authorId="0" shapeId="0" xr:uid="{993A191F-E6E8-4AD9-990B-459008B2CB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4" authorId="0" shapeId="0" xr:uid="{09012061-4C96-4C08-8C0D-CBB087A7D4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4" authorId="0" shapeId="0" xr:uid="{AEC61F0C-2E6A-4713-B16A-0A90DBF07D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4" authorId="0" shapeId="0" xr:uid="{67A26258-F404-427A-A001-60192FA5E9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4" authorId="0" shapeId="0" xr:uid="{F4F308B8-5A23-4B4E-B573-65020D85F9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4" authorId="0" shapeId="0" xr:uid="{5319F33B-7DAF-4E94-AB47-CA73C03E40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4" authorId="0" shapeId="0" xr:uid="{2A3945C1-068C-4383-9481-DF9352099B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4" authorId="0" shapeId="0" xr:uid="{66BE75CF-5129-4648-B9DB-4CF35A6E2A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5" authorId="0" shapeId="0" xr:uid="{F42ABC61-6125-4CC8-861D-DF9CAAA6B8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5" authorId="0" shapeId="0" xr:uid="{B307B023-ACD9-4D81-8F8D-B342D7D9AF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5" authorId="0" shapeId="0" xr:uid="{8912D4C6-BAF7-4CF1-A88F-5B2CC29A3B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5" authorId="0" shapeId="0" xr:uid="{8FBF19E0-5155-4A63-857B-9A3CE12ADC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5" authorId="0" shapeId="0" xr:uid="{8D1A96B7-AC82-438B-AF5A-C5B3A95A41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5" authorId="0" shapeId="0" xr:uid="{DC0BF963-8D9A-448C-9D23-B96D6DBF0F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5" authorId="0" shapeId="0" xr:uid="{58546B7A-83D4-4ED7-88AD-034855CF33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5" authorId="0" shapeId="0" xr:uid="{5569F4DD-BF4C-4D64-A3EE-14AB83F70B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5" authorId="0" shapeId="0" xr:uid="{62DC8752-53FF-4752-8FEE-BE08B5AB71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5" authorId="0" shapeId="0" xr:uid="{426FCBAD-8B2B-4276-9EAA-66DE89F4D5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5" authorId="0" shapeId="0" xr:uid="{CE620D85-FE03-4A7B-A354-B5E465340D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5" authorId="0" shapeId="0" xr:uid="{DD23B40B-2D6E-4B9D-A59F-F24FF4A366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5" authorId="0" shapeId="0" xr:uid="{49AE0848-5121-4E45-A32E-55BCCD4D39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5" authorId="0" shapeId="0" xr:uid="{68985C5E-353D-48C9-8CB8-9A96EFAFA0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5" authorId="0" shapeId="0" xr:uid="{7E927C6D-B169-4A56-AA9B-5F57E7F369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5" authorId="0" shapeId="0" xr:uid="{16AC0122-3D62-4E11-BA4B-42B48D79FA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5" authorId="0" shapeId="0" xr:uid="{A7FD5A63-2AD9-4F2A-97BA-B174A5ADCD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5" authorId="0" shapeId="0" xr:uid="{A81FD338-DF11-443F-B864-46BD6F6734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5" authorId="0" shapeId="0" xr:uid="{6B3C1516-9A28-4987-987A-3F73DA8857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5" authorId="0" shapeId="0" xr:uid="{FB793A3B-CA24-4260-8C31-1731017CDA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5" authorId="0" shapeId="0" xr:uid="{A9AD2739-FD37-42C1-9EF3-F69D8930D7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5" authorId="0" shapeId="0" xr:uid="{6302AC3C-A884-4B73-8777-6E0737E5B5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6" authorId="0" shapeId="0" xr:uid="{0544A29A-D5DB-4141-9898-B3CC9CB3DF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6" authorId="0" shapeId="0" xr:uid="{367944F0-96AF-445F-95D4-0492A4CCC3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6" authorId="0" shapeId="0" xr:uid="{D537D710-784C-4DCD-B3B3-C6FCD8272D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6" authorId="0" shapeId="0" xr:uid="{69BB9A0B-B7D7-486A-90AB-E3D29C0532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6" authorId="0" shapeId="0" xr:uid="{F9AB7197-74C4-4CA1-9121-0C983787B7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6" authorId="0" shapeId="0" xr:uid="{6977C7F1-5580-4C11-AD84-A2202711C9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6" authorId="0" shapeId="0" xr:uid="{4F29DC42-3EE5-4222-AC4F-83BD41AA29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6" authorId="0" shapeId="0" xr:uid="{AA423F9F-5F42-4AEA-9AD4-7E4EC9AD8B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6" authorId="0" shapeId="0" xr:uid="{D5AED5E5-1B14-4E73-B9AF-50EF61962D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6" authorId="0" shapeId="0" xr:uid="{93311315-592E-44C4-8296-C64FE0D153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6" authorId="0" shapeId="0" xr:uid="{31E23FB6-F5B4-40AF-B845-E455F7092E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6" authorId="0" shapeId="0" xr:uid="{6CFD0079-C121-4C08-9EC0-17D532D11A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6" authorId="0" shapeId="0" xr:uid="{E779BB89-A578-469E-88D9-087BD2CB32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6" authorId="0" shapeId="0" xr:uid="{BC474E19-F8E7-4CF3-9B4C-41A865CF53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6" authorId="0" shapeId="0" xr:uid="{2B49173A-BB07-454A-8418-75D32D7D05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6" authorId="0" shapeId="0" xr:uid="{4CF9EC9C-FD14-48FD-81A1-BC220EDABE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6" authorId="0" shapeId="0" xr:uid="{29275F16-C5B5-4A4B-99C1-1536651168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6" authorId="0" shapeId="0" xr:uid="{33CF6157-51F6-4674-ADAD-2C0C58DF33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6" authorId="0" shapeId="0" xr:uid="{9EFEC197-DD72-4A24-8FAB-BE6A1AB4A6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6" authorId="0" shapeId="0" xr:uid="{5974C1AB-37C7-418D-8B32-97DFE0B8D0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6" authorId="0" shapeId="0" xr:uid="{868C25DF-0240-45E5-AEAB-91FE0E0110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6" authorId="0" shapeId="0" xr:uid="{5327646A-0B9C-4D49-BAC4-9D3FE2C4EB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6" authorId="0" shapeId="0" xr:uid="{D9509AB5-5135-4FD4-8518-A2B6DFA286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6" authorId="0" shapeId="0" xr:uid="{F327A03A-71B5-4DA6-BE33-3557BA05BC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7" authorId="0" shapeId="0" xr:uid="{C6537229-A6B2-486C-8A99-63A381059B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7" authorId="0" shapeId="0" xr:uid="{4C7AF597-8235-4A95-B4F0-4BC318585F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7" authorId="0" shapeId="0" xr:uid="{4A2CA35A-6636-4BBF-8EFD-94B261663E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7" authorId="0" shapeId="0" xr:uid="{0E73DC4C-C54E-4767-AF0A-2FBF698465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7" authorId="0" shapeId="0" xr:uid="{14201778-3FEE-4C59-A4A5-2C8B819812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7" authorId="0" shapeId="0" xr:uid="{18020498-8E5E-4719-B684-DE55A629D0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7" authorId="0" shapeId="0" xr:uid="{F9C14B6B-1497-4920-B487-F6BE5C50DE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7" authorId="0" shapeId="0" xr:uid="{A3B3B607-2F6E-4F5B-99F7-1CB52B069C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7" authorId="0" shapeId="0" xr:uid="{E1DB5B4D-4D5D-4C17-8D2E-B65EB6E52A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7" authorId="0" shapeId="0" xr:uid="{293AF5E2-E4DE-4A73-805F-E96E749A83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7" authorId="0" shapeId="0" xr:uid="{3EFAA39F-24F6-4085-854C-D99BE42753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7" authorId="0" shapeId="0" xr:uid="{1E54BA1D-B8A0-4A2B-91DD-F33560CB2F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7" authorId="0" shapeId="0" xr:uid="{E336696C-3FB3-4159-A1BE-6289282F9E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7" authorId="0" shapeId="0" xr:uid="{1296F144-DA90-4250-8BA8-C4A40B1B49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7" authorId="0" shapeId="0" xr:uid="{2ADD9D0C-2BC5-47E0-B437-092AA71450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7" authorId="0" shapeId="0" xr:uid="{C0F9F6B1-0AF1-4853-B453-2D6B647F88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7" authorId="0" shapeId="0" xr:uid="{7EFEF44B-34EE-4490-AA3C-91E96A7C3A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7" authorId="0" shapeId="0" xr:uid="{0D34266D-CE2F-458F-8DEA-303A7D8FC4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7" authorId="0" shapeId="0" xr:uid="{B9FDEDA4-8CCC-42BE-A9D7-681C8BF0AD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7" authorId="0" shapeId="0" xr:uid="{E83B005B-F4E2-405E-803B-AD3ED8D077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7" authorId="0" shapeId="0" xr:uid="{FC6639ED-EEFC-4F95-97A1-77AF2535C3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7" authorId="0" shapeId="0" xr:uid="{23A64FBE-5A89-4F41-BD77-57A37A1EF0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7" authorId="0" shapeId="0" xr:uid="{BB541301-1AB4-44B1-B758-FF3471091A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7" authorId="0" shapeId="0" xr:uid="{8310F02B-B53D-450F-8A0B-354F85FB59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7" authorId="0" shapeId="0" xr:uid="{7C5A45C5-C26B-4430-928F-1F977E28F7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8" authorId="0" shapeId="0" xr:uid="{09F75ED5-6C44-43C2-9125-F4D2F15429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8" authorId="0" shapeId="0" xr:uid="{F9BAC2CF-6B8F-48C7-8715-D40A44C941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8" authorId="0" shapeId="0" xr:uid="{6FE355B2-4483-4A61-88F1-6E48A792CD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8" authorId="0" shapeId="0" xr:uid="{DC8CA122-E902-48E0-B39D-8F6E055F94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8" authorId="0" shapeId="0" xr:uid="{BD44D45A-C1CA-492D-A3A5-9FAC44CD51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8" authorId="0" shapeId="0" xr:uid="{35637894-35B7-4FF4-85D2-46ADD51D17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8" authorId="0" shapeId="0" xr:uid="{6AFF0903-7273-48A2-83E1-514531BEF9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8" authorId="0" shapeId="0" xr:uid="{E380CC78-FFF9-4011-A1E8-AFB0B3DBDE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8" authorId="0" shapeId="0" xr:uid="{A9CA3BF6-BA74-46A5-B431-58EB2E3480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8" authorId="0" shapeId="0" xr:uid="{C2657AB9-28D0-4AD9-8AE2-EC10E129BF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8" authorId="0" shapeId="0" xr:uid="{97F1C312-F7B2-4663-B9C5-C250FB8579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8" authorId="0" shapeId="0" xr:uid="{A3BE7556-2E2B-411E-9650-5B54D219F7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8" authorId="0" shapeId="0" xr:uid="{551E5D2D-CC85-401E-9922-485A00920B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8" authorId="0" shapeId="0" xr:uid="{9CA95EA6-A698-42A0-87D2-4C43EF7305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8" authorId="0" shapeId="0" xr:uid="{86A0F9BD-0904-4B69-AAB3-A4078FFF2C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8" authorId="0" shapeId="0" xr:uid="{8BBE0FD0-D761-424D-8DA9-59383CBC8B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8" authorId="0" shapeId="0" xr:uid="{57E1344B-53B2-4B0B-BC91-0463A03063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38" authorId="0" shapeId="0" xr:uid="{339F3947-8843-4391-9A36-86A09B6750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8" authorId="0" shapeId="0" xr:uid="{A74694A7-0A15-4CC3-8823-3ABAE7D912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8" authorId="0" shapeId="0" xr:uid="{C5581121-38FC-4BCD-B014-01E7D737BB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8" authorId="0" shapeId="0" xr:uid="{A6163DE0-5B32-422B-B039-CFFFDAA485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8" authorId="0" shapeId="0" xr:uid="{92A486AF-A57C-423A-AD14-4C1042C417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8" authorId="0" shapeId="0" xr:uid="{C43C4008-CFDD-45DE-8753-2553E47EBF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8" authorId="0" shapeId="0" xr:uid="{1FBBEE90-B7D3-44C8-80F9-CAF4D5946E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8" authorId="0" shapeId="0" xr:uid="{2C08CD50-912B-4E7E-87C6-1D94424FE0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8" authorId="0" shapeId="0" xr:uid="{1E243E4F-4606-4F46-BFC5-52A07C6BDA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8" authorId="0" shapeId="0" xr:uid="{B35FB2E3-03B3-4BB9-8BBC-EC9D07DA83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8" authorId="0" shapeId="0" xr:uid="{3DC32679-4737-4249-83EB-13B951D1F9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9" authorId="0" shapeId="0" xr:uid="{F363AD80-6F74-4D8D-A778-F397E92054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9" authorId="0" shapeId="0" xr:uid="{21D3300C-10E3-4795-8AD7-1538686429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9" authorId="0" shapeId="0" xr:uid="{F27EDA4F-5BB2-4F57-93D9-FDC49C3A82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9" authorId="0" shapeId="0" xr:uid="{136B6257-C461-4EAA-B6CF-733996A7D6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9" authorId="0" shapeId="0" xr:uid="{806D738A-EBAB-479E-9F4A-BC5FA3CF83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9" authorId="0" shapeId="0" xr:uid="{3869BDB2-87CE-4743-8A1E-A6C858F38A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9" authorId="0" shapeId="0" xr:uid="{4EA3D3E6-748E-40EE-B900-4C208ADA90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9" authorId="0" shapeId="0" xr:uid="{722534E4-0311-4B8E-AF19-15F37E5A82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9" authorId="0" shapeId="0" xr:uid="{3958740E-2D55-4AE8-BCF4-6583D2141E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9" authorId="0" shapeId="0" xr:uid="{08D7DA54-B513-48FC-880C-6D50BC23A6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9" authorId="0" shapeId="0" xr:uid="{75DAAE35-2D16-45B4-9489-C11F276B84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9" authorId="0" shapeId="0" xr:uid="{84470516-E3A3-4DF0-92F5-3CF5986EE8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9" authorId="0" shapeId="0" xr:uid="{BEE61FFD-063B-42C2-8A18-E66B09569E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9" authorId="0" shapeId="0" xr:uid="{5397EFE3-BCA1-4C2B-A361-3224BECC5C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9" authorId="0" shapeId="0" xr:uid="{0DB2FE05-9F61-4E77-B0CB-57DACC2738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9" authorId="0" shapeId="0" xr:uid="{71B9A634-A3A1-4869-8F22-7D2D2324A8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9" authorId="0" shapeId="0" xr:uid="{9131398E-4D3C-40E1-A976-4E523A04F2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9" authorId="0" shapeId="0" xr:uid="{8BA847B3-BD28-4C17-99D3-319D9A1198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9" authorId="0" shapeId="0" xr:uid="{8F8CEE37-A4E0-49D3-A178-56544E24F0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9" authorId="0" shapeId="0" xr:uid="{E6AC5000-30E9-40BA-A0E3-24D3D073BF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9" authorId="0" shapeId="0" xr:uid="{620D2D7D-C5C2-41CB-A97F-8FAF1DD32A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9" authorId="0" shapeId="0" xr:uid="{89012576-73E4-4881-9D4E-96475DB2F6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9" authorId="0" shapeId="0" xr:uid="{00A7C2AF-2EE7-49B9-A649-E69D5E4DEA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9" authorId="0" shapeId="0" xr:uid="{7EE39C57-7497-4732-B281-7A69C00079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0" authorId="0" shapeId="0" xr:uid="{47D6DC23-F91F-496C-B1A4-FFE04BF874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0" authorId="0" shapeId="0" xr:uid="{72A5FAEE-37A8-432E-BEA7-7A364C090A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0" authorId="0" shapeId="0" xr:uid="{9E79A398-2ABC-49CA-A941-730C222395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0" authorId="0" shapeId="0" xr:uid="{EEE7EE8B-D05B-4C86-983B-66D2B1AA42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0" authorId="0" shapeId="0" xr:uid="{E31CF11A-909F-4600-A47A-D9396B59D3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0" authorId="0" shapeId="0" xr:uid="{CA89126E-4D1B-4C13-A419-7ED7069ACA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0" authorId="0" shapeId="0" xr:uid="{DAEF48EC-3DEF-42CE-A8CE-8E23D75E49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0" authorId="0" shapeId="0" xr:uid="{30F8D867-413A-48A7-A264-5005C7C4F9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0" authorId="0" shapeId="0" xr:uid="{66CD4403-8CE8-4231-AF49-6BF1AB4891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0" authorId="0" shapeId="0" xr:uid="{D77DBB1F-1A13-485D-B67D-62BA17D2F7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0" authorId="0" shapeId="0" xr:uid="{5621A59D-4D86-4DDB-8F22-AD9B5145D6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0" authorId="0" shapeId="0" xr:uid="{9531AD02-60E5-443D-9029-B4C45820E9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0" authorId="0" shapeId="0" xr:uid="{B9B46CCA-5A8C-4078-A56D-474EE1AF84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0" authorId="0" shapeId="0" xr:uid="{57E1D38C-D11B-48C7-98E5-8B88958341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0" authorId="0" shapeId="0" xr:uid="{730DF6B3-507E-491A-A8CA-16D69AD44D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0" authorId="0" shapeId="0" xr:uid="{4254789A-725C-48D7-84DE-2CB9AA1CF3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0" authorId="0" shapeId="0" xr:uid="{2A9CEB3E-3BA4-4C28-BC8C-4176AC2030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0" authorId="0" shapeId="0" xr:uid="{533744C1-6648-4BA8-9A74-3D54404E74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0" authorId="0" shapeId="0" xr:uid="{3B0A485C-6958-4F09-83EA-B1E5FB82E6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0" authorId="0" shapeId="0" xr:uid="{EB225CB7-A1B9-4947-AE1A-9B112D5F73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0" authorId="0" shapeId="0" xr:uid="{E952C781-00ED-4ACE-9B10-DC2620245D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0" authorId="0" shapeId="0" xr:uid="{EAA44140-F9FD-42FB-B3DF-2C7F268BA9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0" authorId="0" shapeId="0" xr:uid="{81BC24AF-2E8D-400A-AE83-D2A9ACC9DA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0" authorId="0" shapeId="0" xr:uid="{67F9771C-3867-4529-AA98-458AA6FBBB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0" authorId="0" shapeId="0" xr:uid="{6A59B9FB-4F84-4B16-A1D2-5042047C9D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1" authorId="0" shapeId="0" xr:uid="{89C9E12D-861F-473B-878B-EC5C46977A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1" authorId="0" shapeId="0" xr:uid="{0A6FE1C5-C304-4FCA-BA28-5F03C00C0D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1" authorId="0" shapeId="0" xr:uid="{BB312CED-AD7B-47D3-843C-6EC2432E09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1" authorId="0" shapeId="0" xr:uid="{592F596D-1079-4A0A-9887-7432678308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1" authorId="0" shapeId="0" xr:uid="{AD7527DD-2EDB-4E3F-A261-5301C861AF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1" authorId="0" shapeId="0" xr:uid="{5B5F1223-98A5-4849-9BBB-5C254BD16B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1" authorId="0" shapeId="0" xr:uid="{1B2F7DD2-304F-4AC1-9356-D44C442E4F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1" authorId="0" shapeId="0" xr:uid="{A4138F5B-4FA5-4908-AD55-A0A01AC9A0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1" authorId="0" shapeId="0" xr:uid="{02AC8F3A-C24A-42B4-BF0D-064D4BDDD9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1" authorId="0" shapeId="0" xr:uid="{33C35AB7-0152-43F2-8A7B-8FE3486A66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1" authorId="0" shapeId="0" xr:uid="{A5A626D6-A5FC-429E-BCDC-1967B5203C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1" authorId="0" shapeId="0" xr:uid="{42DA2A14-2485-4046-AD86-D7B81ABFC0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1" authorId="0" shapeId="0" xr:uid="{7F5D7092-0F97-4DED-A919-E3436F810B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1" authorId="0" shapeId="0" xr:uid="{C41997EE-B9C3-4C39-ABE4-4CBF905730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1" authorId="0" shapeId="0" xr:uid="{84EF2A52-BCC1-4014-AF5E-719829E73A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1" authorId="0" shapeId="0" xr:uid="{F13B5752-0AA9-47EB-A6F6-04119C904C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1" authorId="0" shapeId="0" xr:uid="{9DAB05E4-277C-451B-91F0-908667E25E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1" authorId="0" shapeId="0" xr:uid="{7997424C-E214-45D5-BC35-09F376DFF4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1" authorId="0" shapeId="0" xr:uid="{701D4ABF-2097-439C-8003-79678673C6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1" authorId="0" shapeId="0" xr:uid="{49599493-C44B-47FA-A8BE-D1A3FEAE12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1" authorId="0" shapeId="0" xr:uid="{E8080ADB-871E-4602-9451-4EF0B7A338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1" authorId="0" shapeId="0" xr:uid="{51888296-C5AE-4805-9A55-E17843E850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1" authorId="0" shapeId="0" xr:uid="{C81775FE-D1CC-4BCA-9414-D25196A7AC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1" authorId="0" shapeId="0" xr:uid="{C64834F2-7BAD-488D-B45F-E279C6AEAB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2" authorId="0" shapeId="0" xr:uid="{E014286D-17DC-4CD5-A1C0-3BE84A2E5F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2" authorId="0" shapeId="0" xr:uid="{FD227A66-46FB-4F72-8F10-202440A74B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2" authorId="0" shapeId="0" xr:uid="{1BF50920-1C01-490A-B5F5-3616EAA19F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2" authorId="0" shapeId="0" xr:uid="{3C214C84-3783-46CB-AFBA-08AE7FCCC3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2" authorId="0" shapeId="0" xr:uid="{0A7C9588-5801-4629-A5D9-085802262A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2" authorId="0" shapeId="0" xr:uid="{266EC909-756C-4509-9B97-A8D597D97D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2" authorId="0" shapeId="0" xr:uid="{50917395-0CE2-4EBD-8437-1AD11639C0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2" authorId="0" shapeId="0" xr:uid="{A03F7F49-20C0-4A8F-9748-410F8B976E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2" authorId="0" shapeId="0" xr:uid="{C3D8F02E-4EE2-4675-81B8-F72B1120F9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2" authorId="0" shapeId="0" xr:uid="{04B8A921-2527-42CF-A6EC-D6BBD69D4A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2" authorId="0" shapeId="0" xr:uid="{1ADC4F85-9334-487F-B620-D79ADA57FB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2" authorId="0" shapeId="0" xr:uid="{1C214530-FCA0-409F-8210-9942D5B0B7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2" authorId="0" shapeId="0" xr:uid="{3AB86E58-3127-427F-A644-97AA3F17D0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2" authorId="0" shapeId="0" xr:uid="{2970FEC5-2B40-4C74-9D61-3DA82A62B7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2" authorId="0" shapeId="0" xr:uid="{A2745E5D-85E9-4E6B-8F94-DD63DF0EAF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2" authorId="0" shapeId="0" xr:uid="{A9B2420A-E0E6-459C-A803-38F5C78612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2" authorId="0" shapeId="0" xr:uid="{0443B652-025F-412A-BB10-B7405F0E9D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2" authorId="0" shapeId="0" xr:uid="{CDC3751C-FE58-440B-B13B-DAC756B35B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2" authorId="0" shapeId="0" xr:uid="{96776B02-BF3F-4FA2-B3EE-B6319CC22F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2" authorId="0" shapeId="0" xr:uid="{40E4C27C-AF36-4EC4-912C-AAEC30F861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2" authorId="0" shapeId="0" xr:uid="{CA994E9B-28B4-439F-BEB4-CD8049828F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2" authorId="0" shapeId="0" xr:uid="{6E34D3FB-202C-4DB1-BF90-85A5114069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2" authorId="0" shapeId="0" xr:uid="{AF863886-26F2-4073-99B9-E96C99E81A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3" authorId="0" shapeId="0" xr:uid="{6A9C43C5-D393-4665-B618-9EA36132E1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3" authorId="0" shapeId="0" xr:uid="{4A340BCC-2560-4BD7-AD9D-706FE0F8B0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3" authorId="0" shapeId="0" xr:uid="{8CF26BD5-2E18-4406-9BD3-FEB15EE686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3" authorId="0" shapeId="0" xr:uid="{28C35A9C-DB60-4C53-A4A6-AC0C754C3C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3" authorId="0" shapeId="0" xr:uid="{36AC90F5-98E3-4E23-9B38-F2B84E027B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3" authorId="0" shapeId="0" xr:uid="{468E05CA-FF24-4B2E-90A5-7AD3DBD8DE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3" authorId="0" shapeId="0" xr:uid="{A4B25B8D-8C6B-4097-8070-6B47D7EBAF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3" authorId="0" shapeId="0" xr:uid="{2DE5FBD0-7303-417B-87CE-22880B3AEB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3" authorId="0" shapeId="0" xr:uid="{7541A7A7-E1F6-469C-B132-A6BF5D912F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3" authorId="0" shapeId="0" xr:uid="{8B48AE8A-8150-4E97-90D1-4DBFC66384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3" authorId="0" shapeId="0" xr:uid="{D6F55F31-7A7B-4553-BD66-03B1869991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3" authorId="0" shapeId="0" xr:uid="{6ADE1FCA-7E66-476D-8F16-1AD7FF85F0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3" authorId="0" shapeId="0" xr:uid="{D14EFBB6-5268-487B-8278-6FAD59B7D3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3" authorId="0" shapeId="0" xr:uid="{D9EFC288-9F85-4154-9F44-7E4342B725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3" authorId="0" shapeId="0" xr:uid="{7A5E9F86-862C-4201-A5AB-DCC2817407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3" authorId="0" shapeId="0" xr:uid="{C86747C1-EE25-4EE1-A3E3-A1FA7D83F1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3" authorId="0" shapeId="0" xr:uid="{C5E49273-C62D-45FF-97F2-15587AE0CE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3" authorId="0" shapeId="0" xr:uid="{33178559-C9D5-46F0-9E4B-4779F4166D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3" authorId="0" shapeId="0" xr:uid="{958CADC0-947A-45AF-9DD0-1C7ED3A164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3" authorId="0" shapeId="0" xr:uid="{D1D1F8D1-8DEF-432F-9B67-B0DE4754A6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3" authorId="0" shapeId="0" xr:uid="{8FC05A78-C8CB-4D37-9E5F-ECF005D1CA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3" authorId="0" shapeId="0" xr:uid="{2026B584-E940-4378-834E-C09641F558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3" authorId="0" shapeId="0" xr:uid="{DE85F947-F864-4EF5-8627-DEA9327017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3" authorId="0" shapeId="0" xr:uid="{33532D7C-5B93-476A-B9F2-85AE371AF0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43" authorId="0" shapeId="0" xr:uid="{B4742E68-373C-46DD-9DD5-6DC701F8A6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3" authorId="0" shapeId="0" xr:uid="{88982CFE-84B2-4C9F-9B21-614B9BD292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4" authorId="0" shapeId="0" xr:uid="{9E1AAB88-3633-49A7-9131-6849F4BC7A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4" authorId="0" shapeId="0" xr:uid="{969668E1-8E87-4D38-9FDE-A7A8A72DDE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4" authorId="0" shapeId="0" xr:uid="{6477C880-640E-4E0D-9B64-366C2A4B90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4" authorId="0" shapeId="0" xr:uid="{3468EE17-1A16-410A-8527-1484869498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4" authorId="0" shapeId="0" xr:uid="{7506666D-CB5E-4D42-A513-2665599F8E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4" authorId="0" shapeId="0" xr:uid="{D35725C1-4940-4223-AA9A-6D26BFE16C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4" authorId="0" shapeId="0" xr:uid="{87A70F2A-15E4-4CF8-BB63-402396668A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4" authorId="0" shapeId="0" xr:uid="{997E3F03-27EC-4D5C-9668-A4D64BC127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4" authorId="0" shapeId="0" xr:uid="{DAF9A7D5-28A6-4345-8DB0-BF0BE27E6B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4" authorId="0" shapeId="0" xr:uid="{73C09C9D-CF65-4C0E-9604-5F81AD7F11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4" authorId="0" shapeId="0" xr:uid="{57008446-3E06-429D-85B6-B5A7B1C3AC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4" authorId="0" shapeId="0" xr:uid="{0CFBA03E-0F2E-442F-9601-DD910E422C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4" authorId="0" shapeId="0" xr:uid="{B7492A67-2F06-4548-9E0C-32ABC4143D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4" authorId="0" shapeId="0" xr:uid="{ECEC85EE-E8B9-4043-AC23-2E16402D91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4" authorId="0" shapeId="0" xr:uid="{C127F32D-7DAC-4376-93A4-21FE2E598B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4" authorId="0" shapeId="0" xr:uid="{6D6CEC73-93D3-431B-BE9C-26B478ACC0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4" authorId="0" shapeId="0" xr:uid="{E7A19B6B-FC98-4359-AA5E-816A2DCDD6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4" authorId="0" shapeId="0" xr:uid="{FD72A4F4-9851-4061-A3BA-E952780DE9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4" authorId="0" shapeId="0" xr:uid="{393F501A-88B9-4D71-9C6E-0BBA8957B2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4" authorId="0" shapeId="0" xr:uid="{C0FF2253-246C-45C2-961C-E976757175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4" authorId="0" shapeId="0" xr:uid="{20253FB1-D714-4E96-8ECD-04B45A38C6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4" authorId="0" shapeId="0" xr:uid="{76DEB974-ADB2-451A-AD96-C9C3586F35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4" authorId="0" shapeId="0" xr:uid="{9854DFE1-4676-42B8-9737-3C427839B5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4" authorId="0" shapeId="0" xr:uid="{3585D0E2-B459-4225-A257-A588BC3C13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44" authorId="0" shapeId="0" xr:uid="{4D4F8A3D-C754-4ABB-AAE9-AB1AD1E090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4" authorId="0" shapeId="0" xr:uid="{6DD9BFD1-94E7-43F1-8F22-DE186BC953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5" authorId="0" shapeId="0" xr:uid="{10A9A5F7-373F-4DB8-B406-6154D76377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5" authorId="0" shapeId="0" xr:uid="{15D29209-0988-410B-BF2F-BD5A5C4274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5" authorId="0" shapeId="0" xr:uid="{CBFA4B69-C551-4CE4-B61C-440D159BAB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5" authorId="0" shapeId="0" xr:uid="{8C45D43D-E3E2-4335-B742-79B0E02C21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5" authorId="0" shapeId="0" xr:uid="{C879B451-B5C1-4338-BA8C-C33561CA6B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5" authorId="0" shapeId="0" xr:uid="{08ED4581-03B8-451F-9C1F-6D55E803F9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5" authorId="0" shapeId="0" xr:uid="{B05DF823-D016-44F6-B45F-2AEEC42C30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5" authorId="0" shapeId="0" xr:uid="{8031D12B-92BD-422C-A5A9-17B060AC1F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5" authorId="0" shapeId="0" xr:uid="{D52A3B7E-96D3-4510-8E27-78DD002639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5" authorId="0" shapeId="0" xr:uid="{29215CC7-D6AF-4DE0-A36D-97A7165D36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5" authorId="0" shapeId="0" xr:uid="{2E49C0EC-50BB-4A62-9B8A-2C159A8D28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5" authorId="0" shapeId="0" xr:uid="{E99E9998-B4E0-4E71-BC46-354BDFB57A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5" authorId="0" shapeId="0" xr:uid="{620F4A70-FBAA-437A-995B-F250B1EDD0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5" authorId="0" shapeId="0" xr:uid="{2961F1AE-0978-4920-8249-41608706DA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5" authorId="0" shapeId="0" xr:uid="{1FF19126-8413-4F52-8B4B-05720CD897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5" authorId="0" shapeId="0" xr:uid="{EC4626A1-D13D-4724-8A13-326C290CE1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5" authorId="0" shapeId="0" xr:uid="{05977C45-5324-4547-8D2F-D2E2B32124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5" authorId="0" shapeId="0" xr:uid="{E84E2932-6E89-4D03-907A-F4E0FDEA95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5" authorId="0" shapeId="0" xr:uid="{DE768E60-AA2D-4E69-9D6F-12052D094A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5" authorId="0" shapeId="0" xr:uid="{4ADA9B14-E39A-4B79-ABCD-05D7B0B1DD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5" authorId="0" shapeId="0" xr:uid="{39B44214-B8D2-4851-A19C-2E4D743F05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5" authorId="0" shapeId="0" xr:uid="{48AD4FB0-77F6-440D-863A-D33446B096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5" authorId="0" shapeId="0" xr:uid="{4CC3FA69-6700-4980-9E5B-0BD52449DA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5" authorId="0" shapeId="0" xr:uid="{E63BF964-438D-46D5-BEF7-B941413487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5" authorId="0" shapeId="0" xr:uid="{7F3108A6-EF63-49C2-BCF7-C9ED9D80B9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5" authorId="0" shapeId="0" xr:uid="{9B8AAAE2-0397-40AE-B80A-2D75BF462D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5" authorId="0" shapeId="0" xr:uid="{904F248C-87D0-4C81-9F9D-9F8FE42636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6" authorId="0" shapeId="0" xr:uid="{883EF671-0F58-4CE9-8C84-18E23A34D0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6" authorId="0" shapeId="0" xr:uid="{7C72C38F-4C37-42A4-A8AD-E5B452D35F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6" authorId="0" shapeId="0" xr:uid="{530E1E4A-445A-4FF1-BDCC-935B4406CA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6" authorId="0" shapeId="0" xr:uid="{363A4FE3-FA50-4855-A61B-A26E1E86AF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6" authorId="0" shapeId="0" xr:uid="{149BEDC8-FA6D-474E-9F3C-CFAAD2ACB2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6" authorId="0" shapeId="0" xr:uid="{C1D69DD2-A8C6-4833-AA74-C31CDC15F2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6" authorId="0" shapeId="0" xr:uid="{92CC6A22-A4B4-41D4-81E1-D26AA8F8E7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6" authorId="0" shapeId="0" xr:uid="{319F0EC3-80CC-4535-AB6F-8F1459ECC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6" authorId="0" shapeId="0" xr:uid="{46511DF1-8FCD-4D84-9391-95DBECFB9D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6" authorId="0" shapeId="0" xr:uid="{1A6BF08D-DF48-4E00-BBB2-043F218F20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6" authorId="0" shapeId="0" xr:uid="{98E4C936-62D5-4482-9549-61B6F930E1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6" authorId="0" shapeId="0" xr:uid="{B089DBE8-C61C-4BF7-A46A-3C5D390C25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6" authorId="0" shapeId="0" xr:uid="{4C50D3C3-41F5-4BF7-921D-46F4E19646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6" authorId="0" shapeId="0" xr:uid="{9A04E29F-ACB9-4F6A-A419-EDE9878D53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6" authorId="0" shapeId="0" xr:uid="{80C9E388-6389-4769-86A3-D0ACA8EFA8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6" authorId="0" shapeId="0" xr:uid="{2FCEFAB0-044D-48A1-BF44-14C59074A9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6" authorId="0" shapeId="0" xr:uid="{D78B6567-CE18-4F6E-AAFF-810C8135AB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6" authorId="0" shapeId="0" xr:uid="{C8A619F9-0E20-40A3-ABB7-538B9E3761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6" authorId="0" shapeId="0" xr:uid="{CF8E8538-1FA4-4D51-8614-72583B0EF6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6" authorId="0" shapeId="0" xr:uid="{F09CE8A7-18E8-4805-A343-00258B6262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6" authorId="0" shapeId="0" xr:uid="{26814B07-3682-4AEF-A6CE-C20C220E0E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6" authorId="0" shapeId="0" xr:uid="{5365C7F8-E7AA-462D-A877-10DEF1BB70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6" authorId="0" shapeId="0" xr:uid="{0FEEDA52-83EA-447D-95B3-244C57A8C6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6" authorId="0" shapeId="0" xr:uid="{4FD9C057-D561-40C4-9AD7-ABCEB8921A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6" authorId="0" shapeId="0" xr:uid="{D0DFF9CB-0B76-44DF-BEEA-BF7E416035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6" authorId="0" shapeId="0" xr:uid="{07516BCA-B575-4B02-8134-3D6A7ED185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6" authorId="0" shapeId="0" xr:uid="{A351D1E6-6700-4B82-812A-4185AFE6C5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6" authorId="0" shapeId="0" xr:uid="{D92DB16D-749E-46E4-82C4-8EBC039484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6" authorId="0" shapeId="0" xr:uid="{64333E32-D022-43A4-BB18-6EF4EBC30D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7" authorId="0" shapeId="0" xr:uid="{C9BE82AE-60BE-40CF-8954-613091081F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7" authorId="0" shapeId="0" xr:uid="{2D5C1466-03B7-4253-8B2B-313091E89A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7" authorId="0" shapeId="0" xr:uid="{D1233546-F44F-453C-8310-78B381C715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7" authorId="0" shapeId="0" xr:uid="{4C7DA136-2E97-49FC-B407-2B850F09A5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7" authorId="0" shapeId="0" xr:uid="{1409F8FB-AB7A-471E-A027-8AEEC04BA1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7" authorId="0" shapeId="0" xr:uid="{43F6CE97-F73A-4100-826B-B9711A38CB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7" authorId="0" shapeId="0" xr:uid="{948B943B-FA29-4B47-AB1A-06BB85544E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7" authorId="0" shapeId="0" xr:uid="{D5081D62-D3B5-41B4-929F-537CC5BCF2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7" authorId="0" shapeId="0" xr:uid="{F188AD49-93F1-4629-BAA9-8E7D400C09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7" authorId="0" shapeId="0" xr:uid="{DAC7C915-5B3E-4DF6-9CE7-7C41FCA3CE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7" authorId="0" shapeId="0" xr:uid="{722B5F7F-DED7-48BF-AFB8-A88C84A47A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7" authorId="0" shapeId="0" xr:uid="{F21EB236-EAFB-4DD3-A9B3-FF2B68949D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7" authorId="0" shapeId="0" xr:uid="{A0D5B0EE-1503-4963-A770-522FFC6257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7" authorId="0" shapeId="0" xr:uid="{7AE86E75-2536-4B46-AFD9-7FD241413C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7" authorId="0" shapeId="0" xr:uid="{F30788CE-7981-4A01-AE8B-5352A091E2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7" authorId="0" shapeId="0" xr:uid="{F783398C-2AB1-478D-A22B-C84FD453D5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7" authorId="0" shapeId="0" xr:uid="{6D4D78E5-92EE-47E4-AA98-3C112C9F1E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7" authorId="0" shapeId="0" xr:uid="{B80C3951-37D3-421C-BDEE-C59AD4CDE7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7" authorId="0" shapeId="0" xr:uid="{C2BB4119-A1E1-4E5E-A7B6-62412A7CA6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7" authorId="0" shapeId="0" xr:uid="{0CF54C4C-22D1-4903-8BDE-E5BBAD6D06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7" authorId="0" shapeId="0" xr:uid="{3B41A9E1-7DBC-472D-B575-7492473940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7" authorId="0" shapeId="0" xr:uid="{C158CC5B-CBFA-46B2-A6F4-3BAF9135E8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7" authorId="0" shapeId="0" xr:uid="{8CFC8943-6E61-4303-A77D-6FA994C4FD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8" authorId="0" shapeId="0" xr:uid="{44C7BE76-50DD-47B5-8D16-D9FBB1374F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8" authorId="0" shapeId="0" xr:uid="{CB7FF62F-E732-42F0-8490-D060CE99D9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8" authorId="0" shapeId="0" xr:uid="{CE007B8F-983B-4403-B8C8-A03DC33BCF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8" authorId="0" shapeId="0" xr:uid="{F3817FEB-2CCB-4737-A55C-CB0204BB35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8" authorId="0" shapeId="0" xr:uid="{EA7ED27F-FEA4-479D-AB4A-6C63C5716A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8" authorId="0" shapeId="0" xr:uid="{267C6A50-1345-43CD-8C91-81CAE2C9D5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8" authorId="0" shapeId="0" xr:uid="{37F39EAB-FD9C-44E0-A871-DDDCB2655A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8" authorId="0" shapeId="0" xr:uid="{A11814C1-9850-41DC-97F8-AC2CD85AFF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8" authorId="0" shapeId="0" xr:uid="{A04351EB-C8C9-4AB4-91E1-764BE0177F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8" authorId="0" shapeId="0" xr:uid="{BEA31F21-99D7-425B-841B-B972AFEDDB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8" authorId="0" shapeId="0" xr:uid="{CC72576D-1216-44F6-88CD-B93B69B75C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8" authorId="0" shapeId="0" xr:uid="{D9FD0289-399F-41C6-8840-2BCC8F7A08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8" authorId="0" shapeId="0" xr:uid="{4185FF4B-5FA2-4111-A235-13FDE88F7E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8" authorId="0" shapeId="0" xr:uid="{4712766F-3E77-4C52-A39B-CF46B26BB3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8" authorId="0" shapeId="0" xr:uid="{A6C5E0DF-7752-493D-AE14-FB96FEC77B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8" authorId="0" shapeId="0" xr:uid="{7BEB667D-F490-4EEC-9918-A4D07ABBE2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8" authorId="0" shapeId="0" xr:uid="{ECA5A08F-85D7-4C7E-9DFC-9720E34878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8" authorId="0" shapeId="0" xr:uid="{BE64492F-3647-4A00-ABF5-1B366760CD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8" authorId="0" shapeId="0" xr:uid="{BFBB6C58-D05D-4F2C-AE9D-161B9981F4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8" authorId="0" shapeId="0" xr:uid="{D3D695B4-724A-4042-A0CC-D52E7C1C01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8" authorId="0" shapeId="0" xr:uid="{16DFA855-CD66-414B-A648-296E2A7CA6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8" authorId="0" shapeId="0" xr:uid="{323B5C4E-DD34-40E3-BFFA-05C8E12D09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8" authorId="0" shapeId="0" xr:uid="{8F260FF7-4B8C-468E-9450-341005282B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8" authorId="0" shapeId="0" xr:uid="{4A26C746-BBE2-4E08-B4CC-1B857A8484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9" authorId="0" shapeId="0" xr:uid="{23A28AC0-5A84-4D11-955C-99A495DC58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9" authorId="0" shapeId="0" xr:uid="{E36DD2D5-CC5F-411B-8708-AFB950A731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9" authorId="0" shapeId="0" xr:uid="{D32DF5ED-01A4-4FC7-990F-D72F2E7554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9" authorId="0" shapeId="0" xr:uid="{67C9F48F-3803-40F9-9FC9-2F695173BE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9" authorId="0" shapeId="0" xr:uid="{7B18B312-09A2-4CD0-B9E3-7D4DD6A0DE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9" authorId="0" shapeId="0" xr:uid="{438E17F0-47E6-4285-B3A3-7F56A4549D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9" authorId="0" shapeId="0" xr:uid="{83F1630C-5B9E-4283-9349-B45562A73F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9" authorId="0" shapeId="0" xr:uid="{0EFE1F54-3E28-4584-8EBE-81507E7EC5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9" authorId="0" shapeId="0" xr:uid="{60A2857E-D015-4171-8425-C5661FDE69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9" authorId="0" shapeId="0" xr:uid="{8FB1918D-30EA-4AB6-9B39-7D57F3804F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9" authorId="0" shapeId="0" xr:uid="{FFBB3B40-2026-4113-BE2D-F437F9B4F8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9" authorId="0" shapeId="0" xr:uid="{60FE431C-2B12-4C17-A482-6168070653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9" authorId="0" shapeId="0" xr:uid="{59332F0E-9569-4120-90B5-B72ADE6ED1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9" authorId="0" shapeId="0" xr:uid="{5955EAC3-B1E0-47E3-BA06-DB49EADC86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9" authorId="0" shapeId="0" xr:uid="{902C28E6-B3B1-45FF-B586-E6B0AEF4A3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9" authorId="0" shapeId="0" xr:uid="{986405BE-DCB9-4623-A179-B6E8CE15BB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9" authorId="0" shapeId="0" xr:uid="{472A84B1-9D1F-46A9-920B-166ACD64FC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9" authorId="0" shapeId="0" xr:uid="{519443BE-DDBD-42E1-854F-784941EE62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9" authorId="0" shapeId="0" xr:uid="{B5AAE0DF-7AC8-40ED-AB47-4F130D2B4E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9" authorId="0" shapeId="0" xr:uid="{163CA9C1-3302-4CFD-9631-11BEB57360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9" authorId="0" shapeId="0" xr:uid="{106BCC0A-7ED4-4F71-BDD5-389EBFE4DB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9" authorId="0" shapeId="0" xr:uid="{29A357BF-F17D-4920-A2D6-2690B0EADC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9" authorId="0" shapeId="0" xr:uid="{96B30C5C-003D-480B-BC04-9708284754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9" authorId="0" shapeId="0" xr:uid="{865E8528-BD5E-4335-81B5-FC1AF98FE9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9" authorId="0" shapeId="0" xr:uid="{211AA486-1631-4D68-8B0A-3A64172971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9" authorId="0" shapeId="0" xr:uid="{C92A7CE6-5D84-4224-8034-68CB4FD01F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0" authorId="0" shapeId="0" xr:uid="{320698D0-DDE0-4BC4-9B54-2BFE253164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0" authorId="0" shapeId="0" xr:uid="{B2CF1E73-BFC1-45DB-8307-DACEE7CE40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0" authorId="0" shapeId="0" xr:uid="{45953BFB-685B-44D9-AEC1-50BF61322B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0" authorId="0" shapeId="0" xr:uid="{075F6E5E-6CD2-443D-858E-3D7E6328C6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0" authorId="0" shapeId="0" xr:uid="{D2C431C1-6873-40B4-8A4B-C72DDA91F3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0" authorId="0" shapeId="0" xr:uid="{09283767-C6BA-449F-A8B7-3B35D0F88A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0" authorId="0" shapeId="0" xr:uid="{A40DCEA1-C156-4602-A40A-2651FC04C9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0" authorId="0" shapeId="0" xr:uid="{192358C1-753A-49A5-BF3C-ED90A1603C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0" authorId="0" shapeId="0" xr:uid="{9CA4BC0C-005A-47D0-9C04-30C3C4D935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0" authorId="0" shapeId="0" xr:uid="{DCF5E685-5CFD-42F8-A47B-D23D286EA7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0" authorId="0" shapeId="0" xr:uid="{712F8F65-B054-444F-A44D-CC806C9816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0" authorId="0" shapeId="0" xr:uid="{953F9556-A20C-4FAD-AA25-78DB76CB69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0" authorId="0" shapeId="0" xr:uid="{A9344AC6-CB7B-48C2-AE1B-B1E163EEC2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0" authorId="0" shapeId="0" xr:uid="{6A7D4015-5A00-4124-9554-5307E317D3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0" authorId="0" shapeId="0" xr:uid="{303F4FEB-5201-4DAA-96CB-42E1C415DB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0" authorId="0" shapeId="0" xr:uid="{0D1E2656-DD79-4649-9692-DD343CF4A6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0" authorId="0" shapeId="0" xr:uid="{B5133FBD-4A39-43A3-A438-891F76BDC6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0" authorId="0" shapeId="0" xr:uid="{067809F8-5380-4ADD-9F0B-141BA9EA50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0" authorId="0" shapeId="0" xr:uid="{16578CBD-B1D4-4E8D-A9EF-8561455449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0" authorId="0" shapeId="0" xr:uid="{11E043F8-7290-4531-B81E-402F8A6A31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0" authorId="0" shapeId="0" xr:uid="{D2DB2C16-B19E-4325-9E44-8C10A3B64E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0" authorId="0" shapeId="0" xr:uid="{7745EBAC-F2A4-442B-8332-0CD553A09C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0" authorId="0" shapeId="0" xr:uid="{52A85676-F7A2-4FA1-B3A0-E5EE6DBA91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0" authorId="0" shapeId="0" xr:uid="{E02900CE-B40C-42BE-8E41-047573B7F5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0" authorId="0" shapeId="0" xr:uid="{AADD5E7F-213C-4E02-99B2-73F87B7E9E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0" authorId="0" shapeId="0" xr:uid="{BDDDA0FC-52B4-4F6F-A657-2BE243C89C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0" authorId="0" shapeId="0" xr:uid="{2ED847E6-C247-4F12-B1F0-E566389104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0" authorId="0" shapeId="0" xr:uid="{82F8CA0F-7655-4C9E-A1EE-2582F67ABC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0" authorId="0" shapeId="0" xr:uid="{76A8363D-05E8-419B-91BE-60CB765235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0" authorId="0" shapeId="0" xr:uid="{4F743E20-1CDF-4180-8C11-07161E8BB9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1" authorId="0" shapeId="0" xr:uid="{090521DB-76B7-4C7D-9A9B-370AC78709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1" authorId="0" shapeId="0" xr:uid="{55C81D86-E14A-47ED-8976-83B3768EFD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1" authorId="0" shapeId="0" xr:uid="{E494B762-6B63-4834-A765-AFB03D1E53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1" authorId="0" shapeId="0" xr:uid="{44679F0C-71EE-4BD3-903F-3182993E9A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1" authorId="0" shapeId="0" xr:uid="{6EEFDFD3-6C7C-42EA-B6E1-2028FD49E9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1" authorId="0" shapeId="0" xr:uid="{6E9E9F1E-8793-4D31-B5B7-9C98AB02D9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1" authorId="0" shapeId="0" xr:uid="{BAC09284-3087-4E89-ADD6-21D54BF204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1" authorId="0" shapeId="0" xr:uid="{36CA2310-731F-41DE-9FCF-394871CD86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1" authorId="0" shapeId="0" xr:uid="{EF598DFB-EFD5-410E-A435-CFBE14D7FC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1" authorId="0" shapeId="0" xr:uid="{1F05D8E9-4280-4BFB-A499-39038D383A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1" authorId="0" shapeId="0" xr:uid="{F329FA9A-7F4C-4D63-B17E-66C60B67BF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1" authorId="0" shapeId="0" xr:uid="{49160CD3-768E-40C0-9D0A-FDBC6FFFF1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1" authorId="0" shapeId="0" xr:uid="{6F6623CB-FC9D-4C99-B4AF-EBBB7F32C4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1" authorId="0" shapeId="0" xr:uid="{5DDBFD5E-7BA5-4417-8752-546463362B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1" authorId="0" shapeId="0" xr:uid="{9638FD3F-9209-480A-85BB-4FE1318D4C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1" authorId="0" shapeId="0" xr:uid="{41D05882-A01E-4138-8881-519CF69DA7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1" authorId="0" shapeId="0" xr:uid="{3FD3A4E1-1DD4-42EE-87A4-81A4ED09A2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1" authorId="0" shapeId="0" xr:uid="{453037BB-A7C9-4401-ADAD-181A334A6D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1" authorId="0" shapeId="0" xr:uid="{C0469413-0932-4A22-9BA7-E48D7C2056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1" authorId="0" shapeId="0" xr:uid="{A46762DE-020F-4457-A989-DB410F033F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1" authorId="0" shapeId="0" xr:uid="{CDC3838C-063D-4E1F-B023-D371251E71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1" authorId="0" shapeId="0" xr:uid="{A38D4DA2-84E8-4DF1-93A8-D4F1BA6B10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1" authorId="0" shapeId="0" xr:uid="{C3D8D336-3B39-410B-8FE9-D1C9449DEA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1" authorId="0" shapeId="0" xr:uid="{6B562D8E-A8F5-4D06-9E8B-D2E0FCFD3D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1" authorId="0" shapeId="0" xr:uid="{A7220747-F30A-46A3-B5B5-925AD495A3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1" authorId="0" shapeId="0" xr:uid="{A902D1D1-4F60-499E-B2C1-ED67093E8A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1" authorId="0" shapeId="0" xr:uid="{F76CB756-B99A-44DA-99C5-C679B8ADA1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1" authorId="0" shapeId="0" xr:uid="{42268C72-A50A-4A98-B727-09E2054BFD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2" authorId="0" shapeId="0" xr:uid="{439C0CB6-7D3B-4841-8AC2-46F6460224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2" authorId="0" shapeId="0" xr:uid="{3A3D3221-FE7D-4D59-9855-98A543D758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2" authorId="0" shapeId="0" xr:uid="{B0769E25-971D-4D4C-80FD-2E8ED074E0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2" authorId="0" shapeId="0" xr:uid="{E614CDD8-B968-4889-B014-E8D3EC386E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2" authorId="0" shapeId="0" xr:uid="{540C5A85-2EEB-4B8A-811A-5211B25709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2" authorId="0" shapeId="0" xr:uid="{FD9358A3-7ACD-462D-ADD7-BC0AE430B6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2" authorId="0" shapeId="0" xr:uid="{1A79561C-80A4-4B94-AEDC-C152AC32B7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2" authorId="0" shapeId="0" xr:uid="{E3A8A232-5CE8-45DD-95DC-C79978BFAC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2" authorId="0" shapeId="0" xr:uid="{C8BE5EE5-266E-417E-9FA8-89DA9737AF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2" authorId="0" shapeId="0" xr:uid="{48C61235-8500-4809-8481-765F743240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2" authorId="0" shapeId="0" xr:uid="{E101ECE3-10A8-4CBB-BC8C-8117A21243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2" authorId="0" shapeId="0" xr:uid="{C2B7C8C8-7B29-4236-81DD-FF6DC49E4D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2" authorId="0" shapeId="0" xr:uid="{B34203C7-6AB9-4851-A455-342D5C33FE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2" authorId="0" shapeId="0" xr:uid="{B22D159D-9D0B-416C-AD51-E380DBC748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2" authorId="0" shapeId="0" xr:uid="{CB8C49BF-FDAA-4FC0-AE4F-0F9A9B083F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2" authorId="0" shapeId="0" xr:uid="{F885D612-4D07-4C2C-8D05-434FE8754E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2" authorId="0" shapeId="0" xr:uid="{2522947F-887D-4587-95CA-584FD49606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2" authorId="0" shapeId="0" xr:uid="{525456A1-9E3A-4424-B76B-13FCA86D7C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2" authorId="0" shapeId="0" xr:uid="{AD0A48CD-2BC8-4DA2-9F68-8A4FA5C57F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2" authorId="0" shapeId="0" xr:uid="{53DD7259-F272-4A48-BAD8-D9C78AC578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2" authorId="0" shapeId="0" xr:uid="{6C28C6FE-B673-4AD8-807D-88766BF6A4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2" authorId="0" shapeId="0" xr:uid="{86695804-1A2D-42EA-8E38-F21D545CBC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2" authorId="0" shapeId="0" xr:uid="{49920722-90F9-454E-869C-26779350C2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2" authorId="0" shapeId="0" xr:uid="{B0C5ED3E-6B0A-4D1A-A1EE-BC1085ECEE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2" authorId="0" shapeId="0" xr:uid="{B15A90F4-E002-47B4-86B8-26728E4377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2" authorId="0" shapeId="0" xr:uid="{25B64750-42D5-4337-BC2C-2E772BCDBE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3" authorId="0" shapeId="0" xr:uid="{A9716768-1731-472D-9D5B-599ED407E4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3" authorId="0" shapeId="0" xr:uid="{752C0B35-B459-4BB4-9BE9-048E1D1D7D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3" authorId="0" shapeId="0" xr:uid="{1D858B50-CDB1-492B-BDD3-93A515A404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3" authorId="0" shapeId="0" xr:uid="{B2F18C99-D3B6-4311-89C0-F00199BE7E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3" authorId="0" shapeId="0" xr:uid="{C9C3E2C5-E791-46F1-BB74-B124F213D4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3" authorId="0" shapeId="0" xr:uid="{31C0064F-82EE-402E-AAB2-5EC53A6552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3" authorId="0" shapeId="0" xr:uid="{C69AD152-6BCE-4930-8BF8-B78B44BB87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3" authorId="0" shapeId="0" xr:uid="{0BD35A88-E529-454C-B26B-C861F23CFC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3" authorId="0" shapeId="0" xr:uid="{16EF1EAF-59E6-423A-8F6C-324BB1A56F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3" authorId="0" shapeId="0" xr:uid="{B632E27A-5DE5-4762-A63C-3257B410E5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3" authorId="0" shapeId="0" xr:uid="{402BF8A8-F145-4F70-8926-23DEAD0C39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3" authorId="0" shapeId="0" xr:uid="{5A4FAD06-82E0-4491-A9A5-890DD76C4F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3" authorId="0" shapeId="0" xr:uid="{6DBC78A5-6A99-4AC4-98E3-E3440756C0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3" authorId="0" shapeId="0" xr:uid="{4A5DAE04-4857-407E-AA3F-8D3E3EF31C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3" authorId="0" shapeId="0" xr:uid="{AAC056F7-509F-41FF-8856-4AD7D78CD4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3" authorId="0" shapeId="0" xr:uid="{47792245-DE9E-43F8-97F9-A75ED6F024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3" authorId="0" shapeId="0" xr:uid="{7E2FF408-E5A5-4BC4-989D-D105257071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3" authorId="0" shapeId="0" xr:uid="{F79C872A-0EDF-45BF-AC1C-C37AAF5295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3" authorId="0" shapeId="0" xr:uid="{5F446F81-40E8-46A8-A672-DB9EA16F40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3" authorId="0" shapeId="0" xr:uid="{D094BBC8-FF5B-4654-B2BD-0AF644AF15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3" authorId="0" shapeId="0" xr:uid="{4924C64E-24E0-466D-84A0-DC52631F81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4" authorId="0" shapeId="0" xr:uid="{0189011A-F03C-4C80-9326-3437A76EEC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4" authorId="0" shapeId="0" xr:uid="{E77D7B28-6496-4DA7-9146-FBF4BF6E65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4" authorId="0" shapeId="0" xr:uid="{397A3FD3-6C54-4045-8037-9BF47A5DF8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4" authorId="0" shapeId="0" xr:uid="{3770FFA4-F38D-4957-A685-2A4B47A912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4" authorId="0" shapeId="0" xr:uid="{0A274E71-5196-43CC-8BC7-8DC85AECBA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4" authorId="0" shapeId="0" xr:uid="{82C282D1-CAA4-4A6C-B00A-5851EC1BCA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4" authorId="0" shapeId="0" xr:uid="{547DD2E0-36D7-4407-9391-A0FBB30337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4" authorId="0" shapeId="0" xr:uid="{064B7845-AD57-4EDE-91EC-2F59394268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4" authorId="0" shapeId="0" xr:uid="{29396BAA-7E70-4CB9-8046-92BF40F366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4" authorId="0" shapeId="0" xr:uid="{BA35107A-27FE-4BDD-A70F-0F6AB22CCE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4" authorId="0" shapeId="0" xr:uid="{54CFC544-3250-48D8-B3F5-B6B5AC0D6D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4" authorId="0" shapeId="0" xr:uid="{BFDD2BD5-49C6-412E-9362-D31F376A08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4" authorId="0" shapeId="0" xr:uid="{06B37EFE-DAC0-4894-BA61-D362B3A3CE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4" authorId="0" shapeId="0" xr:uid="{B14F6D48-1DB3-4810-9367-EC21CF3045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4" authorId="0" shapeId="0" xr:uid="{D8AD4FF7-6148-4281-8567-E95D75C84E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4" authorId="0" shapeId="0" xr:uid="{280024A8-FF92-40D4-AD42-D737723F50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4" authorId="0" shapeId="0" xr:uid="{6FE94FA3-6539-4ED6-B4E0-DCF55BB70A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4" authorId="0" shapeId="0" xr:uid="{66E6BD18-D939-46E8-9FEE-14499DE7B4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4" authorId="0" shapeId="0" xr:uid="{74BCB89B-96EA-4021-AFF0-D00E225DBE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4" authorId="0" shapeId="0" xr:uid="{9E0E8E46-C2DD-41E1-9020-5A28AE0413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4" authorId="0" shapeId="0" xr:uid="{0B14516D-F1C4-42A5-B70F-40141AAA99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4" authorId="0" shapeId="0" xr:uid="{82006FB0-D23C-464D-8255-6265E657F8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4" authorId="0" shapeId="0" xr:uid="{0C143FF6-05E7-47BF-B330-6B5AA6942A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4" authorId="0" shapeId="0" xr:uid="{7847C415-90CA-414D-92B5-F147F00E1C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4" authorId="0" shapeId="0" xr:uid="{D7B8BEBA-DBEF-4222-B75D-6E0B8DFF72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4" authorId="0" shapeId="0" xr:uid="{CFDE2981-4A98-41DF-B9CE-751F05C495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4" authorId="0" shapeId="0" xr:uid="{B82D5428-D26F-4BA2-985A-6F73E18889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5" authorId="0" shapeId="0" xr:uid="{09029752-6327-4695-948E-C4180032D4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5" authorId="0" shapeId="0" xr:uid="{55956F11-2D84-499C-923A-893D7BC7F7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5" authorId="0" shapeId="0" xr:uid="{95C639ED-87BF-4F54-BF86-A166C434F9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5" authorId="0" shapeId="0" xr:uid="{13AAA778-FBE8-4FCF-91E5-FD452EF15B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5" authorId="0" shapeId="0" xr:uid="{6DEB7864-7BE1-4B88-9754-AA9334FE3B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5" authorId="0" shapeId="0" xr:uid="{8B02900F-EF32-44C0-B59A-1B5B530A58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5" authorId="0" shapeId="0" xr:uid="{D3DA8FA1-233D-4552-9289-105C88A355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5" authorId="0" shapeId="0" xr:uid="{E0279991-2F71-4D8D-9898-107F0D1F40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5" authorId="0" shapeId="0" xr:uid="{2C680102-7321-4B49-B2E7-DEC22F0C34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5" authorId="0" shapeId="0" xr:uid="{AFFCEA87-87D7-42F2-979D-4C4864FF53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5" authorId="0" shapeId="0" xr:uid="{FA909B5F-590B-4272-A2CB-CC9AE057FF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5" authorId="0" shapeId="0" xr:uid="{CA11F224-D554-4330-81E9-90EDA2CE96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5" authorId="0" shapeId="0" xr:uid="{587A02BF-E175-4F30-B750-06FA8C73F1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5" authorId="0" shapeId="0" xr:uid="{4CEFF482-5309-4AE8-8F1A-FBBCE4066B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5" authorId="0" shapeId="0" xr:uid="{ABDE08A9-8045-4C43-8E1D-53543704B7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5" authorId="0" shapeId="0" xr:uid="{26B61B6D-E63B-48DA-8633-66A73CC6BB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5" authorId="0" shapeId="0" xr:uid="{535E0CAE-5626-46E9-B0BF-8693375F83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5" authorId="0" shapeId="0" xr:uid="{A39D29AE-49CA-492E-BAC7-27EA1E8D56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5" authorId="0" shapeId="0" xr:uid="{63772D0E-7EE5-4EF6-9839-1444BFBF90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5" authorId="0" shapeId="0" xr:uid="{0DBBEE20-B1BA-4BE2-9CC6-31AE2C7BDA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5" authorId="0" shapeId="0" xr:uid="{0C0326D7-C5EB-4602-840C-57FF447B5C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5" authorId="0" shapeId="0" xr:uid="{74BC6306-D195-449A-8072-98ECF0BD20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5" authorId="0" shapeId="0" xr:uid="{DEC47981-98D2-4F4F-9814-AB72A1FA4A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6" authorId="0" shapeId="0" xr:uid="{7B6BEE41-AD39-4EB3-90C1-3F8AE66269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6" authorId="0" shapeId="0" xr:uid="{9B3BC612-8E69-41D3-9657-B2D0ACAFC7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6" authorId="0" shapeId="0" xr:uid="{0BD9D301-74CA-449C-93FB-5236EF1E26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6" authorId="0" shapeId="0" xr:uid="{A0891209-5627-45E7-A531-4F042B3D3A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6" authorId="0" shapeId="0" xr:uid="{72E1DA44-8C5F-477B-A8E9-AFB60B08F6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6" authorId="0" shapeId="0" xr:uid="{0BB16B49-889A-44D1-8F80-17880944D1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6" authorId="0" shapeId="0" xr:uid="{E8553B01-CAAB-47E0-8D4F-FECA97AFD8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6" authorId="0" shapeId="0" xr:uid="{C0686A33-C4B1-45DE-9A48-D3C12A072F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6" authorId="0" shapeId="0" xr:uid="{7EF4F892-C304-4084-907D-415F944E76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6" authorId="0" shapeId="0" xr:uid="{FE07EBF0-4EEA-4234-8CCE-6D58C81A1C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6" authorId="0" shapeId="0" xr:uid="{D8DF0EE8-7D3E-4DE6-BBFF-777767BF81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6" authorId="0" shapeId="0" xr:uid="{8306AF0A-D0B1-4736-94CF-4410A625C0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6" authorId="0" shapeId="0" xr:uid="{6CDA15A2-A01A-4A5B-986D-FCBD98403C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6" authorId="0" shapeId="0" xr:uid="{9F752457-1856-40CF-BE7C-E6C2FCFE11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6" authorId="0" shapeId="0" xr:uid="{89A1944B-745E-4E10-9A89-B793BD2E1F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6" authorId="0" shapeId="0" xr:uid="{13422F30-7A24-4403-8D08-0AF5942E94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6" authorId="0" shapeId="0" xr:uid="{2EF72C10-CD32-4D71-A411-BBECE634E1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6" authorId="0" shapeId="0" xr:uid="{2B36A851-512A-414E-BC97-AEEA25D417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6" authorId="0" shapeId="0" xr:uid="{3928E31E-A40B-4254-90F9-6307F36051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6" authorId="0" shapeId="0" xr:uid="{F7C699F8-81CC-4945-9B56-375297089A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6" authorId="0" shapeId="0" xr:uid="{774AA03C-8BB2-4D19-A880-E18B3E6BBF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6" authorId="0" shapeId="0" xr:uid="{86427DF4-BF82-4C1A-B700-7811B62839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6" authorId="0" shapeId="0" xr:uid="{FF2EC603-8B36-431F-816F-FEBD37AC79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6" authorId="0" shapeId="0" xr:uid="{61CB7F7F-5DB4-46A2-AD8F-5F3E0B6B52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6" authorId="0" shapeId="0" xr:uid="{B625CB33-4E8C-41D6-86B1-0E7D73E9EA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6" authorId="0" shapeId="0" xr:uid="{66A12E86-2BE2-4033-B81B-F310144AD3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6" authorId="0" shapeId="0" xr:uid="{961E6D2F-0F96-4F9F-9296-16507BAC28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6" authorId="0" shapeId="0" xr:uid="{763CAD39-1EE9-4562-BAE2-7C840C47C5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6" authorId="0" shapeId="0" xr:uid="{21C3D95C-A567-4A64-A388-055D0289B0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7" authorId="0" shapeId="0" xr:uid="{820A6554-A23B-41AF-BCC0-1B3DE8D357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7" authorId="0" shapeId="0" xr:uid="{188930F1-1433-4CF2-804B-BD9F239EA0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7" authorId="0" shapeId="0" xr:uid="{EA746A2D-4579-4544-871D-657B78AA82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7" authorId="0" shapeId="0" xr:uid="{97569FD2-4D98-4CC1-9599-76BB54DA96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7" authorId="0" shapeId="0" xr:uid="{0C2B008F-8F66-4BB0-8B5E-256884D7A7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7" authorId="0" shapeId="0" xr:uid="{11FC93D7-6BA6-4EFC-BD22-F99804DB49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7" authorId="0" shapeId="0" xr:uid="{FA4DFB74-C51D-4A90-915D-C5BA3D2EA2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7" authorId="0" shapeId="0" xr:uid="{AF4D83FB-3E91-4BA0-8B2A-0A87E6E48E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7" authorId="0" shapeId="0" xr:uid="{A9FB8A80-FDFC-4816-8CF2-5AF2409DC1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7" authorId="0" shapeId="0" xr:uid="{BB13AEB0-AD8C-4CFE-AB86-30C060E036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7" authorId="0" shapeId="0" xr:uid="{F119FE4F-4505-44CA-9842-9B8546A061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7" authorId="0" shapeId="0" xr:uid="{A7A466AC-87BC-404B-9302-5E764D752C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7" authorId="0" shapeId="0" xr:uid="{90BED7A6-16B7-46D0-8A31-FF2D5A8011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7" authorId="0" shapeId="0" xr:uid="{4A8E3F5E-CF62-4080-996E-F98BAC2F5A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7" authorId="0" shapeId="0" xr:uid="{3D9CE388-B972-4A86-B628-F65B32BCBA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7" authorId="0" shapeId="0" xr:uid="{0188D42C-4C0B-485F-BD3C-BDA722EF7B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7" authorId="0" shapeId="0" xr:uid="{EABBCFDF-A0D4-4906-ACB4-CC3405B969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7" authorId="0" shapeId="0" xr:uid="{8DCB72BD-EAD3-4DC8-92F8-8D6DA3765A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7" authorId="0" shapeId="0" xr:uid="{CA707958-EBC7-4EEF-8CEC-BF5AF4A873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7" authorId="0" shapeId="0" xr:uid="{01D6CF17-5F01-49B5-9387-6675106EC9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7" authorId="0" shapeId="0" xr:uid="{5C17CB94-E84B-47BE-A15C-93683F1F1C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7" authorId="0" shapeId="0" xr:uid="{7B676C59-57E8-4F03-9B2F-774F2F4CA1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7" authorId="0" shapeId="0" xr:uid="{774BEBE6-0FDD-4E66-9FDC-45D0E4E894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7" authorId="0" shapeId="0" xr:uid="{AB190E1C-A8FD-4195-8B6C-C63BC2F4B5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7" authorId="0" shapeId="0" xr:uid="{8B8C5A2D-4622-4151-A5E2-2A08F41D42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7" authorId="0" shapeId="0" xr:uid="{312EF8A2-FED3-40CA-B32F-171311E3E6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58" authorId="0" shapeId="0" xr:uid="{485ABDC0-9F73-4E4E-9D04-F2F76D9B20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58" authorId="0" shapeId="0" xr:uid="{E3D3C9F1-8362-4711-B0C4-82DB3ED342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8" authorId="0" shapeId="0" xr:uid="{755882D4-6375-4535-9ADE-2631685752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8" authorId="0" shapeId="0" xr:uid="{5A57C08A-324C-48C1-828E-8359F3F5B2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8" authorId="0" shapeId="0" xr:uid="{FEF9A135-7C4E-4089-9A0C-A3E1B45EDC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8" authorId="0" shapeId="0" xr:uid="{2A1ED2AC-9344-4C38-9075-74075BCDC7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8" authorId="0" shapeId="0" xr:uid="{540BC33C-B043-4230-8F18-ECD97E3022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8" authorId="0" shapeId="0" xr:uid="{9240677E-1C26-469E-9CFB-093CD8E71F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8" authorId="0" shapeId="0" xr:uid="{584B1316-EAC4-4C5E-98D8-77BFD8C196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8" authorId="0" shapeId="0" xr:uid="{F7C007F6-B979-4FAE-B108-7D1FD8DCEE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8" authorId="0" shapeId="0" xr:uid="{36708523-10EC-4D03-BC81-D69D4419BA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8" authorId="0" shapeId="0" xr:uid="{67DB520D-02B3-47DF-B381-998BDEA95C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8" authorId="0" shapeId="0" xr:uid="{CE021471-A17E-40E0-9D7E-F8A0B9F8F5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8" authorId="0" shapeId="0" xr:uid="{93023D55-8688-454F-A580-CD9194DAF5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8" authorId="0" shapeId="0" xr:uid="{FBF2A8A4-B547-4B51-9B54-AB53DE2A89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8" authorId="0" shapeId="0" xr:uid="{AE23C9D0-2AE2-48C4-B506-57AABFBA3D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8" authorId="0" shapeId="0" xr:uid="{546AA8CC-AFB5-4EE8-BE8C-20DF32877D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8" authorId="0" shapeId="0" xr:uid="{83416C2D-C825-42B7-9ED2-2C43F44D6C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8" authorId="0" shapeId="0" xr:uid="{6E8E2CF6-D4B0-43DD-8459-20A9F8F15B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8" authorId="0" shapeId="0" xr:uid="{F6A56D01-85F8-460C-B3BB-6D1B529958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8" authorId="0" shapeId="0" xr:uid="{C5BA081A-9F5F-4F1A-8DB7-24F1273042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8" authorId="0" shapeId="0" xr:uid="{49209409-CE80-4236-BFB9-624758AFB7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8" authorId="0" shapeId="0" xr:uid="{D94744BC-B4DE-4B0B-AE47-B8EE31FAAD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8" authorId="0" shapeId="0" xr:uid="{401EF8B1-A2D0-446A-8548-E671497B2B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8" authorId="0" shapeId="0" xr:uid="{E0B4CEC0-9146-416B-B5C7-2D99898192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8" authorId="0" shapeId="0" xr:uid="{641BD5FF-FEAC-4D9B-994E-2C0B1548C0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8" authorId="0" shapeId="0" xr:uid="{2E0B1845-7249-4934-B459-EFDD65ACA1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8" authorId="0" shapeId="0" xr:uid="{B8A1B8A0-4751-4E7F-B4D3-CCE5928028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8" authorId="0" shapeId="0" xr:uid="{D74A4938-8062-4555-B84F-D65841FD7D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8" authorId="0" shapeId="0" xr:uid="{F8F6728B-2268-4554-99EB-FF1553AA30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8" authorId="0" shapeId="0" xr:uid="{6E37702F-4D4A-45C4-AF53-A530458D61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8" authorId="0" shapeId="0" xr:uid="{C89FC5E8-BC39-456C-B4CA-5AA0FB5607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9" authorId="0" shapeId="0" xr:uid="{18042E8D-99D6-4A52-81D2-39CAD9ABD4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9" authorId="0" shapeId="0" xr:uid="{5BB680FB-1701-4FFE-9B67-FE6D65708C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9" authorId="0" shapeId="0" xr:uid="{4D4CDD0B-6560-4CF8-B39A-5BCD6FC8D6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9" authorId="0" shapeId="0" xr:uid="{39FE5A09-DEAA-45B9-AE42-1CB6C90629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9" authorId="0" shapeId="0" xr:uid="{F8DB5A3E-39DE-4569-8404-F795EBD3FE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9" authorId="0" shapeId="0" xr:uid="{3F053CDA-C43A-4BBA-8660-4A7524572C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9" authorId="0" shapeId="0" xr:uid="{903E7F2D-241B-4799-97C3-59C8D90A1A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9" authorId="0" shapeId="0" xr:uid="{86FEAB46-DDCD-45A8-844F-9E1EC3976E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9" authorId="0" shapeId="0" xr:uid="{7B5D6A41-1A77-462B-A87D-63AA360DEE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9" authorId="0" shapeId="0" xr:uid="{69F3B85F-F316-4C9D-8AC5-53D54F734B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9" authorId="0" shapeId="0" xr:uid="{4EDCF72A-1176-4ED0-9A1C-B1E79EC0D0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9" authorId="0" shapeId="0" xr:uid="{56CEEFB7-6D01-4FC8-AA03-38AA2A7DCD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9" authorId="0" shapeId="0" xr:uid="{8A000D92-B576-4E5F-8667-E74ABD7E18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9" authorId="0" shapeId="0" xr:uid="{DA5D9C5C-7EB0-4DFA-BB57-FEF2AB0E94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9" authorId="0" shapeId="0" xr:uid="{DFEEDB58-38D9-47E4-8FA8-6D46214BE7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9" authorId="0" shapeId="0" xr:uid="{CB0024BF-5C42-42B7-9BF2-41B2473A93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9" authorId="0" shapeId="0" xr:uid="{28CB5DBF-1EA9-4EEF-A52D-3D620335DF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9" authorId="0" shapeId="0" xr:uid="{6C28203D-539B-4028-86D9-BC10B2C2BB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9" authorId="0" shapeId="0" xr:uid="{8833D986-D585-4B50-B9E5-6F095CB499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9" authorId="0" shapeId="0" xr:uid="{632733B7-399D-4C37-9756-B07BD664A7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9" authorId="0" shapeId="0" xr:uid="{6448FA3F-B14F-4BEB-ACF7-B5DE422B63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9" authorId="0" shapeId="0" xr:uid="{5AC9A438-0729-48A4-A98E-0168BA595A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9" authorId="0" shapeId="0" xr:uid="{B23B6EFB-73C9-42A8-91FB-B8C8E3F7FD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9" authorId="0" shapeId="0" xr:uid="{137F368A-5AEE-404A-BCE9-4ED2D7F18B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9" authorId="0" shapeId="0" xr:uid="{3BC6411F-C992-466E-AD9F-B988F97292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9" authorId="0" shapeId="0" xr:uid="{EDBE8A58-A1F8-480B-BB3F-BE3EF0C4F6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9" authorId="0" shapeId="0" xr:uid="{49A4C123-AF11-4E59-A849-D5943F342D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9" authorId="0" shapeId="0" xr:uid="{765FDC81-03D7-43FD-8E34-C83F2B7B7D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9" authorId="0" shapeId="0" xr:uid="{1E2A2CDF-1E89-4173-BC11-20AF3A947E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0" authorId="0" shapeId="0" xr:uid="{E9B67329-2B05-4BD2-8C07-39521B0BC4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0" authorId="0" shapeId="0" xr:uid="{7F70B4E5-B4E8-43EC-A5D2-8B45BE9517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0" authorId="0" shapeId="0" xr:uid="{2E5C017D-2501-4D68-A849-BA5012BA12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0" authorId="0" shapeId="0" xr:uid="{590DD765-AEDC-4AB9-9F19-F17D47D90E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0" authorId="0" shapeId="0" xr:uid="{99CDA577-4379-4FF6-8570-9C430BC349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0" authorId="0" shapeId="0" xr:uid="{015A7369-EA58-4034-9106-A7DCBE2054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0" authorId="0" shapeId="0" xr:uid="{B9E147C0-5679-4579-A3B3-407EBA562F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0" authorId="0" shapeId="0" xr:uid="{7C165289-8BA0-4B19-9687-3904E2B60F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0" authorId="0" shapeId="0" xr:uid="{9437BC7A-1D40-435A-A283-527699F2AC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0" authorId="0" shapeId="0" xr:uid="{B6B95C5B-8B4A-46D3-AE93-81B2999879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0" authorId="0" shapeId="0" xr:uid="{18BB6214-9EFC-483E-8B87-C016BB4FCF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0" authorId="0" shapeId="0" xr:uid="{4F739269-DBE5-4CFD-9E59-51BBC9C9DE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0" authorId="0" shapeId="0" xr:uid="{C3AC4B02-859D-45F2-8334-97954EEC3D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0" authorId="0" shapeId="0" xr:uid="{512BA04A-308C-4AEC-868C-397610CE98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0" authorId="0" shapeId="0" xr:uid="{1196C01C-ADDF-4151-8F91-75F545C22E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0" authorId="0" shapeId="0" xr:uid="{3C08B7B4-B378-4267-98B9-A01A4B6F02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0" authorId="0" shapeId="0" xr:uid="{057BA3F0-812F-44CA-AF5B-FE9ABF6D5B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0" authorId="0" shapeId="0" xr:uid="{566E133C-BA42-47E7-92A8-1BC7BF9867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0" authorId="0" shapeId="0" xr:uid="{3FF46649-78E6-4124-AC87-50BB201F79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0" authorId="0" shapeId="0" xr:uid="{57154BB5-B070-4EF4-B10C-1847E07FB5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0" authorId="0" shapeId="0" xr:uid="{B09C4858-ED9B-4B9F-9C02-17C67AF6B5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0" authorId="0" shapeId="0" xr:uid="{D3A75E46-04C2-4F4E-BBB4-C2DDB63BCB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0" authorId="0" shapeId="0" xr:uid="{583F4951-522F-4814-A876-7CAC7F47C8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0" authorId="0" shapeId="0" xr:uid="{3E21D849-6FDB-413C-BFF1-5E2D3BC792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1" authorId="0" shapeId="0" xr:uid="{0B7FDDFF-5E03-490C-979C-567230BD42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1" authorId="0" shapeId="0" xr:uid="{BCB535C2-C340-458F-BF3A-30FD7D294A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1" authorId="0" shapeId="0" xr:uid="{9DCB7E04-5396-4E68-A011-D9B50F0C68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1" authorId="0" shapeId="0" xr:uid="{31F84563-B44F-498C-8E71-1339EDD1B3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1" authorId="0" shapeId="0" xr:uid="{1BED9721-7491-461A-8A28-4946FEAB00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1" authorId="0" shapeId="0" xr:uid="{0A20C4C9-D3BA-4DDB-A20C-E2EE3E98B7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1" authorId="0" shapeId="0" xr:uid="{19EF5673-747E-4789-A31C-744AE690F4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1" authorId="0" shapeId="0" xr:uid="{6AB0A22E-F354-47A8-8D3E-BA09A3442C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1" authorId="0" shapeId="0" xr:uid="{B37E9281-AC92-423B-8400-79C962051D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1" authorId="0" shapeId="0" xr:uid="{30045F19-4573-4B9D-B8D7-251C9B2BBF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1" authorId="0" shapeId="0" xr:uid="{E7C8165F-F0BE-4BB8-B96F-9565E27A20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1" authorId="0" shapeId="0" xr:uid="{7FBF6234-6410-4A68-A671-4671A77985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1" authorId="0" shapeId="0" xr:uid="{62E93CEE-8E05-4C9A-BEDE-F717970D34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1" authorId="0" shapeId="0" xr:uid="{ED3F8B59-D26F-4FB7-A152-5481B6E9BC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1" authorId="0" shapeId="0" xr:uid="{315BD0B6-6ECC-43D6-89D3-E8E66CD6A1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1" authorId="0" shapeId="0" xr:uid="{B65B88B5-1270-4C85-A520-6816F93348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1" authorId="0" shapeId="0" xr:uid="{D8D5B583-7AAC-4DA8-ACBC-AE9F2CB687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1" authorId="0" shapeId="0" xr:uid="{25C07ECB-E39A-456D-B405-74918B5FD2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1" authorId="0" shapeId="0" xr:uid="{95EE15A3-6622-4B09-AAB9-C663836D27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1" authorId="0" shapeId="0" xr:uid="{0961E6FA-78EE-4E0D-99F0-DE68999DBF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1" authorId="0" shapeId="0" xr:uid="{5D19ED9D-0E0C-4778-9008-502084DD7E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1" authorId="0" shapeId="0" xr:uid="{842AF894-EB0C-485F-82DC-012FCA53E3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1" authorId="0" shapeId="0" xr:uid="{65735185-645D-42EB-95E7-5998DDD6B4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1" authorId="0" shapeId="0" xr:uid="{C2B1A74C-0AF6-4F51-8F8C-EA4ADF31AB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1" authorId="0" shapeId="0" xr:uid="{D9628FD7-8F32-4503-9B26-C9E8AF3A1C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1" authorId="0" shapeId="0" xr:uid="{C78CF4D1-07B4-4F84-9729-DC186CDD3F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1" authorId="0" shapeId="0" xr:uid="{14D99AF2-12C8-4AEB-9BD0-F581DAF8A8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1" authorId="0" shapeId="0" xr:uid="{5E6BECFD-5C59-4192-8C32-730F0A7783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62" authorId="0" shapeId="0" xr:uid="{541F2247-A6AA-4BAB-AD63-D605C5F0B6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62" authorId="0" shapeId="0" xr:uid="{151B6634-FBCF-4F78-A95A-AAEF7B6928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2" authorId="0" shapeId="0" xr:uid="{6E86F041-33C0-4884-B9D9-BB941126DF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2" authorId="0" shapeId="0" xr:uid="{B1D3D46D-7B0B-4730-9370-599BB5A9B8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2" authorId="0" shapeId="0" xr:uid="{B1C3ED31-12AB-47C7-9C0A-1A1958AEBC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2" authorId="0" shapeId="0" xr:uid="{BA55B4A2-EA5E-4552-99BD-07CBE022C7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2" authorId="0" shapeId="0" xr:uid="{0A5D8912-C631-4437-96CB-C0CA2FE34F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2" authorId="0" shapeId="0" xr:uid="{4CD2F0D0-920C-4C2B-9A79-8EA9C3C29C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2" authorId="0" shapeId="0" xr:uid="{60415B0B-749A-498C-B5F5-CF2687EF19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2" authorId="0" shapeId="0" xr:uid="{3350B522-63BF-4AA6-A82F-F33605B59A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2" authorId="0" shapeId="0" xr:uid="{8999374C-0690-420D-BC3A-ABF1835B42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2" authorId="0" shapeId="0" xr:uid="{A0A543AE-4A0F-44B9-8F06-4A38E407B7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2" authorId="0" shapeId="0" xr:uid="{8137746C-28C9-4E1E-AA0B-F41C503B1A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2" authorId="0" shapeId="0" xr:uid="{28038CBE-144A-4537-BDE1-559AF79113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2" authorId="0" shapeId="0" xr:uid="{EE37393A-588A-4A9C-80A8-59AC043ADB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2" authorId="0" shapeId="0" xr:uid="{F8BE3EEE-4920-4F8A-869E-266D869BF2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2" authorId="0" shapeId="0" xr:uid="{6041176E-89E2-47DB-BB0E-F389583722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2" authorId="0" shapeId="0" xr:uid="{09A000F2-4ED0-4024-A2F6-09E183F434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2" authorId="0" shapeId="0" xr:uid="{D6F870A5-9050-414D-B62A-2AFA9820B8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2" authorId="0" shapeId="0" xr:uid="{66D02E78-DA56-4BBB-A9EB-36D4D2CD07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2" authorId="0" shapeId="0" xr:uid="{1AE41A11-192C-48B5-8297-D220A95093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2" authorId="0" shapeId="0" xr:uid="{08D9F520-23FF-4C22-A28F-78B796FE32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2" authorId="0" shapeId="0" xr:uid="{547EC868-7495-40D0-95F9-AEB0CE422A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2" authorId="0" shapeId="0" xr:uid="{6EC65AEA-62B1-475D-B80C-E19781D59C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2" authorId="0" shapeId="0" xr:uid="{49F2245A-637A-4E61-A0D5-C4B505C75A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2" authorId="0" shapeId="0" xr:uid="{A842BC95-8D73-44A3-B76A-70A9640B18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2" authorId="0" shapeId="0" xr:uid="{F6DFCBC7-533E-4C6E-B7BD-4A243B5B66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3" authorId="0" shapeId="0" xr:uid="{7C45F52F-7745-41A6-8458-2B25BF342F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3" authorId="0" shapeId="0" xr:uid="{FD3D7EE4-26DB-43BC-9C48-3CB658B477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3" authorId="0" shapeId="0" xr:uid="{5F50D374-3217-49C0-A6EA-1A6962D6CF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3" authorId="0" shapeId="0" xr:uid="{F4DD5558-DA6B-4930-82D7-391BD3BA6E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3" authorId="0" shapeId="0" xr:uid="{016B615C-D843-4003-B512-3B429BC8EB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3" authorId="0" shapeId="0" xr:uid="{44061EA9-AB44-4D55-A88A-A083B7317B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3" authorId="0" shapeId="0" xr:uid="{39B42617-2CE2-49B2-BFF4-5143C35471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3" authorId="0" shapeId="0" xr:uid="{602925FE-81A6-4DDB-AC02-D533991E5B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3" authorId="0" shapeId="0" xr:uid="{8F57F272-CA71-41BE-876A-BB9E842684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3" authorId="0" shapeId="0" xr:uid="{1AE1E05C-EDD4-4ECF-AE62-B25C5E6C55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3" authorId="0" shapeId="0" xr:uid="{F6D80A68-3DB0-47BA-AD2C-02A7789041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3" authorId="0" shapeId="0" xr:uid="{38163987-DD24-4224-99A8-86B76EBB58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3" authorId="0" shapeId="0" xr:uid="{AD893AA9-DA70-47D9-8EF8-B294B9F206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3" authorId="0" shapeId="0" xr:uid="{76E5BB8E-5162-4C22-A2ED-1690784606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3" authorId="0" shapeId="0" xr:uid="{34BB6332-C6C1-4C48-8FFA-B52ECA21BD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3" authorId="0" shapeId="0" xr:uid="{6712D613-D6F6-4CB7-B38E-806878E4C1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3" authorId="0" shapeId="0" xr:uid="{09111083-870A-4F09-9592-0EA1988025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3" authorId="0" shapeId="0" xr:uid="{660A1F4B-D7A5-4788-8BC3-3D649690F9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3" authorId="0" shapeId="0" xr:uid="{54169B8A-832E-44C5-B226-FDF9E55ABC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3" authorId="0" shapeId="0" xr:uid="{DA206F41-AC6E-449E-B545-CB6C788569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3" authorId="0" shapeId="0" xr:uid="{C8628992-6571-4737-943D-9DD3DB01B0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3" authorId="0" shapeId="0" xr:uid="{BC01058F-37E4-4779-B9F3-290D85A52E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3" authorId="0" shapeId="0" xr:uid="{7A4EDC14-6183-4495-9FF8-B0A87C05B0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3" authorId="0" shapeId="0" xr:uid="{F9D09BBB-141D-472C-AE4B-67A241C852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3" authorId="0" shapeId="0" xr:uid="{7D956ADE-FDE7-4B50-9352-34BBA411CF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3" authorId="0" shapeId="0" xr:uid="{5291B108-7CCE-43CE-8B80-45135AC529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3" authorId="0" shapeId="0" xr:uid="{8741DB79-B54E-4BFD-8714-310BA9DF86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3" authorId="0" shapeId="0" xr:uid="{A45364E1-65AE-4E48-AA8D-273C50CE36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4" authorId="0" shapeId="0" xr:uid="{B00766DF-E306-432B-BB99-31C5881094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4" authorId="0" shapeId="0" xr:uid="{30596E06-A801-4442-B973-E98927ED4D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4" authorId="0" shapeId="0" xr:uid="{3E4127F4-A0CF-4CFA-901B-029031DD88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4" authorId="0" shapeId="0" xr:uid="{CE8ACEAE-B6D8-4A79-B1B0-94F6D4CD06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4" authorId="0" shapeId="0" xr:uid="{525A15C3-1AB0-4069-8A4D-E8EAAE390F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4" authorId="0" shapeId="0" xr:uid="{CB110B9A-C4C5-44AA-9661-7D14391849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4" authorId="0" shapeId="0" xr:uid="{9AA12A27-2C36-4962-B4D4-A35322B28E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4" authorId="0" shapeId="0" xr:uid="{FD58ADEF-17D1-45BD-8F87-06FBA4E6B1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4" authorId="0" shapeId="0" xr:uid="{53DE1BEF-BCEF-45A3-8CA6-329447359D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4" authorId="0" shapeId="0" xr:uid="{D3A92D4C-FE11-4833-ADE1-F4CB0F9A46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4" authorId="0" shapeId="0" xr:uid="{59AFC4A4-40D3-427D-9D36-38B8076DFE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4" authorId="0" shapeId="0" xr:uid="{E7273F02-C05C-437D-876C-9F2900F1F4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4" authorId="0" shapeId="0" xr:uid="{6D0FC473-9DC7-410A-98F0-4C4F7F954C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4" authorId="0" shapeId="0" xr:uid="{4D608DE0-9178-4AC6-A6D1-9BA3025168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4" authorId="0" shapeId="0" xr:uid="{0AE19910-560B-4A3B-841A-B116475F70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4" authorId="0" shapeId="0" xr:uid="{54720341-6D80-41F4-9187-7D7DBF5BFF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4" authorId="0" shapeId="0" xr:uid="{E2585015-E61C-494D-9E51-86E98EEA6D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4" authorId="0" shapeId="0" xr:uid="{1A6B311D-1B2D-4448-9DB4-597CF59D3C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4" authorId="0" shapeId="0" xr:uid="{03B81D74-602A-4311-815C-2728295DDC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4" authorId="0" shapeId="0" xr:uid="{742064D2-7B3B-46CA-8EEC-D38FE7B74C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4" authorId="0" shapeId="0" xr:uid="{858E453B-F488-49BE-A86F-5EBDD4F852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4" authorId="0" shapeId="0" xr:uid="{AA412F47-75A0-4D99-9361-C93D41468B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4" authorId="0" shapeId="0" xr:uid="{B76E373D-1374-460C-9FE6-85EEEA95BD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4" authorId="0" shapeId="0" xr:uid="{CBA0769F-E860-4480-94A1-4234183520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5" authorId="0" shapeId="0" xr:uid="{F8D8FDC8-E053-4B71-8A13-9C43B0E39C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5" authorId="0" shapeId="0" xr:uid="{05C59E5B-5C1D-4380-8C04-3FB11F6D41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5" authorId="0" shapeId="0" xr:uid="{0707657F-CE7A-45BE-97B6-51E1F68831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5" authorId="0" shapeId="0" xr:uid="{5BA93399-FC9B-47B8-BEC7-18F7FA1F52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5" authorId="0" shapeId="0" xr:uid="{52857709-08A0-4FB7-9AA3-916BD67D5A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5" authorId="0" shapeId="0" xr:uid="{13950D69-32EC-4785-9903-72B1539203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5" authorId="0" shapeId="0" xr:uid="{4BF4FB09-AB84-4D75-B44B-0DD810D324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5" authorId="0" shapeId="0" xr:uid="{27834764-D3B9-4AA5-818D-84948FB7B7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5" authorId="0" shapeId="0" xr:uid="{803D84B1-5D72-431B-8C75-0AE4AAF382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5" authorId="0" shapeId="0" xr:uid="{6B22765B-BACF-4CD4-8444-A08F8209B6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5" authorId="0" shapeId="0" xr:uid="{75AAC76B-68C2-4330-8B3C-6FE41BA5B6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5" authorId="0" shapeId="0" xr:uid="{854C4223-0F5B-49BE-9D1A-D10DED30EE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5" authorId="0" shapeId="0" xr:uid="{6EF3600B-5E19-4C80-981C-71AFA10E27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5" authorId="0" shapeId="0" xr:uid="{8FE40171-D812-4ABD-8FCF-A93648CDDF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5" authorId="0" shapeId="0" xr:uid="{AC06B840-D89B-4809-A3C7-4938CA5F8F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5" authorId="0" shapeId="0" xr:uid="{BC18B8B7-9DEB-41CD-9F70-6D9563EC30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5" authorId="0" shapeId="0" xr:uid="{3D0804CC-F719-40C1-97C4-9D2EEC5B4F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5" authorId="0" shapeId="0" xr:uid="{D4B960F5-B32B-466F-9FA7-8365ECA6BB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5" authorId="0" shapeId="0" xr:uid="{DB72608B-C5DD-4603-AAEC-3102ACAF38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5" authorId="0" shapeId="0" xr:uid="{4FE961D3-53D5-4854-BAE2-30247DFD2B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5" authorId="0" shapeId="0" xr:uid="{E3F24C2B-4F68-4909-A8D4-A2782B01C2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6" authorId="0" shapeId="0" xr:uid="{33B088F1-0E00-483D-967F-8EAED71216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6" authorId="0" shapeId="0" xr:uid="{57B4A06F-9917-4872-8FDD-CF772F27AA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6" authorId="0" shapeId="0" xr:uid="{8F1BD28D-E5F4-46C7-B808-4918FEA8CF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6" authorId="0" shapeId="0" xr:uid="{91D9A390-D07D-44CE-A42B-DD3C7AD636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6" authorId="0" shapeId="0" xr:uid="{668DBEC7-020E-4E85-BE74-14505264F1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6" authorId="0" shapeId="0" xr:uid="{B2EAEA0B-86A8-4914-B49D-CAFEBAAA42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6" authorId="0" shapeId="0" xr:uid="{8B2FF4E3-C4DD-43D5-A320-E26068F762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6" authorId="0" shapeId="0" xr:uid="{EB1C85F2-5D64-472C-9967-EDBCF095E7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6" authorId="0" shapeId="0" xr:uid="{2D99A37C-0EF2-4FED-A32B-59A6AD83B3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6" authorId="0" shapeId="0" xr:uid="{2BD879D0-F1A4-46D0-B17D-42F35CEF70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6" authorId="0" shapeId="0" xr:uid="{F851F2A9-9658-4C1C-B9A8-6A6B3FE759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6" authorId="0" shapeId="0" xr:uid="{4CC1E191-1555-4AFC-86DC-B8AAE7125E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6" authorId="0" shapeId="0" xr:uid="{81CE2938-99B5-4951-9ED2-5F839A8D7F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6" authorId="0" shapeId="0" xr:uid="{6E16FBA7-1E67-48FC-B5FF-05E5AA3B34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6" authorId="0" shapeId="0" xr:uid="{CC8C147A-CA72-4A55-800F-1F3E861674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6" authorId="0" shapeId="0" xr:uid="{D4C0C836-62A1-40C0-B4B1-0E8EE61A4E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6" authorId="0" shapeId="0" xr:uid="{096ABFAE-C805-4435-8B5D-630A66C741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6" authorId="0" shapeId="0" xr:uid="{113AFE42-0A58-4A76-BC6B-F64C4CC578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6" authorId="0" shapeId="0" xr:uid="{CEB09FC6-0A2A-4DB5-8883-9238087B85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6" authorId="0" shapeId="0" xr:uid="{48019A8B-FAE7-48E9-8B2B-C27637E65E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6" authorId="0" shapeId="0" xr:uid="{6BB02331-362A-465C-A7A0-2FBC9B6AE6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6" authorId="0" shapeId="0" xr:uid="{F56E5317-40E7-432A-A97B-27F9F55874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6" authorId="0" shapeId="0" xr:uid="{738D4EEB-D1F7-4B26-A6AB-48477D6884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7" authorId="0" shapeId="0" xr:uid="{3E191A30-638C-48E7-9A48-C6A59F1C67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7" authorId="0" shapeId="0" xr:uid="{F9BF3949-844A-4CEE-9A0D-BB0BFAC905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7" authorId="0" shapeId="0" xr:uid="{716AC97E-7FCD-4E63-A93A-F8C371CF40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7" authorId="0" shapeId="0" xr:uid="{87E6B562-F1A2-4C13-8552-EEAC6C1761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7" authorId="0" shapeId="0" xr:uid="{3DD4234D-EECF-4609-9767-A606B153B4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7" authorId="0" shapeId="0" xr:uid="{378C5D6E-6AEF-4935-A718-EB7F32F8CA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7" authorId="0" shapeId="0" xr:uid="{9F9090B6-6E12-4D72-8460-5DCA4CD245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7" authorId="0" shapeId="0" xr:uid="{9B726D91-85ED-47A9-8E22-B8D5CE7B9C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7" authorId="0" shapeId="0" xr:uid="{189D2B29-E19B-42E9-AC83-C5338C1986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7" authorId="0" shapeId="0" xr:uid="{22EC536A-4ED2-4F47-BB3F-8B979C6689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7" authorId="0" shapeId="0" xr:uid="{26D27A00-3864-4040-A7F0-17B4BF1EE2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7" authorId="0" shapeId="0" xr:uid="{4B665B4E-9D3D-4CC1-8867-136AB09969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7" authorId="0" shapeId="0" xr:uid="{E3BD8491-4B17-41CD-A2E5-E3857C1B45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7" authorId="0" shapeId="0" xr:uid="{806EFD44-553F-469B-975E-9B73045F2F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7" authorId="0" shapeId="0" xr:uid="{8592779B-AF3D-4C02-A398-5FC020B3F3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7" authorId="0" shapeId="0" xr:uid="{22291839-C6D0-4C49-878D-50C6289EE7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7" authorId="0" shapeId="0" xr:uid="{B01C98B2-FF0C-47C2-98A1-7C59977116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7" authorId="0" shapeId="0" xr:uid="{777785F5-C120-43C0-B380-A98FF0B7EC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7" authorId="0" shapeId="0" xr:uid="{14D8E011-752B-4BA9-B66E-262EF7B61F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7" authorId="0" shapeId="0" xr:uid="{9383A1A3-12C9-43D6-A796-A7EF0D8BF3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7" authorId="0" shapeId="0" xr:uid="{C60A98D6-15FD-4497-A401-3CF3B8CF3C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7" authorId="0" shapeId="0" xr:uid="{7C833789-212B-460C-8C47-9131F4CE75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7" authorId="0" shapeId="0" xr:uid="{E25A36F2-2869-409A-9EC5-628020724F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7" authorId="0" shapeId="0" xr:uid="{D2F71AD2-362D-45D3-BC45-3F4EFD42CE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7" authorId="0" shapeId="0" xr:uid="{F8C735C2-5F85-4CE5-A4D0-A3BB766494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7" authorId="0" shapeId="0" xr:uid="{8C7BCE20-71E0-4E9A-9EE3-2A0FE7DB96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7" authorId="0" shapeId="0" xr:uid="{63C9EF5C-5EE5-47D4-93B5-7BA5A19A50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7" authorId="0" shapeId="0" xr:uid="{39FC8956-1CDC-4B58-BB40-2488082B76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67" authorId="0" shapeId="0" xr:uid="{A580117E-90DA-4410-8BD7-FC9CFBB478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7" authorId="0" shapeId="0" xr:uid="{B7E679D8-9D4A-4FBB-9DFA-E2AB48E34A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8" authorId="0" shapeId="0" xr:uid="{F690AA1F-C8E7-4F92-8E14-6CBA67A6BA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8" authorId="0" shapeId="0" xr:uid="{D5230559-03E7-49CD-922A-B8A65FD860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8" authorId="0" shapeId="0" xr:uid="{D04AFFAD-8A58-4C79-B451-60D091C4BD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8" authorId="0" shapeId="0" xr:uid="{E1226C6F-2C66-4059-80B6-C7A9946C08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8" authorId="0" shapeId="0" xr:uid="{BF32E754-A347-4238-BCEF-A66CF888FF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8" authorId="0" shapeId="0" xr:uid="{8A846559-A245-4AD8-B402-BBD3709880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8" authorId="0" shapeId="0" xr:uid="{22023E28-8D36-48D9-AB3F-7669EDE568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8" authorId="0" shapeId="0" xr:uid="{608FAB20-EE28-4FAC-BCC8-7E34D73C99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8" authorId="0" shapeId="0" xr:uid="{277071A8-FFAA-493D-943D-5FD0106EC0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8" authorId="0" shapeId="0" xr:uid="{EAB6A714-53C0-411C-8D77-3286C32E67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8" authorId="0" shapeId="0" xr:uid="{E4430104-886D-4E81-9F28-E0C6BD35B7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8" authorId="0" shapeId="0" xr:uid="{7CB1599C-038C-4832-8BFB-EEB7F17169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8" authorId="0" shapeId="0" xr:uid="{42AB0DB4-D799-4D00-85A2-B7F93BDE42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8" authorId="0" shapeId="0" xr:uid="{62054EB7-1C45-4007-AB03-359F46D68E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8" authorId="0" shapeId="0" xr:uid="{5EDC0347-A105-41C8-A94F-86D93536EB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8" authorId="0" shapeId="0" xr:uid="{77092AB8-510A-4843-B284-4F720DFFAE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8" authorId="0" shapeId="0" xr:uid="{764C4668-CB2F-457D-904A-01C8378802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8" authorId="0" shapeId="0" xr:uid="{10CA8124-90AA-43E0-A6E4-2CAB95FFDC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8" authorId="0" shapeId="0" xr:uid="{59C7CD6A-0B75-4F13-BF13-34E93E04C6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8" authorId="0" shapeId="0" xr:uid="{0718ADBC-B469-40C7-BC8C-541EE4FCAE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8" authorId="0" shapeId="0" xr:uid="{38A748F9-BCED-4282-A8BF-B19E38C06F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8" authorId="0" shapeId="0" xr:uid="{BE186CC1-C45B-439E-BE79-2AB6AD8A4A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8" authorId="0" shapeId="0" xr:uid="{F1BFD856-546A-4121-9399-ED66A0BECE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8" authorId="0" shapeId="0" xr:uid="{BD50A75F-0303-47EA-A25F-BCA5009F87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8" authorId="0" shapeId="0" xr:uid="{23683202-A496-4565-81B1-FA0052F5DE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9" authorId="0" shapeId="0" xr:uid="{F5E61572-583C-4264-AEF0-AFA9A0B7F3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9" authorId="0" shapeId="0" xr:uid="{A20C060B-882C-4339-81AB-9472E0F996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9" authorId="0" shapeId="0" xr:uid="{519AFAC8-9A56-4AAE-987E-828EED0E13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9" authorId="0" shapeId="0" xr:uid="{AFD4353D-6CF1-4C37-A1CC-B57AF2CC6F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9" authorId="0" shapeId="0" xr:uid="{00386503-8AA6-40D2-BC8D-BFCB5ACD57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9" authorId="0" shapeId="0" xr:uid="{A868B224-242F-4C4E-91B6-2C06E77035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9" authorId="0" shapeId="0" xr:uid="{7355DA52-E40F-4166-A6FE-369D281114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9" authorId="0" shapeId="0" xr:uid="{BF0E90DC-D260-4FAC-AC6C-161F47CDC4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9" authorId="0" shapeId="0" xr:uid="{14CCD6B8-7F7C-4BC8-8109-2031CFB84E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9" authorId="0" shapeId="0" xr:uid="{F93292E8-1BC2-45FC-8330-EE999B6585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9" authorId="0" shapeId="0" xr:uid="{6613B3B4-A897-4A00-8F9F-6489AB3971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9" authorId="0" shapeId="0" xr:uid="{688C4EFA-F185-4337-8B87-D736A7FF9A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9" authorId="0" shapeId="0" xr:uid="{DC354DA5-CEFD-465A-91EE-64EF678D1F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9" authorId="0" shapeId="0" xr:uid="{46724F16-EC53-473F-8D47-B4462AAF8B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9" authorId="0" shapeId="0" xr:uid="{D4421800-8171-45DE-9213-28DFABE09F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9" authorId="0" shapeId="0" xr:uid="{59B120DD-8568-469C-95BE-D02B4C94AE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9" authorId="0" shapeId="0" xr:uid="{1C402923-AA81-4CBF-BCD7-8D331F956D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9" authorId="0" shapeId="0" xr:uid="{103D78AE-7753-4B16-B553-90F378B137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9" authorId="0" shapeId="0" xr:uid="{FE50E89E-83A3-466A-8745-AC96364435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9" authorId="0" shapeId="0" xr:uid="{06DECAD6-C63F-4A91-A1F9-DCB1882F48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9" authorId="0" shapeId="0" xr:uid="{D973D6F3-5581-458A-8755-BCFD750B71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9" authorId="0" shapeId="0" xr:uid="{2628EF36-C61F-4475-96A9-B0C3FAB9AA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9" authorId="0" shapeId="0" xr:uid="{4636A634-E795-408C-8C78-949799C660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9" authorId="0" shapeId="0" xr:uid="{6C3C2FA4-689F-417E-8AB9-2B208E0B3F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0" authorId="0" shapeId="0" xr:uid="{87D3EF89-8886-46C9-A5D2-573F548B17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0" authorId="0" shapeId="0" xr:uid="{382FE9C6-8C86-47AC-8210-2D47D9CE30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0" authorId="0" shapeId="0" xr:uid="{D0D96AFF-2DDB-40BC-BCD9-4BC0CA7571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0" authorId="0" shapeId="0" xr:uid="{D3E48E22-122D-4027-B376-2C2D08BC6B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0" authorId="0" shapeId="0" xr:uid="{7F9D9119-729C-481A-B364-13F718F573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0" authorId="0" shapeId="0" xr:uid="{2A2C6D5B-05B6-459C-817F-58789B1E74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0" authorId="0" shapeId="0" xr:uid="{18FED675-C813-41EE-934D-3F6BD0CD87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0" authorId="0" shapeId="0" xr:uid="{FB24B8CE-8818-4C42-9F9C-C76E043F38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0" authorId="0" shapeId="0" xr:uid="{C195764A-5258-4789-9443-3B7F4E64CE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0" authorId="0" shapeId="0" xr:uid="{76033199-9193-489B-AE27-3A9D6ADD7B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0" authorId="0" shapeId="0" xr:uid="{C2133CCD-6822-46AC-A0E5-AF242EBEF0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0" authorId="0" shapeId="0" xr:uid="{3477E7D5-97A9-4C85-8425-BECC2AE70D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0" authorId="0" shapeId="0" xr:uid="{AB9BAB74-3BE2-40F7-BA53-32D6C905B7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0" authorId="0" shapeId="0" xr:uid="{DCDCFB55-4839-48E8-99C9-2EF5E61CDA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0" authorId="0" shapeId="0" xr:uid="{80843613-DF5F-44DE-BE47-9678DDCCF1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0" authorId="0" shapeId="0" xr:uid="{AE9C7012-9DC9-4A7A-A5CD-9A936B2AFF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0" authorId="0" shapeId="0" xr:uid="{03BFE2B4-9615-4380-A404-F2B2023B71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0" authorId="0" shapeId="0" xr:uid="{0384B3FB-8941-4FA9-8E81-E1FEB22D44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0" authorId="0" shapeId="0" xr:uid="{0F1D6A4E-C5A5-4CB9-9A27-529C7B7A78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0" authorId="0" shapeId="0" xr:uid="{7C062266-8D63-41A6-B5F8-442CBCF09C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0" authorId="0" shapeId="0" xr:uid="{9629FE63-2A14-48AF-BC94-93E5E24101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0" authorId="0" shapeId="0" xr:uid="{4DBB267B-1FA7-4325-81EA-16A0874762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0" authorId="0" shapeId="0" xr:uid="{FD0E4A89-F3B3-4EBB-9A3E-AB2BFB83A0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0" authorId="0" shapeId="0" xr:uid="{D4560B42-5F7D-43DD-9019-03DE0A7AC2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1" authorId="0" shapeId="0" xr:uid="{667F803F-6660-4C1F-BEF7-16CD4C6809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1" authorId="0" shapeId="0" xr:uid="{63A4F7C0-3B4A-4519-B5DF-B3B45D4CC1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1" authorId="0" shapeId="0" xr:uid="{CEA39643-40DC-44BF-92F0-A3D77DF2C1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1" authorId="0" shapeId="0" xr:uid="{5C35A74A-B3E1-48F0-9590-CDF5B96A7C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1" authorId="0" shapeId="0" xr:uid="{F3CB237A-121F-42C6-B8AA-25D8A84F66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1" authorId="0" shapeId="0" xr:uid="{66C54518-6900-4471-81DD-559D67B671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1" authorId="0" shapeId="0" xr:uid="{A50E8BD8-B93D-4D5B-B0D4-1B5D127F71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1" authorId="0" shapeId="0" xr:uid="{1EE2AE2D-E66F-4E5C-AAA7-E9D6ADDF8D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1" authorId="0" shapeId="0" xr:uid="{5A8F4089-FC1D-46BC-AD37-6B12C96CA8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1" authorId="0" shapeId="0" xr:uid="{D6E041D8-1ABA-4857-AF26-6B5241C896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1" authorId="0" shapeId="0" xr:uid="{727A114B-D9CF-4F7F-AE63-B1B4461716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1" authorId="0" shapeId="0" xr:uid="{EA09D701-5D50-49C7-97EA-BC166780CD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1" authorId="0" shapeId="0" xr:uid="{660F01A5-B8E5-447D-A888-8F5FD5E2B1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1" authorId="0" shapeId="0" xr:uid="{5CDCE86B-DA80-4E6D-B11C-B00C2D8731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1" authorId="0" shapeId="0" xr:uid="{8E40BF36-9B6D-4FE8-83D0-6744795B02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1" authorId="0" shapeId="0" xr:uid="{61DB3FD0-4C6B-4FD5-A67A-1607AF415D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1" authorId="0" shapeId="0" xr:uid="{313B3312-5A30-4D92-ACAC-2EE5EDA7BF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1" authorId="0" shapeId="0" xr:uid="{CEA7BD06-18E7-4FE8-BFF6-74311B04B3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1" authorId="0" shapeId="0" xr:uid="{56D9169D-B034-4B7E-A848-7E392C5215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1" authorId="0" shapeId="0" xr:uid="{7D8B012A-80F4-4B56-B6BC-B380B108D8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1" authorId="0" shapeId="0" xr:uid="{11C2884D-3653-4543-89A4-69076DE02E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1" authorId="0" shapeId="0" xr:uid="{AB9C4D8E-9E02-47DA-9285-8BBBE56AEC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1" authorId="0" shapeId="0" xr:uid="{2368EAB0-5BD9-4D60-9E05-9147B40AFE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1" authorId="0" shapeId="0" xr:uid="{79DE8A65-681C-4E24-A28A-84CA9F7023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2" authorId="0" shapeId="0" xr:uid="{7694E8E1-A822-442B-8956-0C12A8E848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2" authorId="0" shapeId="0" xr:uid="{0CE6B2E2-C711-43FE-8E26-81296EAC6B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2" authorId="0" shapeId="0" xr:uid="{32F69129-C742-4D5D-ADDB-24EA71D482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2" authorId="0" shapeId="0" xr:uid="{425B7D68-E627-4CC4-B0B0-63432E7691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2" authorId="0" shapeId="0" xr:uid="{FFC50390-5101-4043-A6A5-16F42A52D8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2" authorId="0" shapeId="0" xr:uid="{55B65B0A-A663-4BCF-B11A-92B8FFF2B5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2" authorId="0" shapeId="0" xr:uid="{D17A8A53-B033-4A7E-BC44-C0D67B872D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2" authorId="0" shapeId="0" xr:uid="{3AAD6749-B255-46CF-B06C-0CED1A4724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2" authorId="0" shapeId="0" xr:uid="{898795C2-2150-4911-911C-A9FDE4DBC6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2" authorId="0" shapeId="0" xr:uid="{0C36C2C6-9099-4778-9944-27A37FAEC5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2" authorId="0" shapeId="0" xr:uid="{7B11C90C-A968-4188-940A-0D76D37A52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2" authorId="0" shapeId="0" xr:uid="{5A71E4BC-F28D-4B16-A74C-BE45FB48D4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2" authorId="0" shapeId="0" xr:uid="{0D44C4F8-BA29-4C79-8051-3531BD0EFA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2" authorId="0" shapeId="0" xr:uid="{F0CD99B3-74DA-4E42-B799-7B638AF023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2" authorId="0" shapeId="0" xr:uid="{2D29D58A-4E0E-4E5A-9347-A4ADB80BFA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2" authorId="0" shapeId="0" xr:uid="{CEE12D3E-F821-42B3-9FCD-74120680F1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2" authorId="0" shapeId="0" xr:uid="{0F1D457D-DDAA-4BE4-BF71-B1E76555D4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2" authorId="0" shapeId="0" xr:uid="{C388732F-E77A-4CE2-A191-F7743B97F0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2" authorId="0" shapeId="0" xr:uid="{32E8514F-7EEE-4D22-BCB6-1423EDFCAF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2" authorId="0" shapeId="0" xr:uid="{6BF7C602-C466-4999-B445-4BA578F8AC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2" authorId="0" shapeId="0" xr:uid="{E2F0FBBE-B325-42A2-AE65-08D0BD7A68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2" authorId="0" shapeId="0" xr:uid="{D695EB5F-F167-40B5-A83E-35B91422E7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2" authorId="0" shapeId="0" xr:uid="{63CB8789-2852-4588-9FC2-54DF3137E6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2" authorId="0" shapeId="0" xr:uid="{CEA4B9F8-E429-42B9-87FB-11FDA2B443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2" authorId="0" shapeId="0" xr:uid="{66FF7944-B133-4788-89EF-D097E5A85F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2" authorId="0" shapeId="0" xr:uid="{3F0F5C3D-9748-4637-9968-1F844B092E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3" authorId="0" shapeId="0" xr:uid="{9127DAEB-A8D4-48CD-81FD-B5EF210AC5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3" authorId="0" shapeId="0" xr:uid="{337991D7-3FCD-47A3-AA9B-05428E69E5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3" authorId="0" shapeId="0" xr:uid="{5B4F9FC7-7A1E-4226-BACC-AF4E92041A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3" authorId="0" shapeId="0" xr:uid="{480C65CD-7DC7-427B-8FDD-85A871BA4F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3" authorId="0" shapeId="0" xr:uid="{817312EC-A873-4E51-BA18-5C27B07B3B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3" authorId="0" shapeId="0" xr:uid="{54B50D53-451B-4559-B5CA-2D00E97218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3" authorId="0" shapeId="0" xr:uid="{036EEA92-0BEA-46E4-9314-610A1D1609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3" authorId="0" shapeId="0" xr:uid="{C15B6CCB-1FD2-43D8-9271-C427FAB6BC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3" authorId="0" shapeId="0" xr:uid="{D5F6C5BC-2755-42A2-8389-BA90574DB3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3" authorId="0" shapeId="0" xr:uid="{68FCCA7C-CC89-492E-B6BB-1677994FCC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3" authorId="0" shapeId="0" xr:uid="{AD62E8EF-5F96-407A-AF62-743DE37350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3" authorId="0" shapeId="0" xr:uid="{EE72FA78-E7C8-43AA-B5F7-99D49BBE93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3" authorId="0" shapeId="0" xr:uid="{FE72B75E-5658-4A7C-80FC-E16B1BB357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3" authorId="0" shapeId="0" xr:uid="{B7652520-265F-4AA6-AA8B-AC8AF6A9C5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3" authorId="0" shapeId="0" xr:uid="{10E7BEC3-43B2-4EFA-A0AB-F87DC6A218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3" authorId="0" shapeId="0" xr:uid="{FC812A63-BBB8-497C-9F69-5BCC0C75A7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3" authorId="0" shapeId="0" xr:uid="{4A278227-A6D1-4172-860B-CC7B67F7A0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3" authorId="0" shapeId="0" xr:uid="{4052D5C5-65FF-4F25-8BA1-F39B5C3A61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3" authorId="0" shapeId="0" xr:uid="{10F74419-B973-470A-90A7-CC32CBD453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3" authorId="0" shapeId="0" xr:uid="{3078E375-4E0C-42AC-ACBA-452BBC28DB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3" authorId="0" shapeId="0" xr:uid="{2681DB04-91B9-4425-8173-13797D53DD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3" authorId="0" shapeId="0" xr:uid="{8DFDC6A7-B348-4818-9DD6-E4CC4642D5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3" authorId="0" shapeId="0" xr:uid="{FEA539A6-D879-40DA-837B-691321DE87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3" authorId="0" shapeId="0" xr:uid="{8596DDE4-88F7-47CB-B32A-10C5ABC952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3" authorId="0" shapeId="0" xr:uid="{5EC73517-CF49-4F93-8476-933AACE8AA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3" authorId="0" shapeId="0" xr:uid="{37DD2702-6BE5-44A5-8FE3-4FFAFE4619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4" authorId="0" shapeId="0" xr:uid="{93DC2A95-6FC7-4208-B42C-CC5738EEFE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4" authorId="0" shapeId="0" xr:uid="{01567B86-89FB-4E42-9C6C-BE1560944C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4" authorId="0" shapeId="0" xr:uid="{0247F325-DADE-4565-86BA-0F56365B6A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4" authorId="0" shapeId="0" xr:uid="{A8267278-F7C6-40B7-A7FF-3F224ECF70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4" authorId="0" shapeId="0" xr:uid="{1E75A631-3DF9-4A5B-8698-913874C79A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4" authorId="0" shapeId="0" xr:uid="{837ADB75-E1FC-4F49-9DF8-F4A976A6C9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4" authorId="0" shapeId="0" xr:uid="{CFE36558-671C-4A3E-8F19-DC9747C2C9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4" authorId="0" shapeId="0" xr:uid="{90C6183B-6CD9-4ED7-A859-DD16572E9A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4" authorId="0" shapeId="0" xr:uid="{2A2C7E85-513B-455C-8288-6C4059AC09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4" authorId="0" shapeId="0" xr:uid="{13D3DB57-3947-49BF-A971-5D08CDA34A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4" authorId="0" shapeId="0" xr:uid="{FAEC8CBC-3305-49B4-AEDB-90AD6E3B52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4" authorId="0" shapeId="0" xr:uid="{5672B7F8-7B43-4A56-B8BE-81B903F8B0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4" authorId="0" shapeId="0" xr:uid="{1BC4C705-2B6A-43F6-B2FE-9D82165CF1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4" authorId="0" shapeId="0" xr:uid="{FD4AAF12-873D-45C8-8A93-6397D8BFED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4" authorId="0" shapeId="0" xr:uid="{8E9EA8CA-70FF-4DEC-BAB6-C419D49D26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4" authorId="0" shapeId="0" xr:uid="{2C5AB911-3D77-45E8-9B3F-4F13A9CFAA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4" authorId="0" shapeId="0" xr:uid="{C3C7F57E-8323-4EFA-A984-767B71CB36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4" authorId="0" shapeId="0" xr:uid="{B9D2CA69-39BC-4839-93D1-776636BD8E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4" authorId="0" shapeId="0" xr:uid="{3BAD79E6-8F3D-4339-B6FA-F4679BCF18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4" authorId="0" shapeId="0" xr:uid="{5AE32AE5-EA28-4C9D-A2B5-C6FBF5A3EF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4" authorId="0" shapeId="0" xr:uid="{16AD0C10-7A9D-448E-B86E-6B23D16B35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4" authorId="0" shapeId="0" xr:uid="{6D744853-8219-4257-BC98-DC0FA5F016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4" authorId="0" shapeId="0" xr:uid="{AC003899-95EA-49B4-946E-80BBFE31F9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4" authorId="0" shapeId="0" xr:uid="{DDC6D0A7-F66A-4178-A9DF-878D332325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4" authorId="0" shapeId="0" xr:uid="{C6DA354B-A2BB-4127-A7EE-CADC52FB17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5" authorId="0" shapeId="0" xr:uid="{ED446256-25B6-414A-B242-47FD0B096E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5" authorId="0" shapeId="0" xr:uid="{CC83CBC8-5E05-47B5-A281-612F906381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5" authorId="0" shapeId="0" xr:uid="{1A0CA787-52C6-449E-B5D7-E05C7ED8DD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5" authorId="0" shapeId="0" xr:uid="{55C92E92-5F29-4DD7-BC67-76075DA5EE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5" authorId="0" shapeId="0" xr:uid="{13EB81A9-1CFE-4F70-9375-A096913475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5" authorId="0" shapeId="0" xr:uid="{BE6F7ED8-E0FA-45C4-9345-6FC8480506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5" authorId="0" shapeId="0" xr:uid="{D2FAAD72-C7D4-428B-B8AD-E492EEC231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5" authorId="0" shapeId="0" xr:uid="{E501C007-7891-403A-B402-6F54B16753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5" authorId="0" shapeId="0" xr:uid="{61266ACC-0A72-4905-9A89-301C8C7988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5" authorId="0" shapeId="0" xr:uid="{62D6CD72-7563-454A-B399-794809DD57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5" authorId="0" shapeId="0" xr:uid="{28ABD606-86BB-491E-9C84-A115696270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5" authorId="0" shapeId="0" xr:uid="{C2C4C4E2-1E84-4BE3-8B73-45B282C066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5" authorId="0" shapeId="0" xr:uid="{65C6B314-4217-491C-98DA-5096C2928A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5" authorId="0" shapeId="0" xr:uid="{22950CC4-DD5C-4A2F-86BC-E3040513C7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5" authorId="0" shapeId="0" xr:uid="{73C3200C-B788-42EB-BD04-7E2FFAEA29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G75" authorId="0" shapeId="0" xr:uid="{182BA33D-3256-4A22-B341-EC75106327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5" authorId="0" shapeId="0" xr:uid="{43A4307F-3851-49D2-B1C9-2DA9BADE08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5" authorId="0" shapeId="0" xr:uid="{DDAB4390-5244-4E4C-BFD8-BE8B1250AB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5" authorId="0" shapeId="0" xr:uid="{71D84735-7B8D-474F-8B33-5E215A478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5" authorId="0" shapeId="0" xr:uid="{271E352D-95D7-4A2E-B0AB-C08EF4C70D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5" authorId="0" shapeId="0" xr:uid="{00583C44-01CD-4B1D-9C53-7EA2C16304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5" authorId="0" shapeId="0" xr:uid="{72541B5D-09B5-431F-A115-4BA8A295A6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5" authorId="0" shapeId="0" xr:uid="{CC7BFE69-B24F-418B-BFC7-D3B61ABA5D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5" authorId="0" shapeId="0" xr:uid="{70B5ED39-FDC0-4A1B-8D2F-0894C09EB9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5" authorId="0" shapeId="0" xr:uid="{4AD14355-9D5F-4EE5-BD22-7979FF5519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5" authorId="0" shapeId="0" xr:uid="{3544B57C-06B3-45F4-8F05-7222DD23E5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5" authorId="0" shapeId="0" xr:uid="{245715C3-D09D-4E20-9AA2-A8F8314259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6" authorId="0" shapeId="0" xr:uid="{38BAF09E-18C0-40B4-96A6-8FE149E16A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6" authorId="0" shapeId="0" xr:uid="{46AC4D75-BA9D-4037-8AE2-0EF526DE41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6" authorId="0" shapeId="0" xr:uid="{E7090A10-B525-4759-BB1F-1A9D464614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6" authorId="0" shapeId="0" xr:uid="{FB6AE8AF-2528-44F7-9825-0358A8B25C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6" authorId="0" shapeId="0" xr:uid="{C0816CBF-7AFF-4D30-95F5-0A7C248136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6" authorId="0" shapeId="0" xr:uid="{CF550BBA-5EFB-4093-9989-3F08DAE013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6" authorId="0" shapeId="0" xr:uid="{0F5FFC76-0D6A-4905-87A1-823915AD17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6" authorId="0" shapeId="0" xr:uid="{255F607A-C282-42EB-9C79-89159EFD41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6" authorId="0" shapeId="0" xr:uid="{DEADBFD2-10F7-419F-8820-4CC5EADE8E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6" authorId="0" shapeId="0" xr:uid="{AB0A86A0-D6A3-4886-A9B9-475770C719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6" authorId="0" shapeId="0" xr:uid="{8590D6CA-5B1F-4609-9A9D-3FC1BC68E3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6" authorId="0" shapeId="0" xr:uid="{4AF078EC-A106-494F-B4C9-4BE79D3C5D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6" authorId="0" shapeId="0" xr:uid="{D2C176C7-3920-4962-BC39-ADEFBC7E04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6" authorId="0" shapeId="0" xr:uid="{D415ABC7-1420-4334-96F2-E93A43A630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6" authorId="0" shapeId="0" xr:uid="{D89EEA75-C512-46EF-8400-519AD16803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6" authorId="0" shapeId="0" xr:uid="{D8EFF606-B393-4A91-A4AD-459403FE72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6" authorId="0" shapeId="0" xr:uid="{59CEA841-2BA4-45C7-A4A8-0E77207194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6" authorId="0" shapeId="0" xr:uid="{C2872140-0A12-4331-8AEA-33F34E0ABF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6" authorId="0" shapeId="0" xr:uid="{F340A91C-9967-403A-9F79-7C3C26E65F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6" authorId="0" shapeId="0" xr:uid="{3AE14102-099B-4C87-A266-F4F4337D3F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6" authorId="0" shapeId="0" xr:uid="{D59BBA4D-2A8A-4CDD-9ACE-8FF09C5B7E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6" authorId="0" shapeId="0" xr:uid="{88235D95-738C-407A-82F0-33D008A8E3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6" authorId="0" shapeId="0" xr:uid="{390D93CE-84CB-44C4-AE7E-6416825E3D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6" authorId="0" shapeId="0" xr:uid="{B731C549-FC9E-4731-B057-828EECE07E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6" authorId="0" shapeId="0" xr:uid="{7258A437-8599-4E45-B110-9557779573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6" authorId="0" shapeId="0" xr:uid="{E1C748B7-458C-492C-8DED-A74EAA7EE8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7" authorId="0" shapeId="0" xr:uid="{378FF52F-A3FA-41B5-8F34-C1D65A676C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7" authorId="0" shapeId="0" xr:uid="{677A04A6-D835-4C94-A83D-4464428362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7" authorId="0" shapeId="0" xr:uid="{D085C5CD-617C-48B3-BE72-12099E73BC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7" authorId="0" shapeId="0" xr:uid="{3C024EFB-B7CB-4CB9-9D7B-B62A85E1AB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7" authorId="0" shapeId="0" xr:uid="{D6E3A8E0-BECC-4AA8-AD1D-DBB1EDCAC0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7" authorId="0" shapeId="0" xr:uid="{CAE02848-BAA1-44B8-BC40-56B9DBB968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7" authorId="0" shapeId="0" xr:uid="{76F32576-378F-4AE8-B622-68C868DF09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7" authorId="0" shapeId="0" xr:uid="{8362E154-B925-4904-BBFA-2ABF19B072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7" authorId="0" shapeId="0" xr:uid="{B2C56B44-B63A-472A-95CA-20D2F0B8C3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7" authorId="0" shapeId="0" xr:uid="{6AF897E3-2C4F-483F-A186-ED2DDF4CAF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7" authorId="0" shapeId="0" xr:uid="{D6AA2BDD-6E74-4B8A-AF4E-02B6B40236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7" authorId="0" shapeId="0" xr:uid="{A2C15407-8DF2-4A0B-9CEE-7163C740B9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7" authorId="0" shapeId="0" xr:uid="{FC64E211-74E2-4290-A5AF-70373FD2FB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7" authorId="0" shapeId="0" xr:uid="{1EAEF76F-3C43-4CEA-9939-7C1FAE4079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7" authorId="0" shapeId="0" xr:uid="{DDEE7600-79A2-4282-929B-1362C661E9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7" authorId="0" shapeId="0" xr:uid="{A854EB1A-8280-4F16-93CF-7B8F0CAA07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7" authorId="0" shapeId="0" xr:uid="{F7B256DE-E8E5-4EB5-99F9-05F12D6188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7" authorId="0" shapeId="0" xr:uid="{37A7F8BC-9EC1-489B-A0F6-0020F3545F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7" authorId="0" shapeId="0" xr:uid="{19BAA97A-CC31-44B8-9575-5F1D55B5F0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7" authorId="0" shapeId="0" xr:uid="{795A0D39-9CFA-4E7D-9A13-3EFCE6FDD3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7" authorId="0" shapeId="0" xr:uid="{495C3275-23F2-4128-A6E5-8B4A24C734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7" authorId="0" shapeId="0" xr:uid="{C743EE63-FD7D-428F-8179-8F7D6BEC0B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7" authorId="0" shapeId="0" xr:uid="{BD47976C-66ED-47D0-95A6-5D3665B49F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7" authorId="0" shapeId="0" xr:uid="{1F01FEF2-C8D9-4952-9CCE-90B80028A7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8" authorId="0" shapeId="0" xr:uid="{2BD8FD13-D209-4970-AC67-EC1BB96476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8" authorId="0" shapeId="0" xr:uid="{1D0FAF36-57E8-41FB-8D35-9DE5595B0F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8" authorId="0" shapeId="0" xr:uid="{5D6036FF-82E8-4CF7-9ABD-8F345E4106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8" authorId="0" shapeId="0" xr:uid="{68479931-8235-4CF0-801F-08FFCCCA91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8" authorId="0" shapeId="0" xr:uid="{4487576D-5035-42BE-A361-6BC8F6312F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8" authorId="0" shapeId="0" xr:uid="{D47BEC17-787D-48AF-91E1-F43A20EA61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8" authorId="0" shapeId="0" xr:uid="{5858168E-2CD5-4D23-9575-5D9B56955F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8" authorId="0" shapeId="0" xr:uid="{80956260-26CE-4545-A47F-7AD3D6DE40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8" authorId="0" shapeId="0" xr:uid="{6DE29B39-8133-4B19-AF5F-0B50A04931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8" authorId="0" shapeId="0" xr:uid="{867AD68E-0C14-44D5-95DC-85607F7B35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8" authorId="0" shapeId="0" xr:uid="{7E8A5F49-FA71-4F1C-BA72-3250DC2226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8" authorId="0" shapeId="0" xr:uid="{735F683A-2C87-4A1D-97A6-6EE5303634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8" authorId="0" shapeId="0" xr:uid="{D564E1F0-57DE-453E-A2CA-ED824A283E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8" authorId="0" shapeId="0" xr:uid="{9D80F64B-198A-4EB9-B1F9-FBA5F0A415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8" authorId="0" shapeId="0" xr:uid="{49FADE6E-D9DD-46F9-995D-1BB8BF4C1C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8" authorId="0" shapeId="0" xr:uid="{806C3523-E29D-4E21-9029-36EC99F8F3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8" authorId="0" shapeId="0" xr:uid="{30108723-A190-43D8-ABC1-E8FB037C52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8" authorId="0" shapeId="0" xr:uid="{8AB4D12D-238F-4BAF-8F90-35277DA8B1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8" authorId="0" shapeId="0" xr:uid="{D95472E1-C7F6-4759-94E2-A28FC25C5F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8" authorId="0" shapeId="0" xr:uid="{12B215DD-C480-49D1-822A-33B385D4C2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8" authorId="0" shapeId="0" xr:uid="{124DB6A9-0193-486B-B151-05A2F14811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8" authorId="0" shapeId="0" xr:uid="{F27F1B2E-4A7F-45A6-943B-BEF65854BE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8" authorId="0" shapeId="0" xr:uid="{BBA23247-3A67-43EB-8E5C-7933E82A0C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8" authorId="0" shapeId="0" xr:uid="{7479FB0F-03A3-4290-A312-7325A008A5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8" authorId="0" shapeId="0" xr:uid="{F4378ADC-2326-48ED-816F-A8ACFBE96F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9" authorId="0" shapeId="0" xr:uid="{D02432FC-2B23-4CE4-BCFD-9804CA0977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9" authorId="0" shapeId="0" xr:uid="{2583C0EA-D406-452E-BE93-83ED8A862D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9" authorId="0" shapeId="0" xr:uid="{335333B1-262C-415A-822B-B03DDFFC51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9" authorId="0" shapeId="0" xr:uid="{7D76C8CF-49DF-4EE2-B560-4B37FC44FE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9" authorId="0" shapeId="0" xr:uid="{4E8FFE3A-7D71-4F9E-9242-8953679C25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9" authorId="0" shapeId="0" xr:uid="{C609D9C5-1F12-4C86-99AD-EA1AAC7923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9" authorId="0" shapeId="0" xr:uid="{AAAD61B8-AF02-4D42-9448-085BA17195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9" authorId="0" shapeId="0" xr:uid="{BB356D5C-D32E-4950-98BF-3F9C8B83C8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9" authorId="0" shapeId="0" xr:uid="{B8B14858-1B5C-4560-BBC4-5BBE98DEF2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9" authorId="0" shapeId="0" xr:uid="{EEC88B13-AA36-4CD9-96D6-90DB6CF9E3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9" authorId="0" shapeId="0" xr:uid="{B1A5DC61-778C-4C4E-BEBF-455710D34F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9" authorId="0" shapeId="0" xr:uid="{109629DC-9129-47CC-A2D4-AA8B0B0F77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9" authorId="0" shapeId="0" xr:uid="{C54F973B-97F8-4318-ACEA-2821EDD863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9" authorId="0" shapeId="0" xr:uid="{20173A3A-9330-4A1C-A3FC-EBEDF67E8B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9" authorId="0" shapeId="0" xr:uid="{89385A58-2B52-482F-A443-BBF8881492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9" authorId="0" shapeId="0" xr:uid="{82060A59-F1D9-410D-8C47-B8026112A5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9" authorId="0" shapeId="0" xr:uid="{A416011E-5DE7-4097-BCD0-12822877DD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9" authorId="0" shapeId="0" xr:uid="{809138E6-F74C-4296-91AC-80A65D1ED2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9" authorId="0" shapeId="0" xr:uid="{638E365E-F6A9-4CBF-8391-B6E1BD994D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9" authorId="0" shapeId="0" xr:uid="{39459538-5E33-4E03-9B14-C31A4A5438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9" authorId="0" shapeId="0" xr:uid="{6C1F4F29-BC94-48F2-9945-F7502E31AE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0" authorId="0" shapeId="0" xr:uid="{BB9C5825-E93A-42E9-989C-DC82DE5D2B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0" authorId="0" shapeId="0" xr:uid="{D0938AAC-AA63-49C1-9BB3-F87E175D24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0" authorId="0" shapeId="0" xr:uid="{960AB72C-985C-451F-AB08-4E436D2CD8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0" authorId="0" shapeId="0" xr:uid="{DD50BE1A-D617-40CE-A97C-DC24DF28EB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0" authorId="0" shapeId="0" xr:uid="{48E7917F-835E-4A1C-93EB-83C4A19901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0" authorId="0" shapeId="0" xr:uid="{2B5AC6A9-3F27-4A22-B933-5B7756779B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0" authorId="0" shapeId="0" xr:uid="{87E3EC0F-E20E-4D18-9792-725AD17714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0" authorId="0" shapeId="0" xr:uid="{7EE9E152-1D08-49DB-A29D-41669C6979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0" authorId="0" shapeId="0" xr:uid="{661CF95C-54A7-470C-9D1B-88C4475A1A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1" authorId="0" shapeId="0" xr:uid="{FAAA1FC6-CBB3-4C57-B6CF-23AA80BE29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1" authorId="0" shapeId="0" xr:uid="{F61DAFBC-97A0-4C23-9FD7-982BD3C730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1" authorId="0" shapeId="0" xr:uid="{21144014-8CEE-43A1-846B-CC5DD5FF3B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1" authorId="0" shapeId="0" xr:uid="{5BE9E2A8-0E77-4AD6-BA4E-7D8E696383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1" authorId="0" shapeId="0" xr:uid="{5FD20D60-363C-4ED9-8F2D-9C60B5C05F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1" authorId="0" shapeId="0" xr:uid="{04FE0E03-CFAE-49B3-9F1A-1075DC4BF9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1" authorId="0" shapeId="0" xr:uid="{22F1924F-74F5-46F9-9FA3-C7435F75F4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1" authorId="0" shapeId="0" xr:uid="{3B8EC70E-878A-4799-934D-1A67263667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1" authorId="0" shapeId="0" xr:uid="{92F17031-5D09-440A-BAEF-30FAB1D415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2" authorId="0" shapeId="0" xr:uid="{D74E2E00-2867-4651-B2DB-FE48C72E98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2" authorId="0" shapeId="0" xr:uid="{C11EDE4B-6910-4373-8A99-E327C7CDCD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2" authorId="0" shapeId="0" xr:uid="{01036263-A1B2-4AF7-AEBD-4BF46EEF3B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2" authorId="0" shapeId="0" xr:uid="{C00A5C0B-39C5-4A2E-8ADD-F40B36366F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2" authorId="0" shapeId="0" xr:uid="{84FDA94D-E4BD-4096-88F4-C5AE60D737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2" authorId="0" shapeId="0" xr:uid="{BC44E09C-153B-44FA-B5CC-5C73C6F020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2" authorId="0" shapeId="0" xr:uid="{3E1C6C6F-3139-405C-A885-179DB07E8F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2" authorId="0" shapeId="0" xr:uid="{2BAD8419-7A39-47FB-9B1C-3250CDA44A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2" authorId="0" shapeId="0" xr:uid="{733CB535-A0C9-479F-95C4-DCC26ED163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2" authorId="0" shapeId="0" xr:uid="{14938787-A0E9-4C8B-AA98-4F15285DEA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2" authorId="0" shapeId="0" xr:uid="{31F67544-0155-48D9-A1EC-01E6F2062C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2" authorId="0" shapeId="0" xr:uid="{DE99EE5F-F7BD-4ED3-9D39-A5F595A75A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2" authorId="0" shapeId="0" xr:uid="{B3F7F995-6174-4D8F-A9C6-AF311F6F2A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2" authorId="0" shapeId="0" xr:uid="{DABC1535-5FC9-4EA9-84AA-70F20067DC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2" authorId="0" shapeId="0" xr:uid="{5B6755CD-9649-4AD2-A5FF-4C3DC95CFD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2" authorId="0" shapeId="0" xr:uid="{3C5B8DD7-A991-419B-8BAD-B48F72E45E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2" authorId="0" shapeId="0" xr:uid="{A60C4510-5858-45F8-BE1B-9FBDD5DE8A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3" authorId="0" shapeId="0" xr:uid="{4B01FE6B-961C-41C8-8BA8-D1614C5C8F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3" authorId="0" shapeId="0" xr:uid="{602E30EE-BA8B-4E7B-95DC-A06E78CC4A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3" authorId="0" shapeId="0" xr:uid="{761E8FE7-980B-446E-8218-8F2EF4CC56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3" authorId="0" shapeId="0" xr:uid="{5B3D9498-6A70-49DC-9B16-E36618DBD7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3" authorId="0" shapeId="0" xr:uid="{6082B2C4-CB2B-42B5-9CB1-8160BF991E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3" authorId="0" shapeId="0" xr:uid="{A9C91871-ED0A-4B43-BDC0-CC68563629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3" authorId="0" shapeId="0" xr:uid="{0CD69CED-9539-4026-B68B-E068B1BB4B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3" authorId="0" shapeId="0" xr:uid="{1E5B7E8A-5398-4364-9BC8-B91654E869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3" authorId="0" shapeId="0" xr:uid="{D272D9DE-FA35-4A38-A490-164CBE2E82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3" authorId="0" shapeId="0" xr:uid="{51F831B5-40F5-4720-9A71-1CDAC70602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3" authorId="0" shapeId="0" xr:uid="{57CBB590-71C4-4C53-86FC-D6C086AA65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4" authorId="0" shapeId="0" xr:uid="{D5D89039-C198-4209-B3E2-6928D2C22B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4" authorId="0" shapeId="0" xr:uid="{AB8B5FEE-53B6-402B-A3EE-748C36211B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4" authorId="0" shapeId="0" xr:uid="{40702A74-848A-4E81-9FC6-326D78BA9C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4" authorId="0" shapeId="0" xr:uid="{1B2AD01F-A054-4837-8D85-472DBCA76A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4" authorId="0" shapeId="0" xr:uid="{11E5AFF1-D8B3-4307-BC4A-F7FB0AB9B0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4" authorId="0" shapeId="0" xr:uid="{2BE2A0F2-42DE-4A93-90DC-A2C74D80FA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4" authorId="0" shapeId="0" xr:uid="{A8B0BFC9-2313-42BC-90D8-4245BBCC9D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4" authorId="0" shapeId="0" xr:uid="{727A1D0E-9403-4839-85B7-4C5444FC4A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4" authorId="0" shapeId="0" xr:uid="{200CFB40-8742-46A9-8ACE-75D4C7EF6C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4" authorId="0" shapeId="0" xr:uid="{94F5DD97-4F7D-48A1-8CC0-051921B63C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4" authorId="0" shapeId="0" xr:uid="{F207B23A-282E-46BB-A037-55F615D305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4" authorId="0" shapeId="0" xr:uid="{AA769E88-9885-4C30-A2E9-88EE3EEE8D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4" authorId="0" shapeId="0" xr:uid="{E2C8C203-7B9C-40A2-8322-D73098D853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4" authorId="0" shapeId="0" xr:uid="{8E4B61DE-54C0-46AF-9EFC-4B96B629F2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4" authorId="0" shapeId="0" xr:uid="{2FD8A378-3F70-42E4-A818-317B46C6EC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4" authorId="0" shapeId="0" xr:uid="{1EE9B782-73BC-4C9E-9351-84102616C0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4" authorId="0" shapeId="0" xr:uid="{612447EE-02D7-4D97-A651-2CD7EC2423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5" authorId="0" shapeId="0" xr:uid="{8711E1E4-550A-4BE0-8ADE-24481EBDE4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5" authorId="0" shapeId="0" xr:uid="{DDC08362-DDC9-4FE3-937C-E519D8D06C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5" authorId="0" shapeId="0" xr:uid="{C4B66A2A-90C8-4868-B2FC-389CFA18DD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5" authorId="0" shapeId="0" xr:uid="{1B94B3DD-4BA0-4A30-BBAE-BFC214BCAC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5" authorId="0" shapeId="0" xr:uid="{74ACB7FA-B7AD-4F71-A9BE-4435AD1909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5" authorId="0" shapeId="0" xr:uid="{D67F0618-8ABE-4038-89FA-5908E1EA9C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5" authorId="0" shapeId="0" xr:uid="{5CB4F840-33C9-45A9-9C59-003726AD6A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5" authorId="0" shapeId="0" xr:uid="{1015512A-2C9F-4F80-BC37-9FCEDE7BFF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5" authorId="0" shapeId="0" xr:uid="{30E9EF95-5F2C-4F3A-8F92-4BB58D736D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5" authorId="0" shapeId="0" xr:uid="{628FBC20-4275-4C44-95A8-4260E29BC5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5" authorId="0" shapeId="0" xr:uid="{CDAC7A80-7622-4A7A-B7C4-77ADB470E5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5" authorId="0" shapeId="0" xr:uid="{7ADA1EB1-8A48-4608-BD97-6099ECF540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5" authorId="0" shapeId="0" xr:uid="{5DA38849-086A-4254-81D6-314C8CF8E6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5" authorId="0" shapeId="0" xr:uid="{C8A14A13-4B44-4E87-BDF1-A407FFD027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5" authorId="0" shapeId="0" xr:uid="{C8B05B07-B882-4E5A-91B4-05592942FF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5" authorId="0" shapeId="0" xr:uid="{11ADC0C6-DDD8-47CA-B2F1-6A56430A34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5" authorId="0" shapeId="0" xr:uid="{EB215380-822E-485F-A6E2-0DBF297D66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5" authorId="0" shapeId="0" xr:uid="{E3DE9CED-B588-43CA-B2C7-550F3FDBA5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6" authorId="0" shapeId="0" xr:uid="{A8F8B7A3-38F6-4303-98A8-C665444FD8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6" authorId="0" shapeId="0" xr:uid="{6450D2C1-4F59-4066-84C7-0F88379FA5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6" authorId="0" shapeId="0" xr:uid="{4824C2D3-41DA-43CD-8F2E-992B68502A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6" authorId="0" shapeId="0" xr:uid="{55F2F6C9-A1CC-4E3F-9FB8-7D5CB4CD84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6" authorId="0" shapeId="0" xr:uid="{BACDD94C-A3B6-42BC-BFC6-225D5AB0D2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6" authorId="0" shapeId="0" xr:uid="{21632B48-217A-442E-A44E-86C6241CB2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6" authorId="0" shapeId="0" xr:uid="{266A1434-699F-437B-9734-107CCF6898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6" authorId="0" shapeId="0" xr:uid="{414AE6B1-0229-4D01-834E-4C222BBBCB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6" authorId="0" shapeId="0" xr:uid="{E9DFC058-FEC4-4349-8546-83F840D073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6" authorId="0" shapeId="0" xr:uid="{D0DC8F3E-EFEE-4063-8A36-FF565CC002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6" authorId="0" shapeId="0" xr:uid="{D3FC8F17-9366-409D-83EA-2FBE00C2E6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6" authorId="0" shapeId="0" xr:uid="{6FE5BE96-1A98-4F38-80A7-E9C52FC61E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6" authorId="0" shapeId="0" xr:uid="{FD8E54DF-9A99-4E29-AFDC-6A7909D08E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6" authorId="0" shapeId="0" xr:uid="{B6953B31-356D-41C7-9A5C-5241AEED28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6" authorId="0" shapeId="0" xr:uid="{A31C6F8F-8FF7-4473-BBC5-212E501A54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6" authorId="0" shapeId="0" xr:uid="{A88CAEDA-0A71-4745-9E60-B3134AEA04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6" authorId="0" shapeId="0" xr:uid="{8E4B5A8A-0D8C-43FB-B913-99F378442C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6" authorId="0" shapeId="0" xr:uid="{2C1A2E20-D850-4620-B008-A796D30935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6" authorId="0" shapeId="0" xr:uid="{5418FC71-3EE7-404A-BCC5-FCD73CFE55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6" authorId="0" shapeId="0" xr:uid="{CEF9BDA6-0541-4DA3-A52D-D801BEF618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87" authorId="0" shapeId="0" xr:uid="{A9882A56-4595-4065-95DE-40318D37C5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7" authorId="0" shapeId="0" xr:uid="{E02E0F0B-4B28-4792-9B1B-C4BDFE82E8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7" authorId="0" shapeId="0" xr:uid="{1DB060C9-F47F-4874-A64E-71609AD93E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7" authorId="0" shapeId="0" xr:uid="{70F00A48-975C-466E-ACF4-7E37AFE9D8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7" authorId="0" shapeId="0" xr:uid="{14FA1AC6-4605-43FA-9236-A7D1CB84F2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7" authorId="0" shapeId="0" xr:uid="{17EE0D53-FCC7-40EC-863A-34CFBFF238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7" authorId="0" shapeId="0" xr:uid="{7971A48C-9964-43AD-B865-826988B8F6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7" authorId="0" shapeId="0" xr:uid="{C2062EFF-699B-41FF-A3A6-776210F55A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7" authorId="0" shapeId="0" xr:uid="{B65B985E-5C83-46EE-A5B2-524B3878D1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7" authorId="0" shapeId="0" xr:uid="{1B43E5E9-EB96-4F71-861E-D567EEBBEB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7" authorId="0" shapeId="0" xr:uid="{3BB69D2F-5BC8-4E38-8B38-D59C6A04E2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7" authorId="0" shapeId="0" xr:uid="{E64B6594-C7DA-4711-9007-AF8D881493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7" authorId="0" shapeId="0" xr:uid="{7B1FB4B0-6813-4DCD-A61E-7A17B94C9F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7" authorId="0" shapeId="0" xr:uid="{36D885ED-4689-4B25-B344-3872E1B344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7" authorId="0" shapeId="0" xr:uid="{E4D9E155-10E1-4E70-B38F-FA53C1C275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87" authorId="0" shapeId="0" xr:uid="{EFF5AD72-CBE7-4F80-ADB4-6E9E99F491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7" authorId="0" shapeId="0" xr:uid="{AE7E38D3-ED8E-4604-9FDE-D915288298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7" authorId="0" shapeId="0" xr:uid="{9056B4C9-4302-4BE9-947C-FF5CDCD99F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7" authorId="0" shapeId="0" xr:uid="{9A65AC9A-082F-4EF1-8F0B-A0BFDC2312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7" authorId="0" shapeId="0" xr:uid="{EB44CBF8-7595-45EE-9173-F1417358FF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7" authorId="0" shapeId="0" xr:uid="{AEAF5A3E-A834-40EB-9935-75EC7FD618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7" authorId="0" shapeId="0" xr:uid="{070CD99C-B4A0-4251-8EF7-F7711733FB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7" authorId="0" shapeId="0" xr:uid="{8C486708-235C-4760-9A70-AB42C2D3A4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88" authorId="0" shapeId="0" xr:uid="{6E362776-17BA-4B7A-A260-3F9F31FDCE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8" authorId="0" shapeId="0" xr:uid="{D175DE9D-4083-4F0F-82CC-A886478DD5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8" authorId="0" shapeId="0" xr:uid="{74072EDE-E2B2-4488-A747-F2A31E2AAD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8" authorId="0" shapeId="0" xr:uid="{29996043-DA92-4D71-AF27-65EA3195D3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8" authorId="0" shapeId="0" xr:uid="{A4353E69-543A-4EAD-9F13-65FF55AA18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8" authorId="0" shapeId="0" xr:uid="{367EAD63-11CB-4759-9D03-5524402655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8" authorId="0" shapeId="0" xr:uid="{6E32F652-26FD-44FD-8641-AB84877D38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8" authorId="0" shapeId="0" xr:uid="{46B824D7-49F7-42C2-A93B-C52F325E42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8" authorId="0" shapeId="0" xr:uid="{1745026B-2DAA-4419-846F-3E06D0D7ED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8" authorId="0" shapeId="0" xr:uid="{FEDA0C67-F5F4-434D-8CDE-5E3E5EF4DA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8" authorId="0" shapeId="0" xr:uid="{EBC26742-EDFF-4894-A104-7DD0DDC79A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8" authorId="0" shapeId="0" xr:uid="{3F77C5EE-5A68-4921-92AD-4DD7BBFF5D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8" authorId="0" shapeId="0" xr:uid="{CBBA1F27-3B0D-48A3-991E-2554D5A15D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8" authorId="0" shapeId="0" xr:uid="{70508B06-99DA-4794-B442-A3E1E93BB0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8" authorId="0" shapeId="0" xr:uid="{5AD8A215-19D2-4AFA-9FF3-785D13FB31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8" authorId="0" shapeId="0" xr:uid="{9C1A0933-AB93-49DF-B24A-9C32025526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8" authorId="0" shapeId="0" xr:uid="{13CC0BBD-9412-486F-836C-9C96580C04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88" authorId="0" shapeId="0" xr:uid="{D9E02248-5A0D-4B20-BE5D-2AAEBA6A0B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8" authorId="0" shapeId="0" xr:uid="{8C58CDBA-E7C5-4798-90A4-1EF00A7BAE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8" authorId="0" shapeId="0" xr:uid="{427A92C6-E0F9-42EA-94FF-9C9D10F6D8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8" authorId="0" shapeId="0" xr:uid="{4223BD59-A870-4B4F-A0B4-33C61F2A5A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8" authorId="0" shapeId="0" xr:uid="{7A1F9FE0-B839-490E-A04E-2E5554F4BC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8" authorId="0" shapeId="0" xr:uid="{9529CE33-764F-4D56-B7EE-B64DC14F52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8" authorId="0" shapeId="0" xr:uid="{2119ECC6-1D40-4917-A7C0-6B0D83F32D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8" authorId="0" shapeId="0" xr:uid="{32858FFB-05A4-4C0D-9312-E49CC5CA93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9" authorId="0" shapeId="0" xr:uid="{91D262DC-EC0D-4803-B660-B4F409B16F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9" authorId="0" shapeId="0" xr:uid="{985E0A30-4C95-4016-9468-79C4E4CDC2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9" authorId="0" shapeId="0" xr:uid="{D814630C-05C6-4F94-BA79-BA1948D7FA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9" authorId="0" shapeId="0" xr:uid="{89B2BD02-1BE3-484E-9BF9-3BEF4A2C1A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9" authorId="0" shapeId="0" xr:uid="{0137F50F-D462-4323-ADC5-99384A26E9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9" authorId="0" shapeId="0" xr:uid="{040EBB69-BFA5-4D29-899E-351EB552C6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9" authorId="0" shapeId="0" xr:uid="{45587D41-86A3-47E2-B4F5-E56422E7F6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9" authorId="0" shapeId="0" xr:uid="{03E793B6-7D98-46E1-82C5-97B00FC172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9" authorId="0" shapeId="0" xr:uid="{35588244-8A49-4106-AB30-C4DC59E0C9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9" authorId="0" shapeId="0" xr:uid="{AFF1BB9D-EB63-4073-8BE9-9870B28CAC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9" authorId="0" shapeId="0" xr:uid="{A19859AF-5EBF-4128-9D4E-04B473144A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9" authorId="0" shapeId="0" xr:uid="{74CCB326-01A2-4D7B-BBCA-BF96A206B6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9" authorId="0" shapeId="0" xr:uid="{FA8830D8-5D19-460C-97DA-072B69BB58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9" authorId="0" shapeId="0" xr:uid="{E9F8E9CD-AB5D-4C5E-9FB5-1FAA3AFDD3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9" authorId="0" shapeId="0" xr:uid="{38373CB8-182B-4576-9781-531335BF25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9" authorId="0" shapeId="0" xr:uid="{ECA2F9FC-B01B-4976-9730-35C75604FF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9" authorId="0" shapeId="0" xr:uid="{7FAE7306-9FD1-47B2-A3BF-8C75EFB923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9" authorId="0" shapeId="0" xr:uid="{4E3C0205-9584-4447-9306-6C8F536A42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9" authorId="0" shapeId="0" xr:uid="{3DED94E4-5B07-428D-BCEE-DF2B56661B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9" authorId="0" shapeId="0" xr:uid="{273A5BA1-C294-4BAA-91DA-FDC5C14C77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9" authorId="0" shapeId="0" xr:uid="{C50A2D44-1610-4343-883B-2C7A153703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0" authorId="0" shapeId="0" xr:uid="{155C7E1A-7C93-47AD-8049-7C8C71A163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0" authorId="0" shapeId="0" xr:uid="{3355277C-6555-42BC-BC9B-61521D16DA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0" authorId="0" shapeId="0" xr:uid="{5AEE869C-8CFE-47CD-9B9C-4BDE0F0370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0" authorId="0" shapeId="0" xr:uid="{7BE28F9F-0268-4428-9816-72A2112B30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0" authorId="0" shapeId="0" xr:uid="{ACC3E461-8476-4901-B813-D32980E0ED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0" authorId="0" shapeId="0" xr:uid="{5E7B6807-63CD-4C1C-AF1A-956DC0E6BD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0" authorId="0" shapeId="0" xr:uid="{AC09E416-1AD2-4F8F-BC40-B953D337F2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0" authorId="0" shapeId="0" xr:uid="{64EF122F-91F9-43D7-9BBE-B95245AFBF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0" authorId="0" shapeId="0" xr:uid="{B3034CF1-CDB2-446C-A5B6-FDC1966DD6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0" authorId="0" shapeId="0" xr:uid="{E66DF98C-3835-4965-AD3D-6444F8C1D8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0" authorId="0" shapeId="0" xr:uid="{B84D1993-95B2-44C6-9C8C-562ECE5CA7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0" authorId="0" shapeId="0" xr:uid="{690D03F7-1DAC-4C7A-B55D-73E4B4C2E8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0" authorId="0" shapeId="0" xr:uid="{965896AE-13F7-4023-8E23-9C6918C642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0" authorId="0" shapeId="0" xr:uid="{D7417005-5AE4-408D-9AAD-0A50A76DFD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0" authorId="0" shapeId="0" xr:uid="{0A2C89AD-E5E4-4EBC-AE89-9B9E5EABB4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0" authorId="0" shapeId="0" xr:uid="{587334DD-1913-4A54-A214-BD9EAB47EA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0" authorId="0" shapeId="0" xr:uid="{25D63657-6C8F-4F67-B251-DDD410EE98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0" authorId="0" shapeId="0" xr:uid="{7CDD150A-648F-4F45-B6A5-35A5BDBDAF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0" authorId="0" shapeId="0" xr:uid="{06E5F27D-32F8-46E8-83A0-21C814E1EB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0" authorId="0" shapeId="0" xr:uid="{73F1DC71-471B-4788-B440-2E99D684DF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0" authorId="0" shapeId="0" xr:uid="{C663C2AC-9D50-4385-B3B8-D34E459F09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0" authorId="0" shapeId="0" xr:uid="{05A72EAA-C442-4969-A57D-97C1E2DF10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0" authorId="0" shapeId="0" xr:uid="{FFE74C3F-44A7-4442-A4A3-95B34EA6B2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1" authorId="0" shapeId="0" xr:uid="{ECF2B34B-4149-45C3-BD50-44421F314F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91" authorId="0" shapeId="0" xr:uid="{6B6714B1-2C60-4BE8-ADC4-A3F2ACF9DE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1" authorId="0" shapeId="0" xr:uid="{751D1077-4A65-4486-B14A-56EF577EFA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1" authorId="0" shapeId="0" xr:uid="{96A57F08-CE67-420D-AE21-CFBE48E7C6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1" authorId="0" shapeId="0" xr:uid="{EB0A4F44-EA51-40DC-8218-84B7F7C765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1" authorId="0" shapeId="0" xr:uid="{28C75957-15A8-451E-9B1F-5E604DCAA5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1" authorId="0" shapeId="0" xr:uid="{27166AB3-0732-4A0A-A456-5F5F141C35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1" authorId="0" shapeId="0" xr:uid="{A12B37F8-8141-48ED-97FC-D4F1E9A571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1" authorId="0" shapeId="0" xr:uid="{74F74B52-4C2E-4E42-9770-29EEA3FA13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1" authorId="0" shapeId="0" xr:uid="{47657557-99C7-4E1C-8777-B6C0D49256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1" authorId="0" shapeId="0" xr:uid="{50CC7FE4-C45F-45A8-805C-4F3B9E5C22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1" authorId="0" shapeId="0" xr:uid="{22F98B0F-FCF8-4550-9C50-7E8030EFFD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1" authorId="0" shapeId="0" xr:uid="{AE309388-80B7-4959-8751-D1D148C12F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1" authorId="0" shapeId="0" xr:uid="{FD869918-A446-4889-80B1-6DC2B258E4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1" authorId="0" shapeId="0" xr:uid="{BE7781AC-C4C7-43BD-BE54-CAFDCCE6FD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1" authorId="0" shapeId="0" xr:uid="{9EC2BD2E-CE90-4398-A764-449E48F563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91" authorId="0" shapeId="0" xr:uid="{11597E38-0BF9-43DB-A860-DAFF8D3DA6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1" authorId="0" shapeId="0" xr:uid="{3240A99E-B071-4C59-A80B-65709BF2E1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1" authorId="0" shapeId="0" xr:uid="{5AE6D697-17F5-4917-9E0B-C2665BD9B2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1" authorId="0" shapeId="0" xr:uid="{51FB6D71-B45B-4D7B-A1C8-F72F92DD1B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1" authorId="0" shapeId="0" xr:uid="{3E635A6F-4F58-4817-B46A-47390A21E6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1" authorId="0" shapeId="0" xr:uid="{6202F77A-3C12-4B23-91CB-EE33048D39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1" authorId="0" shapeId="0" xr:uid="{79CCF4CB-94BA-4D5E-9DCB-A83832C988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1" authorId="0" shapeId="0" xr:uid="{066E433E-CD10-42FC-B4CC-7A4D8F506F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1" authorId="0" shapeId="0" xr:uid="{98C8FE40-832E-4CF8-B0FA-7ED1D56E1C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1" authorId="0" shapeId="0" xr:uid="{603C5CF9-C8C1-493C-857E-214E3CD0FA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1" authorId="0" shapeId="0" xr:uid="{F245027D-15EE-4528-A3E0-22A14C0A2A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92" authorId="0" shapeId="0" xr:uid="{55B58AE6-F74C-47BB-A43E-A237AED2FD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92" authorId="0" shapeId="0" xr:uid="{AB667D8C-4850-45D4-A076-308870E63D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2" authorId="0" shapeId="0" xr:uid="{4597570D-68E5-4715-9563-0FDF7B4087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2" authorId="0" shapeId="0" xr:uid="{71E646D2-F03B-456E-9E1A-67AA2A4025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2" authorId="0" shapeId="0" xr:uid="{0343BC9F-374B-4876-A5B8-EA5B84D076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2" authorId="0" shapeId="0" xr:uid="{993AD247-E9C8-4F24-954F-3A9F6DDB94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2" authorId="0" shapeId="0" xr:uid="{4F2B2DD5-2FF2-472C-9371-D9ECDA8A60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2" authorId="0" shapeId="0" xr:uid="{AC5FADEA-C8CE-421B-AD58-FE2EEE7124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2" authorId="0" shapeId="0" xr:uid="{375EF314-E465-4326-9B8B-F89ACFFBED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2" authorId="0" shapeId="0" xr:uid="{474D4A50-81F1-4751-BF3C-DE8BCD5343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2" authorId="0" shapeId="0" xr:uid="{14506619-BCDB-4CB2-9C7B-3122AEB8FA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2" authorId="0" shapeId="0" xr:uid="{31D64BF9-F9B7-4F2D-8DDD-B76630108A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2" authorId="0" shapeId="0" xr:uid="{5E1F1DC4-099A-4B66-A1F6-5252F9ED82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2" authorId="0" shapeId="0" xr:uid="{75FA2AE4-805B-4054-BB62-781D5D5110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2" authorId="0" shapeId="0" xr:uid="{D71EB293-4473-41D5-87A7-99F3AD981A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2" authorId="0" shapeId="0" xr:uid="{ED1416A1-51FE-42AE-901F-FA2E5772BB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2" authorId="0" shapeId="0" xr:uid="{C819E13B-6E4D-487C-BED6-D0CC8E2D2C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2" authorId="0" shapeId="0" xr:uid="{763C88F1-9356-4C54-AB55-E5904EA4DA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2" authorId="0" shapeId="0" xr:uid="{BB796064-18B2-4A87-B9FF-E5CE166666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2" authorId="0" shapeId="0" xr:uid="{8C29FEF9-2F8A-4CD5-A756-7BE793D094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2" authorId="0" shapeId="0" xr:uid="{95BC6E65-5662-4C81-871E-ACA0BD134F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2" authorId="0" shapeId="0" xr:uid="{17FBBDE3-1E8D-4476-BE48-EBBF49AA8B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2" authorId="0" shapeId="0" xr:uid="{0D959DE8-AB2F-4C7F-A87B-2CFA0D5F52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2" authorId="0" shapeId="0" xr:uid="{A677BE67-76B7-4C7D-8D74-22E65BAE7F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2" authorId="0" shapeId="0" xr:uid="{5288DE2C-A006-4873-B7AE-14A34B4531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2" authorId="0" shapeId="0" xr:uid="{4245032C-FECA-43F3-9B3E-EFD7E5AC05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2" authorId="0" shapeId="0" xr:uid="{264A7637-7738-4D11-A1D2-FDAA715B77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3" authorId="0" shapeId="0" xr:uid="{3E8DAC1F-58A4-462A-B71E-85BBB44A85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3" authorId="0" shapeId="0" xr:uid="{AADA673E-7C67-4772-8E7C-161A000954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3" authorId="0" shapeId="0" xr:uid="{D785D743-30CC-4746-9F22-D75B2D64E2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3" authorId="0" shapeId="0" xr:uid="{BA473C00-32B8-43F3-88E8-E25EE86BD5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3" authorId="0" shapeId="0" xr:uid="{3BB1C180-A024-484E-9851-D92464D16D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3" authorId="0" shapeId="0" xr:uid="{155887BC-7E4D-42CB-82C2-73DF1A3D7F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3" authorId="0" shapeId="0" xr:uid="{11081C7C-8C2F-42CF-A317-9A52ABAF8D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3" authorId="0" shapeId="0" xr:uid="{BA002B78-8598-4B1C-B20D-C0003FEC30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3" authorId="0" shapeId="0" xr:uid="{058F840C-BDB5-4E94-B20A-16E46AD11B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3" authorId="0" shapeId="0" xr:uid="{8DB0482C-3E5D-4E3E-A07A-272EBA574E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3" authorId="0" shapeId="0" xr:uid="{A3FD5D6C-6B78-4C82-B751-C051B2CFC8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3" authorId="0" shapeId="0" xr:uid="{E8DB3AEA-0E94-42E2-8EA5-62BE9D4EA4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3" authorId="0" shapeId="0" xr:uid="{A6B3758F-C24C-4D9D-B0F1-2DCC0FB590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3" authorId="0" shapeId="0" xr:uid="{5FBD4C1B-5E79-42A1-85F7-6A9AC24ABE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3" authorId="0" shapeId="0" xr:uid="{726218FF-2D88-45BC-B683-C55BCCFBC9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3" authorId="0" shapeId="0" xr:uid="{ABDA8BE6-3295-45B0-B1CE-4334FAE2BE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3" authorId="0" shapeId="0" xr:uid="{B7466FAA-80AC-4D03-BF43-9377E2D086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3" authorId="0" shapeId="0" xr:uid="{0A0E910C-6E16-4495-82FD-3245D3AAA5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3" authorId="0" shapeId="0" xr:uid="{CA2C82B2-DAAE-476D-BE82-02B36BD6D6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3" authorId="0" shapeId="0" xr:uid="{DA660591-4D21-4DB9-BD2E-97FAE8C4BA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3" authorId="0" shapeId="0" xr:uid="{3F85667C-8E7E-44CB-AAE1-F2C33A9677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3" authorId="0" shapeId="0" xr:uid="{D0D7000B-1EA7-44E3-BAB4-C8115D8A72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3" authorId="0" shapeId="0" xr:uid="{B39EFD8B-7FF7-47C2-B221-530A1A51E8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93" authorId="0" shapeId="0" xr:uid="{9012B3B8-F382-4736-8516-15BE60376A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3" authorId="0" shapeId="0" xr:uid="{1D78F7C0-C66F-4CBC-9DE2-2DD1A6F22D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94" authorId="0" shapeId="0" xr:uid="{26B55144-923C-47F8-A934-3B71144A1E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4" authorId="0" shapeId="0" xr:uid="{882C8695-BFB9-470C-A976-36C922EB40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4" authorId="0" shapeId="0" xr:uid="{9D969814-B742-43A0-A6E8-42CE37976E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4" authorId="0" shapeId="0" xr:uid="{66686461-A97E-4896-9F2F-DA8B941DB4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4" authorId="0" shapeId="0" xr:uid="{147F9A33-AB9E-4DE0-9437-6F4BDA5474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4" authorId="0" shapeId="0" xr:uid="{5FFB46B6-41AA-4E88-9FBB-A31A5E65E2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4" authorId="0" shapeId="0" xr:uid="{730B8CFA-8D2B-48D5-BC19-586B017480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4" authorId="0" shapeId="0" xr:uid="{ACDEE8D1-FD40-4191-AE00-3F7A936322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4" authorId="0" shapeId="0" xr:uid="{74F5890B-F511-4F54-88E5-6937587899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4" authorId="0" shapeId="0" xr:uid="{57BDA768-B7C8-4D3E-A93B-A40D85469C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4" authorId="0" shapeId="0" xr:uid="{B599FF51-AEF9-4679-9E3E-B5FC34C09A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4" authorId="0" shapeId="0" xr:uid="{EBD4ED6F-1B24-49D2-A927-BF8A65C2F4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4" authorId="0" shapeId="0" xr:uid="{6C04373D-501E-4588-96B4-ADA94CE400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4" authorId="0" shapeId="0" xr:uid="{21B7C869-402B-4ED0-9A06-386FA399E5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4" authorId="0" shapeId="0" xr:uid="{E8F3DC3B-2606-47F7-9F76-CDE5F225F8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4" authorId="0" shapeId="0" xr:uid="{1E08085B-9A01-45FD-813E-C56B9E7FC0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4" authorId="0" shapeId="0" xr:uid="{55A6C4D4-BBA3-49C5-8C4D-02A42CC0C4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4" authorId="0" shapeId="0" xr:uid="{8157CDCE-D19C-432D-B972-B932F0420C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4" authorId="0" shapeId="0" xr:uid="{79280D97-E01A-4210-92F9-AE21A063EC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4" authorId="0" shapeId="0" xr:uid="{EEB57C90-BF06-4B0B-884F-706ABAB355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5" authorId="0" shapeId="0" xr:uid="{BD437CFC-F600-4364-AB72-F2D4404927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5" authorId="0" shapeId="0" xr:uid="{11832EC8-DE86-4787-94CE-D307369D32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5" authorId="0" shapeId="0" xr:uid="{E858E900-FB2A-43E1-9DF8-965F7B6D2F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5" authorId="0" shapeId="0" xr:uid="{7FF0A96E-0C4A-4244-ACE2-3B18372D43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5" authorId="0" shapeId="0" xr:uid="{FC36DA2A-769E-4883-A833-F633DA668E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5" authorId="0" shapeId="0" xr:uid="{85A5211A-1E7C-47CD-837F-D1688B5489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5" authorId="0" shapeId="0" xr:uid="{1D14DB3F-2F35-45BE-938E-A00E70D73D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5" authorId="0" shapeId="0" xr:uid="{5C2023D3-FAE0-42B7-8E87-FC15DE0947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5" authorId="0" shapeId="0" xr:uid="{B9D1E528-DF55-4C1A-9B66-F3BC25C3C9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5" authorId="0" shapeId="0" xr:uid="{AC07D3D2-A207-444A-8760-277EB05DA5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5" authorId="0" shapeId="0" xr:uid="{972459AC-4E96-477C-92A9-BF6824E5FC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5" authorId="0" shapeId="0" xr:uid="{8EBDD514-8B95-46A5-BE8C-BB87DE4800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5" authorId="0" shapeId="0" xr:uid="{94E98733-71D0-4EFC-BC9E-53FC51EC1D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5" authorId="0" shapeId="0" xr:uid="{E2689AAD-7C02-4518-96A3-47A7510E6C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5" authorId="0" shapeId="0" xr:uid="{B7EB26EB-2328-4646-BDED-80DCFDD6B4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5" authorId="0" shapeId="0" xr:uid="{8BF5074B-605D-4D5B-9E42-48010AFB0E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6" authorId="0" shapeId="0" xr:uid="{D78EE1DA-E01D-425B-8E26-BD6F391C7E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6" authorId="0" shapeId="0" xr:uid="{0AC8AE0B-010E-4D77-B860-97F0D7001D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6" authorId="0" shapeId="0" xr:uid="{558142D4-FADC-47FC-9579-B50740679A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6" authorId="0" shapeId="0" xr:uid="{31F09413-0CF9-4AD0-8DEA-1AECD6874E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6" authorId="0" shapeId="0" xr:uid="{C9A22246-5650-4F4F-89DF-342290EA05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6" authorId="0" shapeId="0" xr:uid="{9514B123-BB73-4743-81CC-CB8F3F20A9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6" authorId="0" shapeId="0" xr:uid="{C01F13A3-8FEA-40B3-AE8D-A9E8EB9738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6" authorId="0" shapeId="0" xr:uid="{CA1F320B-693A-4A6D-B7C0-A6A488F5FC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6" authorId="0" shapeId="0" xr:uid="{BFC0256B-5FDE-4B83-8521-17A64CBDE2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6" authorId="0" shapeId="0" xr:uid="{0F92E4AE-5B3E-4994-9122-E746E2D6D4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6" authorId="0" shapeId="0" xr:uid="{F9E44ACC-8046-4901-A30B-756CD63233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6" authorId="0" shapeId="0" xr:uid="{862FA0FA-4154-4235-98AD-A54A93BA22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6" authorId="0" shapeId="0" xr:uid="{B4B55B38-4500-4C8E-A744-AB11EB5E55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6" authorId="0" shapeId="0" xr:uid="{794BF7F0-2E57-4985-8440-0FC54316AE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6" authorId="0" shapeId="0" xr:uid="{7E393832-0C44-46E5-9D1F-AC4335DE1C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6" authorId="0" shapeId="0" xr:uid="{1A647587-4E66-40B6-A2DD-1CCEB4283D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6" authorId="0" shapeId="0" xr:uid="{57449D8E-85F0-4341-AB1F-7949DC6494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6" authorId="0" shapeId="0" xr:uid="{7DC2AFF5-267A-485D-8756-E2C2B843F5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7" authorId="0" shapeId="0" xr:uid="{63D4ECB5-F0D8-446F-A9A2-35105FEAF6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7" authorId="0" shapeId="0" xr:uid="{D0246C86-74F6-4606-A46D-3A827EE53A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7" authorId="0" shapeId="0" xr:uid="{5D6014D0-B518-4697-A8AF-F898C92EF0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7" authorId="0" shapeId="0" xr:uid="{A835FD56-3516-44B1-96D0-CEEF193B98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7" authorId="0" shapeId="0" xr:uid="{2983F43B-B387-475B-A325-15FCF12BF5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7" authorId="0" shapeId="0" xr:uid="{86F7E0CF-2E9E-43F6-9144-4E9C38C55E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7" authorId="0" shapeId="0" xr:uid="{D843EF5A-137D-4E51-9730-36714B9590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7" authorId="0" shapeId="0" xr:uid="{B50A3309-7CF6-487A-A2FD-00D8EBCDDE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7" authorId="0" shapeId="0" xr:uid="{2875D084-447A-4761-827E-5FC52EFD47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7" authorId="0" shapeId="0" xr:uid="{FE9C715B-81E8-48A8-B6F0-D3191F6DE9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7" authorId="0" shapeId="0" xr:uid="{F21E4B6E-EAEE-43A9-AEB5-055187910F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7" authorId="0" shapeId="0" xr:uid="{EE3B18BC-99A3-48F4-9594-056D1BE43F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7" authorId="0" shapeId="0" xr:uid="{D42D75E6-1584-4FE1-9837-C65272B18F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7" authorId="0" shapeId="0" xr:uid="{09E0A990-D6F3-4153-A077-16A95AC330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7" authorId="0" shapeId="0" xr:uid="{F31BC70C-1437-4E58-8E89-6880B6EA9C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7" authorId="0" shapeId="0" xr:uid="{F075575C-4B79-4D26-9F54-25E94E1390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7" authorId="0" shapeId="0" xr:uid="{85DF6AF9-33BB-49BB-B423-BCC3D21716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7" authorId="0" shapeId="0" xr:uid="{36EA4ADF-277D-4DF3-AB05-1FB364680D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8" authorId="0" shapeId="0" xr:uid="{5DECB72E-68DB-46C5-9074-F2D5E055B5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8" authorId="0" shapeId="0" xr:uid="{2981A788-DDBF-4922-A2B1-781FE39002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8" authorId="0" shapeId="0" xr:uid="{1E24A76D-7944-47E2-800D-F7DA276991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8" authorId="0" shapeId="0" xr:uid="{4F8F5D9D-B035-4239-8B64-61DBFE5EA5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8" authorId="0" shapeId="0" xr:uid="{7093CEA2-C958-4282-A7FA-275EF0B5C9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8" authorId="0" shapeId="0" xr:uid="{38FE366B-09D9-4204-969D-6663D3089D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8" authorId="0" shapeId="0" xr:uid="{5E3491E4-7988-4CAE-8A0B-5EEDF7D70B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8" authorId="0" shapeId="0" xr:uid="{9A1FE5AF-A1C8-4FF0-A88E-FE91876A8B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8" authorId="0" shapeId="0" xr:uid="{015158DB-E354-4DDC-B50B-644EF6E339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8" authorId="0" shapeId="0" xr:uid="{DC4BCD74-BA63-477B-8889-1E75836D69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8" authorId="0" shapeId="0" xr:uid="{1EDBBB41-97B4-4443-8E5C-004705ED8F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8" authorId="0" shapeId="0" xr:uid="{EECBC861-75F5-49A5-81BD-06EEF35A2C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8" authorId="0" shapeId="0" xr:uid="{894ED65B-A2F0-4023-BAE8-2989B4764A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9" authorId="0" shapeId="0" xr:uid="{6A0D6692-D95C-497F-A6D2-B1B076AEFC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9" authorId="0" shapeId="0" xr:uid="{25BDC4AF-F7FE-4F9A-863F-2BD601128E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9" authorId="0" shapeId="0" xr:uid="{5080E3C8-505C-44B3-A4A4-964D7197F2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9" authorId="0" shapeId="0" xr:uid="{1CE74F87-8F26-4CEE-803E-B6394BE15C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9" authorId="0" shapeId="0" xr:uid="{410EE867-F1E4-4D80-B37D-23F4088DAE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9" authorId="0" shapeId="0" xr:uid="{0593D6AB-79D8-40B9-A3BA-25F2B802D7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9" authorId="0" shapeId="0" xr:uid="{C298CEC1-A88A-4282-9E1C-10FF85C212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9" authorId="0" shapeId="0" xr:uid="{39198B4A-2403-435A-A288-F6CEE623B3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9" authorId="0" shapeId="0" xr:uid="{AC09B455-4128-4BC8-917A-D59C38049D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9" authorId="0" shapeId="0" xr:uid="{29366E45-A4B3-45AA-B69B-76DB2E2421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9" authorId="0" shapeId="0" xr:uid="{5EF876CD-B4BF-42FC-AE39-31AB234266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9" authorId="0" shapeId="0" xr:uid="{6A740A03-3249-4160-95F6-EB03D9606D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9" authorId="0" shapeId="0" xr:uid="{C0ACB4C5-C647-47B6-B930-75EEA19891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9" authorId="0" shapeId="0" xr:uid="{F1BF18E0-4194-4EBB-BC8D-FFD93A15C5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9" authorId="0" shapeId="0" xr:uid="{61EB7475-0910-4D58-A65D-78D727C8BB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9" authorId="0" shapeId="0" xr:uid="{13A14233-CA07-430C-B18D-310466A491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9" authorId="0" shapeId="0" xr:uid="{5162A9DC-2869-48A4-98E4-6B6B944CC8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9" authorId="0" shapeId="0" xr:uid="{3ED5E540-C83F-40D1-AB86-1C8A57357C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9" authorId="0" shapeId="0" xr:uid="{F306E3C3-C212-4D0A-91CF-C30F3EDB6C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9" authorId="0" shapeId="0" xr:uid="{B691AF58-EB56-45C8-AF41-4B5CA240A4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9" authorId="0" shapeId="0" xr:uid="{9AEDDA18-F547-4690-9679-185B176F04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9" authorId="0" shapeId="0" xr:uid="{2BDB7DD1-C37C-4FBF-B3CA-B553FB8A88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99" authorId="0" shapeId="0" xr:uid="{AD1B4762-9FFE-41E6-838A-F19E58630F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9" authorId="0" shapeId="0" xr:uid="{FE3BC422-D7D0-493A-8CF8-01496B5461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100" authorId="0" shapeId="0" xr:uid="{1B3DC28E-0F03-4011-B54A-6D450EAFAA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0" authorId="0" shapeId="0" xr:uid="{7B43778C-8101-455D-9238-E639E0397B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0" authorId="0" shapeId="0" xr:uid="{C6D3AABF-6D1A-4F36-B066-C66293F025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00" authorId="0" shapeId="0" xr:uid="{43D68FE9-23FF-4DA7-B93D-CD0BD145CB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0" authorId="0" shapeId="0" xr:uid="{4739B6FF-24FA-444E-8707-22D0DD4B8B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0" authorId="0" shapeId="0" xr:uid="{3539AA07-C025-4C28-882D-8920BBFACD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0" authorId="0" shapeId="0" xr:uid="{B66257D9-0681-4855-A710-D9366FC8AB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0" authorId="0" shapeId="0" xr:uid="{E6C2933D-6463-4951-9BE1-B86A7F8398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0" authorId="0" shapeId="0" xr:uid="{1FB1D58F-E494-4DE9-8932-08DED555BD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0" authorId="0" shapeId="0" xr:uid="{8C2BEA5C-1B3A-487F-8963-51CAB4EA97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0" authorId="0" shapeId="0" xr:uid="{40942293-0399-468A-BD7A-81B5AF1D2D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0" authorId="0" shapeId="0" xr:uid="{0AB16604-0680-46FD-8C8D-D118E8424D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0" authorId="0" shapeId="0" xr:uid="{78D04EDA-C6DA-45DE-A272-1C8317DA4D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0" authorId="0" shapeId="0" xr:uid="{ACF57FAB-DC28-458A-9A52-8FFAEE8F04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0" authorId="0" shapeId="0" xr:uid="{D03A209B-A8E1-4F97-863A-1BC243297D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0" authorId="0" shapeId="0" xr:uid="{D58E31D1-4C5B-43B4-8701-B59DCD9F48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0" authorId="0" shapeId="0" xr:uid="{6FCA0D2F-0A53-45E0-9A16-9BFCE36EDE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0" authorId="0" shapeId="0" xr:uid="{F9A7A726-589E-4162-9D93-16C9983202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100" authorId="0" shapeId="0" xr:uid="{D223919D-ACED-442B-8A09-595BEFC3F2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0" authorId="0" shapeId="0" xr:uid="{9B642561-6197-4378-ADAA-C674260DC8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0" authorId="0" shapeId="0" xr:uid="{6BD536CE-D75F-422C-BF3F-104100FA69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00" authorId="0" shapeId="0" xr:uid="{26773C7E-3514-4C9C-B564-7A22AF8B84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0" authorId="0" shapeId="0" xr:uid="{96A950E2-C22A-45BD-AE83-FB4B72ED1B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0" authorId="0" shapeId="0" xr:uid="{6FA5EA59-B408-4A7B-BF2E-ED6FEA8355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0" authorId="0" shapeId="0" xr:uid="{842655E0-9A8D-462E-95C2-F717BC66C9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0" authorId="0" shapeId="0" xr:uid="{189041D2-C833-4305-9261-ECF439A7BD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0" authorId="0" shapeId="0" xr:uid="{C94BAF0F-53C0-4BA5-A4B2-144D9E49A3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1" authorId="0" shapeId="0" xr:uid="{1883C439-30F3-467A-8DE8-181246448F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1" authorId="0" shapeId="0" xr:uid="{0B7654A5-9FD4-4898-84AF-4D6494F740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1" authorId="0" shapeId="0" xr:uid="{054EAD11-D138-4306-A06D-4C321A1084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1" authorId="0" shapeId="0" xr:uid="{7EFC7A23-279B-47DF-B970-6B24449613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1" authorId="0" shapeId="0" xr:uid="{8DD7D93B-FAFF-44C2-8214-4EA1BFC729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1" authorId="0" shapeId="0" xr:uid="{C10EA7F8-AA23-4FEA-BDAF-C57BFB6129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1" authorId="0" shapeId="0" xr:uid="{7F3C8F54-F04E-4BEA-B69A-681DB9E0BA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1" authorId="0" shapeId="0" xr:uid="{49D51806-8838-49F9-BBF7-87DAD1849C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1" authorId="0" shapeId="0" xr:uid="{C5E4B34C-0F2A-4758-B8D3-CBF95DE556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1" authorId="0" shapeId="0" xr:uid="{8177B682-1DCC-43BA-8A3B-F244BC209C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1" authorId="0" shapeId="0" xr:uid="{0DDCC4D7-45E0-4F68-B92F-79D1C007D4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1" authorId="0" shapeId="0" xr:uid="{3B79DC9F-CFE5-4F7C-958A-032B9770B2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1" authorId="0" shapeId="0" xr:uid="{45ED3C4A-93F2-47FF-8290-BCAA15BE5F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1" authorId="0" shapeId="0" xr:uid="{2CACBFD7-8008-42F6-A39B-F619DC0D3E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01" authorId="0" shapeId="0" xr:uid="{4FEF1195-D634-460F-83F6-880B0E11C6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01" authorId="0" shapeId="0" xr:uid="{7164FFA4-E2E8-46B7-BC10-3ED6F25E5F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1" authorId="0" shapeId="0" xr:uid="{8A5361A2-7B66-4F61-B066-1B054F3036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1" authorId="0" shapeId="0" xr:uid="{90B28AFA-9383-4246-9381-4346EC8755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1" authorId="0" shapeId="0" xr:uid="{8D1CBBB2-5F00-444C-98A0-AD117D1341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1" authorId="0" shapeId="0" xr:uid="{44421D99-85F8-41BD-8BA7-5DE7C56C63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1" authorId="0" shapeId="0" xr:uid="{440927BF-78AD-4270-9D6A-85E0E8D0E2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01" authorId="0" shapeId="0" xr:uid="{EC974EB6-C41B-401E-B408-45708991BF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1" authorId="0" shapeId="0" xr:uid="{7C116BB9-3933-4B52-AEF6-B438F69FE7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2" authorId="0" shapeId="0" xr:uid="{3597F2C5-EBC1-4F71-B53C-4B462D7C0A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02" authorId="0" shapeId="0" xr:uid="{9EB9AB67-D88A-40CD-B0B3-881E0E7D5F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2" authorId="0" shapeId="0" xr:uid="{8F19B50E-760F-49FE-A408-7E7E8DABC6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2" authorId="0" shapeId="0" xr:uid="{78E75EA8-DEA0-495B-89A3-BF6CEC62E2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2" authorId="0" shapeId="0" xr:uid="{495936DE-CAB5-4E22-9E5A-014B7F1CD7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2" authorId="0" shapeId="0" xr:uid="{676011CC-3FC2-40A3-9945-FCC2930726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2" authorId="0" shapeId="0" xr:uid="{03FEAAFA-E985-4659-80F7-517561A13B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2" authorId="0" shapeId="0" xr:uid="{DE0E8FB2-5A15-4BC0-AFB9-15DAE6AA10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2" authorId="0" shapeId="0" xr:uid="{3D1D7EE1-A6CF-49CB-B0FC-FDAC4CFF8D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2" authorId="0" shapeId="0" xr:uid="{9648230C-AF33-47D6-945D-EE1689BE47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2" authorId="0" shapeId="0" xr:uid="{DC3EC44D-2131-405B-94FA-3D0626345B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2" authorId="0" shapeId="0" xr:uid="{FA4E9977-B6CB-453F-A08F-3B3BEA1F6A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2" authorId="0" shapeId="0" xr:uid="{852D7089-8086-467F-A5A4-51331C157F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2" authorId="0" shapeId="0" xr:uid="{6A9C0C40-426A-4FB2-B7E2-B86BCD8C18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2" authorId="0" shapeId="0" xr:uid="{4FFB55C6-48A1-4FFA-B967-00CBA7037F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02" authorId="0" shapeId="0" xr:uid="{D249BB05-2383-4149-9BF7-9EC3D78CE6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02" authorId="0" shapeId="0" xr:uid="{0AA9F995-91BC-4A7F-BA17-DD2937B5A7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2" authorId="0" shapeId="0" xr:uid="{0C9BA24F-FC23-45B6-B4ED-9352D3C78D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2" authorId="0" shapeId="0" xr:uid="{B28D34F4-DE15-415A-9EEE-E75CBD7560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02" authorId="0" shapeId="0" xr:uid="{A23D0140-1979-4F43-88B4-C0A96FB7AD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2" authorId="0" shapeId="0" xr:uid="{D8D5E251-11D6-439A-904D-D57F23AC06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2" authorId="0" shapeId="0" xr:uid="{74FDE610-9EEA-4016-ACB2-7C1DB19C75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2" authorId="0" shapeId="0" xr:uid="{0E2F8402-1743-4EC4-AA22-F07B1ECD3D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2" authorId="0" shapeId="0" xr:uid="{B1A67380-72A3-42BB-A389-F0DEAAA2EB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02" authorId="0" shapeId="0" xr:uid="{D16C24E2-0375-4CF2-AFD3-C0D7C77645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2" authorId="0" shapeId="0" xr:uid="{B343A563-5EE3-45AB-A8BD-6318EABE88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F4BCD9E4-D1C8-4ACD-86E6-1D2E5F98E175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M11" authorId="0" shapeId="0" xr:uid="{E43E5FD8-41B4-4EC6-BB1B-48648BC488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1" authorId="0" shapeId="0" xr:uid="{F4C44433-26A8-4D46-BB76-71C0EC4978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1" authorId="0" shapeId="0" xr:uid="{334E0817-0949-4790-9C8A-566974B807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1" authorId="0" shapeId="0" xr:uid="{ABF87868-4F84-429F-9AE0-387A1C27A1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1" authorId="0" shapeId="0" xr:uid="{B38DCB79-DF7F-4D95-B4CE-F74A07909B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1" authorId="0" shapeId="0" xr:uid="{B592CC0F-944A-4621-90DF-CD5ECB6618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1" authorId="0" shapeId="0" xr:uid="{AD576D84-E7BF-4BF9-BA5B-9D10F162AD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1" authorId="0" shapeId="0" xr:uid="{D5A57265-FEBA-42BD-A2AF-B53A528A2F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1" authorId="0" shapeId="0" xr:uid="{96C4F23F-A7C9-41BD-941B-154A49C213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1" authorId="0" shapeId="0" xr:uid="{1F624811-60F0-4ED5-AF50-276AC5F6D7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1" authorId="0" shapeId="0" xr:uid="{ABAE8678-54E7-4790-B465-58C1BB2884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1" authorId="0" shapeId="0" xr:uid="{8BBFFC7E-FD9A-46C1-8B37-EB04805EEF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1" authorId="0" shapeId="0" xr:uid="{8F8F7206-3469-47B9-89DE-E15B403883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1" authorId="0" shapeId="0" xr:uid="{B4EE218F-B3EA-4489-8812-D6DD062442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1" authorId="0" shapeId="0" xr:uid="{EE6D76F5-0063-4D6C-B2CC-54C9038BA7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1" authorId="0" shapeId="0" xr:uid="{D0746906-6BF8-4E79-B032-D2899CEC45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1" authorId="0" shapeId="0" xr:uid="{67B0FF6B-DFDB-4197-8B06-9A6D0C19D7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1" authorId="0" shapeId="0" xr:uid="{007C412B-C0AC-4E6B-A695-750E7EA5EF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1" authorId="0" shapeId="0" xr:uid="{169F9B8C-D697-4A14-8558-583D4D8B0D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1" authorId="0" shapeId="0" xr:uid="{95FBEA91-BECA-4C79-8379-1120FF6E12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1" authorId="0" shapeId="0" xr:uid="{868083B9-7BF7-45B4-BF5A-FA5CF9C827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1" authorId="0" shapeId="0" xr:uid="{FB37E04B-B368-4CA0-AB31-C496A246E8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1" authorId="0" shapeId="0" xr:uid="{42B677A8-9BBE-470A-953B-E96E8449F2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1" authorId="0" shapeId="0" xr:uid="{29838E2B-6545-4106-AF9C-E95D39D446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1" authorId="0" shapeId="0" xr:uid="{C0FDC9F1-4B67-4E7E-8A90-51BCE2A7CE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1" authorId="0" shapeId="0" xr:uid="{53FE3A17-8DA9-40EB-AA9C-4579434EFB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1" authorId="0" shapeId="0" xr:uid="{F4664793-980A-4E2E-839C-FF82AD620C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1" authorId="0" shapeId="0" xr:uid="{3BE3F47F-E5F2-48BA-A790-B2AD1C0CFB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2" authorId="0" shapeId="0" xr:uid="{9174BE08-4BE6-4F85-9DD2-EEDB37E5F9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2" authorId="0" shapeId="0" xr:uid="{0C7ECE5D-9C74-424A-BCD7-87283D490E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2" authorId="0" shapeId="0" xr:uid="{9CA81A52-E943-48FA-A9ED-CF91FF41CD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2" authorId="0" shapeId="0" xr:uid="{6A749593-1248-49D6-83A8-F6A86B2DFD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2" authorId="0" shapeId="0" xr:uid="{3A0FCA1C-26C0-43F2-965B-30DD829D56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2" authorId="0" shapeId="0" xr:uid="{FF28CD8F-6E35-41B7-9154-403B776BF8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2" authorId="0" shapeId="0" xr:uid="{ABE67B1C-1C29-4931-9D02-56F73D5A17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2" authorId="0" shapeId="0" xr:uid="{2B4A1992-F17F-4E49-8E93-1BB7D765B7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12" authorId="0" shapeId="0" xr:uid="{BF59C568-F37D-4240-884C-7A99E58F8F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2" authorId="0" shapeId="0" xr:uid="{3A92E866-3907-46E7-8C58-108D510C12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2" authorId="0" shapeId="0" xr:uid="{B61DC5F9-E3AF-411C-B1C0-094F638A79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2" authorId="0" shapeId="0" xr:uid="{5ACD5B5D-024B-41A4-AD9E-3443A607BE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2" authorId="0" shapeId="0" xr:uid="{E908CC3E-6EEE-4686-B575-82DACA93AD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2" authorId="0" shapeId="0" xr:uid="{2DD35547-995C-4D9F-A404-6585345826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2" authorId="0" shapeId="0" xr:uid="{2D2CBF0E-35CC-4EBB-8D48-0E524B426A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2" authorId="0" shapeId="0" xr:uid="{993059BD-0BD4-405B-9FCC-ADD33FC7D3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2" authorId="0" shapeId="0" xr:uid="{F10E34A2-7E02-433D-8C6A-745817ADC0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2" authorId="0" shapeId="0" xr:uid="{3F5AD7D0-C27D-41C2-8EE3-A3E378A86F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2" authorId="0" shapeId="0" xr:uid="{AF037D85-E42A-4F2F-B63C-37FCB8C979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2" authorId="0" shapeId="0" xr:uid="{C9810DEF-17B6-440E-9B05-7189052419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2" authorId="0" shapeId="0" xr:uid="{3833FA73-DC08-4EAB-AF4C-B337E880D4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2" authorId="0" shapeId="0" xr:uid="{1F649CA2-AB6F-4EFE-AFE3-43096F0AAF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2" authorId="0" shapeId="0" xr:uid="{32492252-04C2-443C-BFD5-2CC6B0ACFB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2" authorId="0" shapeId="0" xr:uid="{B85B27D2-E8FF-4463-8C5C-4162DF448A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2" authorId="0" shapeId="0" xr:uid="{72CFBC85-9837-41EF-B4A8-23F1A14DE9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2" authorId="0" shapeId="0" xr:uid="{69B4432B-5B34-45EC-89E9-E4F18C65CB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2" authorId="0" shapeId="0" xr:uid="{F112BF14-082B-4B7D-BC06-6BBBE4098B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2" authorId="0" shapeId="0" xr:uid="{8D1487B2-91B3-4CCE-B3A0-61B28048A4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2" authorId="0" shapeId="0" xr:uid="{D2329AF9-BED1-4DBE-BCD8-08DBED30D0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2" authorId="0" shapeId="0" xr:uid="{FFEA9F2B-7B9E-4247-B534-D5185E82DD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2" authorId="0" shapeId="0" xr:uid="{B0AFE2B6-79AD-45C7-A3E6-B5565727BE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2" authorId="0" shapeId="0" xr:uid="{A33D663D-9164-4685-AD09-2D61BAF195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3" authorId="0" shapeId="0" xr:uid="{AAAB6E67-1797-4D81-9CA6-A3907BAA34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3" authorId="0" shapeId="0" xr:uid="{539D622F-A94A-41C2-8F7D-A3BDBA2D82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3" authorId="0" shapeId="0" xr:uid="{27699799-8542-47FD-9E0F-EC087D3E50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3" authorId="0" shapeId="0" xr:uid="{96F5DB51-7603-4509-8CD5-C2C750CBF4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3" authorId="0" shapeId="0" xr:uid="{CBF17DD5-D927-423A-BC7C-81579E6F7E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3" authorId="0" shapeId="0" xr:uid="{E557E356-CA33-4B5C-BC44-E0519177A3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3" authorId="0" shapeId="0" xr:uid="{BBD89945-01B3-4D2C-886C-8E725AF9D5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3" authorId="0" shapeId="0" xr:uid="{A1D98323-5E4F-4969-95EA-7CBEFB4015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3" authorId="0" shapeId="0" xr:uid="{10506313-E034-4DFB-A0E0-DDAA171ACD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3" authorId="0" shapeId="0" xr:uid="{58FAC413-DA66-4CB6-B46B-AFD3B98D2D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3" authorId="0" shapeId="0" xr:uid="{BA0F1D6E-9B45-4C29-9162-18DA6808C7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3" authorId="0" shapeId="0" xr:uid="{9F86C012-DA7D-4FE0-9E3D-94A8974916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3" authorId="0" shapeId="0" xr:uid="{06D7B250-8B7C-44B8-B381-F0B3EE5FD5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3" authorId="0" shapeId="0" xr:uid="{77A6DFFB-3A6A-4852-A234-C51191F1D9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3" authorId="0" shapeId="0" xr:uid="{47A730BA-642D-4FA2-A5D4-770BEB9A72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3" authorId="0" shapeId="0" xr:uid="{2663294B-41DB-48D8-8B4D-60227397AF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3" authorId="0" shapeId="0" xr:uid="{FB05A7B4-98DD-45E1-8D03-DD1E995752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3" authorId="0" shapeId="0" xr:uid="{C78E53DC-7A84-421C-B0E8-E03683047C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3" authorId="0" shapeId="0" xr:uid="{A4BAC253-5BDB-4C99-B62A-307D59E7D7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3" authorId="0" shapeId="0" xr:uid="{0F517127-FD2C-4842-AE64-1CA196CEE1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3" authorId="0" shapeId="0" xr:uid="{25D6786E-8147-45EE-9EC4-60240D7F6B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3" authorId="0" shapeId="0" xr:uid="{9BE912B4-D4B7-4335-891F-8E47523DCC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3" authorId="0" shapeId="0" xr:uid="{7A688304-9664-4E20-ADA2-2A5C064CFF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3" authorId="0" shapeId="0" xr:uid="{C278E0F3-AE63-42E3-A2BD-078CCBDA7E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3" authorId="0" shapeId="0" xr:uid="{C735CBE8-4F25-4EEB-8689-F9E649EBC6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3" authorId="0" shapeId="0" xr:uid="{A631304C-F228-4A46-BE1E-584AE1275F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3" authorId="0" shapeId="0" xr:uid="{242BBFC2-3DC1-4BC7-ABF6-FABD1B2042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3" authorId="0" shapeId="0" xr:uid="{9735321A-2EFB-44DF-B059-E08A2E0C12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3" authorId="0" shapeId="0" xr:uid="{71AF8C87-2893-4744-900C-2C799CBC43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3" authorId="0" shapeId="0" xr:uid="{4B8EBAA5-FF40-4C7D-A55F-007ED324AF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4" authorId="0" shapeId="0" xr:uid="{EC7365AF-B8D6-4504-B51B-082072B4D2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4" authorId="0" shapeId="0" xr:uid="{2E84E21E-D6AD-4D68-8424-4D47BF04D5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4" authorId="0" shapeId="0" xr:uid="{E0F4013B-C5E0-4E9D-9CFB-8BB24964B0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4" authorId="0" shapeId="0" xr:uid="{5921B1D2-EFA0-4674-9FCD-9C6C15E79C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4" authorId="0" shapeId="0" xr:uid="{D1CCD9C9-0B3D-4264-BCCC-34209EE869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4" authorId="0" shapeId="0" xr:uid="{76A54718-FCCB-4F66-90E2-D216456058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4" authorId="0" shapeId="0" xr:uid="{4180F9CF-873A-45BC-A0C2-A2CE5E4301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A14" authorId="0" shapeId="0" xr:uid="{C1EE4189-DD17-489B-800C-F79E4C7866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4" authorId="0" shapeId="0" xr:uid="{284EC0D3-7ACE-4DFD-B4FF-51D47E2B2E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4" authorId="0" shapeId="0" xr:uid="{DD49087F-BE83-40E3-979D-1DC6DF0FA7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4" authorId="0" shapeId="0" xr:uid="{B483241B-72C5-4E7D-AE77-17EC310F45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4" authorId="0" shapeId="0" xr:uid="{B998A327-54DE-409F-AA6C-5C87CF73BF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4" authorId="0" shapeId="0" xr:uid="{0830D594-9196-4165-BD8F-088B31DCD1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4" authorId="0" shapeId="0" xr:uid="{C29037FC-4DAD-4991-8654-50FDE07748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4" authorId="0" shapeId="0" xr:uid="{7413B189-5484-4738-ABCC-76E73B0EBE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4" authorId="0" shapeId="0" xr:uid="{8998DE03-88F1-48C9-B872-1C9F5FAE95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4" authorId="0" shapeId="0" xr:uid="{B7640AD7-B3DF-4B22-97FD-8E9A879DE5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4" authorId="0" shapeId="0" xr:uid="{9C912128-9830-4E4A-A4F1-508B95791E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4" authorId="0" shapeId="0" xr:uid="{A76922B6-51D0-4544-A820-7D8145B9E9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4" authorId="0" shapeId="0" xr:uid="{EBB4FA39-6D9E-4966-A88F-5BC24F064B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4" authorId="0" shapeId="0" xr:uid="{D51DAE65-3CEE-414D-943D-93B2634114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4" authorId="0" shapeId="0" xr:uid="{5305FF09-2728-4B60-A396-00523519C5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4" authorId="0" shapeId="0" xr:uid="{89FA8C34-D2D7-49A9-9175-5FD478BC8F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4" authorId="0" shapeId="0" xr:uid="{699FCEEE-1ED3-45B6-B57A-15D7718732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4" authorId="0" shapeId="0" xr:uid="{331CAFC7-DDEE-4FC7-8552-A627F6A176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4" authorId="0" shapeId="0" xr:uid="{34BDE3B5-DE56-4A04-8300-9DBC971D0B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4" authorId="0" shapeId="0" xr:uid="{2BF2EDE0-71D4-41FA-AEB9-97ACF8BD2E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4" authorId="0" shapeId="0" xr:uid="{93F1389F-BF20-4C15-A71F-F9EE25303E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4" authorId="0" shapeId="0" xr:uid="{E8D2114A-2A2A-4C35-86DA-C614A0ECC3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4" authorId="0" shapeId="0" xr:uid="{E6A46382-4AA0-47A1-9A8B-F4B5538AAB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4" authorId="0" shapeId="0" xr:uid="{E37E2469-AF8F-405E-8029-36654CBA08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4" authorId="0" shapeId="0" xr:uid="{34DA889E-B09A-44B2-8855-56831BABD9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4" authorId="0" shapeId="0" xr:uid="{4AF5B917-73B4-4E0B-B032-CAFA974597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4" authorId="0" shapeId="0" xr:uid="{3F7E736A-ECDC-4D0A-B5F6-9CD70C29F3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4" authorId="0" shapeId="0" xr:uid="{4D50B7D0-0DD4-472E-ACD3-777285FE22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5" authorId="0" shapeId="0" xr:uid="{434D906F-B362-48C3-BB52-B0D511D76E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5" authorId="0" shapeId="0" xr:uid="{3EF4F231-BE11-413D-A305-603D010141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5" authorId="0" shapeId="0" xr:uid="{1536331B-C5D8-4A5A-B5C3-FE442406B0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5" authorId="0" shapeId="0" xr:uid="{86E2DD7B-6AEC-4710-8F7D-FDD206DFDA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5" authorId="0" shapeId="0" xr:uid="{E63F9775-66C5-41FA-8354-2DF31F2FDC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5" authorId="0" shapeId="0" xr:uid="{E914552D-C90E-4A85-A3CC-0FD9BA0ADF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5" authorId="0" shapeId="0" xr:uid="{DCF912DB-CF1D-47E0-8305-CDB09B4EBB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A15" authorId="0" shapeId="0" xr:uid="{EAA2AE40-1BEB-4190-A4E6-872F4FBDC7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5" authorId="0" shapeId="0" xr:uid="{2D9A5E29-7AEE-4297-8EC2-70B0DF069B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5" authorId="0" shapeId="0" xr:uid="{A62A5D71-5F11-4DBA-A43A-CCBB315801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5" authorId="0" shapeId="0" xr:uid="{FE697B1C-96A3-4372-8F02-C1D1ED4719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5" authorId="0" shapeId="0" xr:uid="{DDC61B7E-722E-49D3-9EDF-BD2C900346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5" authorId="0" shapeId="0" xr:uid="{DA6FC9DF-3574-4613-B912-40A2F8F7C2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5" authorId="0" shapeId="0" xr:uid="{D0967D1D-5FCD-4478-AD90-69E2ACE33B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5" authorId="0" shapeId="0" xr:uid="{1DEE4020-EEE1-42CA-95FE-25A73A3C7F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5" authorId="0" shapeId="0" xr:uid="{7BCB5A25-69B1-4132-A153-D19455C755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5" authorId="0" shapeId="0" xr:uid="{511CD529-A210-4035-BC66-3C8952B98B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5" authorId="0" shapeId="0" xr:uid="{59899D14-49D0-489B-B5C4-5CB37E92EB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5" authorId="0" shapeId="0" xr:uid="{351C8878-5587-4766-AFB8-47B8B843F7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5" authorId="0" shapeId="0" xr:uid="{6BA4C0CB-D332-41EB-A94E-7BFBDC029E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5" authorId="0" shapeId="0" xr:uid="{F3117F10-D897-431D-8B2A-0538287685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5" authorId="0" shapeId="0" xr:uid="{C2D352F6-2957-45F2-90EF-0F0CA371A6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5" authorId="0" shapeId="0" xr:uid="{0ECC2794-A554-4EF5-A4F7-17AD68F892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5" authorId="0" shapeId="0" xr:uid="{3BA2A314-0CC8-45A6-9B5A-84090C922C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5" authorId="0" shapeId="0" xr:uid="{B1A34FD3-213F-4635-BEAF-C2DB3432E3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5" authorId="0" shapeId="0" xr:uid="{54763F50-8017-4A7D-A237-9306D30550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5" authorId="0" shapeId="0" xr:uid="{CEEBA558-15F8-4A73-AAC9-A0CB799D7C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5" authorId="0" shapeId="0" xr:uid="{D652AA7B-A32C-4408-870F-ED93DA3C41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5" authorId="0" shapeId="0" xr:uid="{92BF6382-0BE2-49BB-AC18-9F9F034F53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5" authorId="0" shapeId="0" xr:uid="{5E4E79CA-5E9F-40AF-80E9-05348D8443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5" authorId="0" shapeId="0" xr:uid="{85B83A5D-646E-4ED2-ADD6-FBCCE76D81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5" authorId="0" shapeId="0" xr:uid="{DD93D11C-A674-4F07-AA98-71A4309F93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5" authorId="0" shapeId="0" xr:uid="{C33C3ED3-A7B6-4B30-A639-44AA00F5EE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5" authorId="0" shapeId="0" xr:uid="{22495B66-E871-4556-BE01-ED03E3D4DF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5" authorId="0" shapeId="0" xr:uid="{5E205DB7-8305-4EDB-BB05-F57942CCE5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6" authorId="0" shapeId="0" xr:uid="{5F84C825-B720-42AF-8BCD-2F69D9D80C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6" authorId="0" shapeId="0" xr:uid="{A2844B85-8E45-4F16-B924-317A4C85EA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6" authorId="0" shapeId="0" xr:uid="{265B3FCC-C0BC-4517-B1AE-39BD103AB1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16" authorId="0" shapeId="0" xr:uid="{684C2EE1-A36C-4B2C-8B62-623569F874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6" authorId="0" shapeId="0" xr:uid="{9A022D85-117B-49AF-941A-54EB84F75A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6" authorId="0" shapeId="0" xr:uid="{CA12977E-478D-43E9-B97D-040785172A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6" authorId="0" shapeId="0" xr:uid="{D9BF250B-4CE3-4686-ABB5-5455CCD630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6" authorId="0" shapeId="0" xr:uid="{991F6548-9F66-4B67-AFD0-ABE6B3179F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6" authorId="0" shapeId="0" xr:uid="{246739EC-45F9-4496-A198-53B1C71222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6" authorId="0" shapeId="0" xr:uid="{DF60D564-C70A-4FB4-A417-5DF918CCB6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6" authorId="0" shapeId="0" xr:uid="{32D2B958-7B7F-4BCF-B8A3-44574BA68E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6" authorId="0" shapeId="0" xr:uid="{297EE929-08B8-4045-BE5D-51ACE6C7C4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6" authorId="0" shapeId="0" xr:uid="{BE86F6A6-397B-4DEA-A745-A4F36CD111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6" authorId="0" shapeId="0" xr:uid="{B2ADA7EC-C57B-4B6A-BA89-4997B80C99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G16" authorId="0" shapeId="0" xr:uid="{0539A60C-769E-4D47-8F86-984D7768F1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6" authorId="0" shapeId="0" xr:uid="{49006006-C816-461E-8C12-6F8F299996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6" authorId="0" shapeId="0" xr:uid="{3FCD9F86-5B09-4302-92DD-BA7A0D20F5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6" authorId="0" shapeId="0" xr:uid="{2C4BD8A2-EB56-4B69-B477-6D96F8B8B7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6" authorId="0" shapeId="0" xr:uid="{AA389518-FF85-4A2B-9ECB-34FEC14142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6" authorId="0" shapeId="0" xr:uid="{E745547E-D757-400D-B43E-1083E91A1B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6" authorId="0" shapeId="0" xr:uid="{83534E9B-E7C1-48DC-AC95-40C664020E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6" authorId="0" shapeId="0" xr:uid="{088C7C48-982E-42BC-B51D-979FF2A26D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6" authorId="0" shapeId="0" xr:uid="{4DE882DB-EAE7-4AF4-9EA8-4466E2B2E1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6" authorId="0" shapeId="0" xr:uid="{636F5611-A48B-4378-97CB-F97581D14D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6" authorId="0" shapeId="0" xr:uid="{3C519D48-C423-438E-81D1-D02F626531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16" authorId="0" shapeId="0" xr:uid="{4E3DA2F7-3F2B-4C3C-B271-38F02DE71B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6" authorId="0" shapeId="0" xr:uid="{1AC0748A-7F55-4187-A517-35F60B2247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6" authorId="0" shapeId="0" xr:uid="{AD82CA11-DB8F-44CC-9201-04FF4E9551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6" authorId="0" shapeId="0" xr:uid="{4391B083-56D2-4C90-9C4A-4B456684C8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6" authorId="0" shapeId="0" xr:uid="{31F1017D-ABE9-40B8-B4E8-D9A60802FB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6" authorId="0" shapeId="0" xr:uid="{DDC35717-7B3F-40C6-B240-64706ED7F5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6" authorId="0" shapeId="0" xr:uid="{39AC637A-8469-4F68-9A2C-1857229C16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6" authorId="0" shapeId="0" xr:uid="{F26B29FC-3F2F-45FD-A8A8-78E4D5E469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6" authorId="0" shapeId="0" xr:uid="{926D7EDC-A201-46EE-91E6-E905C8F09F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6" authorId="0" shapeId="0" xr:uid="{616C3A7A-2BE8-458E-B61B-378B9E1DD4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7" authorId="0" shapeId="0" xr:uid="{A6750BB0-9686-4628-8E06-E21A781519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7" authorId="0" shapeId="0" xr:uid="{DD8EC106-71A8-48F9-B6C8-C2DB870C82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7" authorId="0" shapeId="0" xr:uid="{B1CD0D8B-DD5B-416D-983B-9678C94A65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7" authorId="0" shapeId="0" xr:uid="{1C3ED34F-3167-4E88-A80B-A9FB501AD1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7" authorId="0" shapeId="0" xr:uid="{2A250817-34A9-4467-B44E-435E5D2CF1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7" authorId="0" shapeId="0" xr:uid="{112B0DF0-BF63-44A8-BB5A-14CDAFE42F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7" authorId="0" shapeId="0" xr:uid="{6B872326-F298-4E84-8921-2CB8DAA3E0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7" authorId="0" shapeId="0" xr:uid="{598FF440-C972-4DC1-8E40-F0D891E4A6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7" authorId="0" shapeId="0" xr:uid="{ECE1A555-041E-4367-8395-7BE26CEA19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7" authorId="0" shapeId="0" xr:uid="{3374317D-729C-43A9-85A0-C69B76166D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7" authorId="0" shapeId="0" xr:uid="{B1BE1F22-9216-4028-B08A-CDC05C56A7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7" authorId="0" shapeId="0" xr:uid="{BDDDC5BD-37F0-43F9-9E4B-66D69FA4B9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7" authorId="0" shapeId="0" xr:uid="{0BDED090-0BB5-4971-90FC-A78B8F2F00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7" authorId="0" shapeId="0" xr:uid="{06F3AB1D-2B01-4084-B20F-BE16E5BCB6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7" authorId="0" shapeId="0" xr:uid="{CC701369-240A-410E-A262-7A3F076F08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7" authorId="0" shapeId="0" xr:uid="{4AA13185-DFCD-44AE-8DB1-0E13B95FAE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7" authorId="0" shapeId="0" xr:uid="{0450DCD4-FB81-42CC-B175-6E903AA62B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7" authorId="0" shapeId="0" xr:uid="{C4CDA407-F04C-40C9-BA02-92DD5147F8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7" authorId="0" shapeId="0" xr:uid="{594F9F95-649D-4486-B3F7-02416E2CE1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7" authorId="0" shapeId="0" xr:uid="{97E58620-B988-425E-96FD-1F5F073F13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7" authorId="0" shapeId="0" xr:uid="{E22F196A-9377-4F20-A100-B66D86D4A4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7" authorId="0" shapeId="0" xr:uid="{7F7A67E6-5C71-41E5-87BA-2BF3546CEE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7" authorId="0" shapeId="0" xr:uid="{DECFEBAA-5704-4DBC-A52F-939B1AFE5A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7" authorId="0" shapeId="0" xr:uid="{DA97DB89-F2CF-43AA-B24F-3D61EDE9A5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7" authorId="0" shapeId="0" xr:uid="{49E6EE03-C29D-47BE-893D-C6F7168A0D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7" authorId="0" shapeId="0" xr:uid="{417E2E1E-1A80-4279-B3F7-06C308D81F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7" authorId="0" shapeId="0" xr:uid="{98F4F76A-9C40-4A31-AA61-D3191E1044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7" authorId="0" shapeId="0" xr:uid="{6F12FD91-A73C-4D58-85A1-8787735481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8" authorId="0" shapeId="0" xr:uid="{71393D2F-4E39-4D68-885D-D5B229FA5F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8" authorId="0" shapeId="0" xr:uid="{4BFE0EC0-4750-4AFE-899F-BE516CA1DE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8" authorId="0" shapeId="0" xr:uid="{84EF4B13-44FE-4764-8D45-F4810B68D6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8" authorId="0" shapeId="0" xr:uid="{7C996E6D-7714-46A2-9965-35DD3F0BAF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8" authorId="0" shapeId="0" xr:uid="{31BB7453-F28C-41BB-892C-8A5D28DE64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8" authorId="0" shapeId="0" xr:uid="{FB88B982-C3C2-4071-835A-963BACA3BC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8" authorId="0" shapeId="0" xr:uid="{440A6AA9-0B5E-4593-A1A9-9ABD993434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8" authorId="0" shapeId="0" xr:uid="{1E0527EE-2EFD-4BAF-BBC0-3C6C9BC4C5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8" authorId="0" shapeId="0" xr:uid="{0AFBF993-8BA1-4DFA-B06B-61E72C2601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8" authorId="0" shapeId="0" xr:uid="{311C0436-3D2F-45E1-ACA9-F451C742C9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8" authorId="0" shapeId="0" xr:uid="{6590D36E-F95E-454A-BC5B-02454E3554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8" authorId="0" shapeId="0" xr:uid="{E4847809-9C3F-4F5D-946D-83B9648F24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8" authorId="0" shapeId="0" xr:uid="{7889F2F7-D579-48A6-B5DD-3AD8861BC0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8" authorId="0" shapeId="0" xr:uid="{DD508709-9185-4EA9-A0CE-879216E62D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8" authorId="0" shapeId="0" xr:uid="{CD2AB161-95FC-4DD9-9F02-C0CC312E1B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8" authorId="0" shapeId="0" xr:uid="{AB721F9E-CABD-449E-A764-ADCAFD94A3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8" authorId="0" shapeId="0" xr:uid="{DAF5FCA8-B8B3-4888-B632-5D8C4FFFC4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8" authorId="0" shapeId="0" xr:uid="{F9776F00-727C-4FF7-A0A1-6BA04A960B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8" authorId="0" shapeId="0" xr:uid="{6326B412-1F6F-4631-A9CF-9E7D79DAC5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8" authorId="0" shapeId="0" xr:uid="{94EA7B24-736E-4852-BC10-9F94EF41E2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8" authorId="0" shapeId="0" xr:uid="{E47772E2-3E29-4A8D-ABE4-EDA25E6BE6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8" authorId="0" shapeId="0" xr:uid="{99158343-3C3E-4464-857D-7A3B21345C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8" authorId="0" shapeId="0" xr:uid="{D27ADD0E-232E-4E7A-8C70-D62680F946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8" authorId="0" shapeId="0" xr:uid="{22452BEA-D727-406C-9389-D0FB479AD5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8" authorId="0" shapeId="0" xr:uid="{3621CC0F-CC34-40EF-A56E-79B9F7B38C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8" authorId="0" shapeId="0" xr:uid="{6AEF80B7-5DAE-4597-B74D-9014692708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8" authorId="0" shapeId="0" xr:uid="{727650F7-727F-4BE3-A394-B5F2A2630A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8" authorId="0" shapeId="0" xr:uid="{220FBDB8-80F8-4C1B-A3B6-3BE91B3420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8" authorId="0" shapeId="0" xr:uid="{4360EC20-BC63-4103-BB7D-9B49B7B5C0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9" authorId="0" shapeId="0" xr:uid="{E335DDE7-963D-454C-AF1F-1A1590DEBF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9" authorId="0" shapeId="0" xr:uid="{0C98854F-620C-4AE9-8FCA-431CF7921D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9" authorId="0" shapeId="0" xr:uid="{98D46CC6-5A77-464A-B70A-378356457F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19" authorId="0" shapeId="0" xr:uid="{4ABCBA08-0160-44E9-BF85-F749A0C2CC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9" authorId="0" shapeId="0" xr:uid="{44F17FDC-B979-4FEF-9E39-BF5B507C31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9" authorId="0" shapeId="0" xr:uid="{78CCBBBC-B4DA-436F-8B6A-1A8F545176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9" authorId="0" shapeId="0" xr:uid="{D077DEF1-633F-470F-86AB-598300905B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9" authorId="0" shapeId="0" xr:uid="{622C683C-7E17-4846-B58D-5422FC4035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9" authorId="0" shapeId="0" xr:uid="{F958F975-9BCE-4C45-B0C3-737AE8ECAA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9" authorId="0" shapeId="0" xr:uid="{783AFB43-E05B-4E64-AE16-221DAE5CD4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9" authorId="0" shapeId="0" xr:uid="{B584F054-D464-4C8B-A91D-5082C07594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9" authorId="0" shapeId="0" xr:uid="{76042EF9-5408-400F-BB78-31FB1A38FB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9" authorId="0" shapeId="0" xr:uid="{84455867-4B4C-4BCD-A994-5E62B68430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9" authorId="0" shapeId="0" xr:uid="{B5A01E04-1275-43B9-BD29-E47CFCFBB9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9" authorId="0" shapeId="0" xr:uid="{F086C8A0-CA7B-47A1-AE63-3A3A5F64EF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9" authorId="0" shapeId="0" xr:uid="{FBD12D81-4565-401F-88AE-34EDC7BEAB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9" authorId="0" shapeId="0" xr:uid="{A3FD98BF-5655-4CA6-9EDA-33E5F21674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9" authorId="0" shapeId="0" xr:uid="{2312FAC0-1781-4D39-A8F0-EDFEC7AF70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9" authorId="0" shapeId="0" xr:uid="{AC225A04-D390-405F-8CB9-1BF7403ED3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9" authorId="0" shapeId="0" xr:uid="{A838D8EE-C3FE-4C32-88D0-58F2992020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9" authorId="0" shapeId="0" xr:uid="{956E9911-9E53-4D47-966B-BDAFDD2D3A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9" authorId="0" shapeId="0" xr:uid="{F07A42EE-C124-48EC-8248-40ED9A4E38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9" authorId="0" shapeId="0" xr:uid="{0F4FDC4C-1547-4CAE-A5D1-25EFD80738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9" authorId="0" shapeId="0" xr:uid="{EB32504E-1E52-4B86-88CD-5710FA8132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19" authorId="0" shapeId="0" xr:uid="{7C8E7F19-643A-4179-84E1-B2FF5107BD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9" authorId="0" shapeId="0" xr:uid="{C0A62849-93B9-425F-B83B-736DBE99B3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9" authorId="0" shapeId="0" xr:uid="{B30A64C8-C948-4F1F-9949-BB0D0FADAC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9" authorId="0" shapeId="0" xr:uid="{8F5F6EB5-559B-44E2-A07E-EF6667E8D5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9" authorId="0" shapeId="0" xr:uid="{54D0A01D-6FF9-47B4-921A-43EE6387F8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9" authorId="0" shapeId="0" xr:uid="{824FB792-6515-417D-B6DD-5833F2E7D5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9" authorId="0" shapeId="0" xr:uid="{6A9E9B66-A7AB-44D6-B9BA-5004CE711F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9" authorId="0" shapeId="0" xr:uid="{395351D3-0AB9-4B07-BA60-ACBD3F29F4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9" authorId="0" shapeId="0" xr:uid="{2D0BE6B8-818B-4281-968E-9C798D0E20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0" authorId="0" shapeId="0" xr:uid="{C0096268-3114-43C7-A6C9-D0F93EA7F6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0" authorId="0" shapeId="0" xr:uid="{5D871F9B-081D-4AA5-A1A7-F90777FE80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0" authorId="0" shapeId="0" xr:uid="{311A1D21-0971-4B10-9014-406E09B06E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0" authorId="0" shapeId="0" xr:uid="{64D3974A-F202-472E-9935-62854E3A5D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0" authorId="0" shapeId="0" xr:uid="{6E11AF1E-E90E-4587-886D-2714F3CEE6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20" authorId="0" shapeId="0" xr:uid="{7A6210D0-DBDC-4114-862E-AB6129D03B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0" authorId="0" shapeId="0" xr:uid="{E713FCB6-EAFD-4634-B725-62B2D87579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0" authorId="0" shapeId="0" xr:uid="{F24CB651-0F86-4220-B04F-0338C619C1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0" authorId="0" shapeId="0" xr:uid="{F13042F0-29C4-4B28-9546-24BB7A93E6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0" authorId="0" shapeId="0" xr:uid="{0A522652-009E-4188-A0F2-44A46A8ECC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20" authorId="0" shapeId="0" xr:uid="{37587818-3C75-43DB-811B-1B6B365912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0" authorId="0" shapeId="0" xr:uid="{523E0EC1-9AD8-47C4-9779-8D47E09076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0" authorId="0" shapeId="0" xr:uid="{AD9EDF4C-DE49-4C3F-A695-6EC3CE5754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0" authorId="0" shapeId="0" xr:uid="{B8AFBBE2-FD50-49D0-AFEF-5BE1F9C030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20" authorId="0" shapeId="0" xr:uid="{87FBE092-92D6-4ED3-8F72-E485ECB950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0" authorId="0" shapeId="0" xr:uid="{A597DAA9-F402-40C8-BFCC-AB7B15E0BA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0" authorId="0" shapeId="0" xr:uid="{8FB00ECB-299A-44B2-85DA-FC6D1FC4EE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0" authorId="0" shapeId="0" xr:uid="{18696AB9-809C-4CBB-897A-846F9C89BF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20" authorId="0" shapeId="0" xr:uid="{87336140-7EC7-4E3B-973B-C036209032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0" authorId="0" shapeId="0" xr:uid="{2F9BCAA5-DDD1-4844-9C1C-EFC5254E71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0" authorId="0" shapeId="0" xr:uid="{4E2930B3-277E-44F8-B576-7F97FD7DDB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0" authorId="0" shapeId="0" xr:uid="{ED3146F9-4A8E-4506-A276-FF843B21A9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0" authorId="0" shapeId="0" xr:uid="{A7C3CE69-8615-4861-A519-6868EA1CA0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0" authorId="0" shapeId="0" xr:uid="{7EC9E676-A8EE-48E5-A7FD-3D837CAEBD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0" authorId="0" shapeId="0" xr:uid="{5711FD05-187F-43AD-A5EE-035C02C130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0" authorId="0" shapeId="0" xr:uid="{EAE9061F-E456-47BB-9AC1-E20BF780DB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0" authorId="0" shapeId="0" xr:uid="{C430D341-9CAE-484B-AC91-C11D924A9A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0" authorId="0" shapeId="0" xr:uid="{9381826F-794C-407B-AC69-E6B5EF13C9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0" authorId="0" shapeId="0" xr:uid="{7269CB9C-99AC-4DC5-A318-553D723C38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0" authorId="0" shapeId="0" xr:uid="{65ADEB62-73B8-4E49-BE18-8A4A65AAE1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0" authorId="0" shapeId="0" xr:uid="{A32833AC-285B-475D-88AA-76378444C1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0" authorId="0" shapeId="0" xr:uid="{C8D6A0E7-E956-4FF9-8256-EA77C89C65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0" authorId="0" shapeId="0" xr:uid="{643ECD1C-ECAE-4219-8BFD-0CAFEBDCAC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0" authorId="0" shapeId="0" xr:uid="{FC409A44-C326-4369-B36A-BF6DDCDF5A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20" authorId="0" shapeId="0" xr:uid="{B55F09B7-49FF-413D-9DA8-01EB357709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0" authorId="0" shapeId="0" xr:uid="{DFF76E18-148C-4EDB-8EA8-6EDEDB2442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0" authorId="0" shapeId="0" xr:uid="{134A5190-E39B-4FB2-B2DC-8800E6B252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0" authorId="0" shapeId="0" xr:uid="{C6C09CE2-A8F3-48B7-882D-6FE8820E2C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0" authorId="0" shapeId="0" xr:uid="{47D4D23F-A45E-4290-B617-BF97A11C90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0" authorId="0" shapeId="0" xr:uid="{3ADE61DF-C098-4729-BE97-220B513B27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0" authorId="0" shapeId="0" xr:uid="{4506198F-6381-4DF0-9217-6CC60BC18D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0" authorId="0" shapeId="0" xr:uid="{06549221-9C1C-4E16-97B7-FC95585CFB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20" authorId="0" shapeId="0" xr:uid="{4D153322-E29B-41F4-B5B6-EE6D7839C7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1" authorId="0" shapeId="0" xr:uid="{B56F198B-9BBE-45E4-AB53-651B0D1254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1" authorId="0" shapeId="0" xr:uid="{7434CF46-C967-4808-A075-E167843122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1" authorId="0" shapeId="0" xr:uid="{71F44920-7C02-4DF1-A091-1572A1FC88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1" authorId="0" shapeId="0" xr:uid="{9198D63A-5AD2-4C34-9DB3-DFBBF7100E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1" authorId="0" shapeId="0" xr:uid="{21B16922-F975-4B82-B1A0-B27D966CC6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1" authorId="0" shapeId="0" xr:uid="{24FF4D8B-1CFE-46B9-B2A1-32002D6A0B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1" authorId="0" shapeId="0" xr:uid="{1BEE3ACF-8C0F-4EF9-8352-0CE7BBA838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1" authorId="0" shapeId="0" xr:uid="{397963FB-9D33-473C-B5D2-18AA50B7A6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1" authorId="0" shapeId="0" xr:uid="{3C441DF5-FA32-444A-9BD9-D6BC425C0D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1" authorId="0" shapeId="0" xr:uid="{22168716-6938-43C2-89BB-D5B35FCAFD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1" authorId="0" shapeId="0" xr:uid="{499F47B5-C5B5-4FE3-A106-71339D0447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1" authorId="0" shapeId="0" xr:uid="{20595F5D-C71E-4AFA-8B63-1A4B91D7E9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1" authorId="0" shapeId="0" xr:uid="{D49BB453-60B4-47B4-BD17-219BB8686C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1" authorId="0" shapeId="0" xr:uid="{3A927B4E-8B2B-48DC-8E43-0C241D65B7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1" authorId="0" shapeId="0" xr:uid="{47CE8A0E-CAB1-44F3-9217-83B9AF77E5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1" authorId="0" shapeId="0" xr:uid="{9CA07F5E-8EC8-46EF-9215-435421C06E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1" authorId="0" shapeId="0" xr:uid="{87A62E98-D078-45E9-93D4-CA364E4DC5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1" authorId="0" shapeId="0" xr:uid="{749EEB6C-C382-4ADF-B074-D7B18262B4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1" authorId="0" shapeId="0" xr:uid="{6D7D6F7E-84AA-4519-9332-19CC3EEAB6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1" authorId="0" shapeId="0" xr:uid="{2E81026A-3E76-4916-AC97-E004FF2084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1" authorId="0" shapeId="0" xr:uid="{69F7B4D4-1F38-47D6-92FC-EDAB5EA38B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1" authorId="0" shapeId="0" xr:uid="{BF73CC8C-DFAE-4023-8FFB-7A824C0099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1" authorId="0" shapeId="0" xr:uid="{A61A2E8F-FBD0-4D70-8306-873843562B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1" authorId="0" shapeId="0" xr:uid="{EA6C04FB-B30E-4BD0-B847-84C36239AE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1" authorId="0" shapeId="0" xr:uid="{4B4475F6-485C-465C-8DA3-4F45342F98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1" authorId="0" shapeId="0" xr:uid="{59ABAF73-D5F2-4034-9A98-2FDBA9DDB0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1" authorId="0" shapeId="0" xr:uid="{08C9EA7E-3999-4255-A047-C53BCBFCDB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1" authorId="0" shapeId="0" xr:uid="{56899A9A-6F88-4F07-A52E-990E9A1148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2" authorId="0" shapeId="0" xr:uid="{4524D66E-7D6A-4ED6-B2F9-2F7E573452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2" authorId="0" shapeId="0" xr:uid="{495603C6-140F-4A84-BD8B-870807B901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2" authorId="0" shapeId="0" xr:uid="{4FCC5C7A-5564-4251-BC5C-51D54DA606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2" authorId="0" shapeId="0" xr:uid="{DB74D9DB-CB48-44F4-AB1A-34BD804712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2" authorId="0" shapeId="0" xr:uid="{9C3BFAFA-3A44-4DE2-8F70-9146CA8953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2" authorId="0" shapeId="0" xr:uid="{264684BE-A011-4B9D-A3FC-571E9E2B72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2" authorId="0" shapeId="0" xr:uid="{B0012C5B-95C6-4982-AEB1-F45782F921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2" authorId="0" shapeId="0" xr:uid="{4FCBEF37-CC0F-4CD0-89DC-326216C448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2" authorId="0" shapeId="0" xr:uid="{8FDFC71A-0706-48F7-8129-D5E476A12C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2" authorId="0" shapeId="0" xr:uid="{EF3D8469-ABEE-424D-BEE2-A1815264C4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2" authorId="0" shapeId="0" xr:uid="{C338A108-4569-41DA-85A6-D61D9DF439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2" authorId="0" shapeId="0" xr:uid="{F1E4F6F3-9235-4D25-B13D-1D896850AB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2" authorId="0" shapeId="0" xr:uid="{CC83CE63-BF08-4A3E-9513-A5AD79CF41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2" authorId="0" shapeId="0" xr:uid="{F08FCCD0-8BC3-4E71-AE3D-3705141B68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2" authorId="0" shapeId="0" xr:uid="{80E6B04C-D4CE-4E2C-876D-45C568953E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2" authorId="0" shapeId="0" xr:uid="{89CEB2B0-4C0A-47A0-8922-EC8F2887E4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2" authorId="0" shapeId="0" xr:uid="{66532E9D-5BB1-4C3A-9DD8-BB47E3A032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2" authorId="0" shapeId="0" xr:uid="{33F9EE4F-1CA2-498A-8517-6DF4647EB9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2" authorId="0" shapeId="0" xr:uid="{BA61794F-317E-4D15-9FFC-14502C13A5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2" authorId="0" shapeId="0" xr:uid="{A4AE949D-AE2F-4064-A25F-FF9F50376F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2" authorId="0" shapeId="0" xr:uid="{C0015A78-DAE2-4B2E-8AFA-3BB6AD92E2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2" authorId="0" shapeId="0" xr:uid="{0E151512-5C46-4472-9E29-563183A0C7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2" authorId="0" shapeId="0" xr:uid="{A42326D2-E701-4BF8-9288-CFE53DD227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2" authorId="0" shapeId="0" xr:uid="{A437FEC1-964C-465E-A4F2-3BBD4CD46F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2" authorId="0" shapeId="0" xr:uid="{E933AF69-B12B-4D8F-85DE-5882B8E7E5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2" authorId="0" shapeId="0" xr:uid="{900A8E14-2AB2-4946-8BD8-E15A8EB32B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2" authorId="0" shapeId="0" xr:uid="{DD201A71-582E-497F-823C-EC4D25284A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2" authorId="0" shapeId="0" xr:uid="{2062A513-C2BC-4FC0-9797-BD01411E9D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2" authorId="0" shapeId="0" xr:uid="{F558F56D-9DAD-4B50-A98B-47181BAFC7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2" authorId="0" shapeId="0" xr:uid="{5A98E8B6-C311-4976-BE13-BEA7B49E17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2" authorId="0" shapeId="0" xr:uid="{2AEFEDBA-B31B-4DB4-9735-428EA050D6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2" authorId="0" shapeId="0" xr:uid="{4EE6F292-7C65-4541-945E-9DD09D1D4F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22" authorId="0" shapeId="0" xr:uid="{47159E2D-A3C7-4929-9404-4E3D2C7095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3" authorId="0" shapeId="0" xr:uid="{978923F4-581C-4A7A-BC19-31A42C8EDE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3" authorId="0" shapeId="0" xr:uid="{883FAE76-B960-4244-B2CD-BFF68DB238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3" authorId="0" shapeId="0" xr:uid="{F7C1603D-15AA-4A97-AADA-60F0245F7D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3" authorId="0" shapeId="0" xr:uid="{237385DB-309F-40A0-89D8-5BF041EF2C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3" authorId="0" shapeId="0" xr:uid="{ADBE3506-085A-4842-A685-79105438D8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3" authorId="0" shapeId="0" xr:uid="{4A954884-92C1-4DD2-BBAA-2E49525DF8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3" authorId="0" shapeId="0" xr:uid="{9171F25F-FE59-49F3-B193-7B49B4AC25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3" authorId="0" shapeId="0" xr:uid="{DB694A5F-02E0-4C32-8226-3DFFACE38B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3" authorId="0" shapeId="0" xr:uid="{5CB96511-8279-4CA3-874E-3D684ADAEF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3" authorId="0" shapeId="0" xr:uid="{B83469B5-55B0-42DD-A453-1DC12B1798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3" authorId="0" shapeId="0" xr:uid="{1CD5F5B2-7518-458A-BE58-F2E0B498D0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3" authorId="0" shapeId="0" xr:uid="{79B9508C-43C9-4FDF-8E57-21A496C495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3" authorId="0" shapeId="0" xr:uid="{7FB0C353-8701-4A52-82DE-A5F54935C5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3" authorId="0" shapeId="0" xr:uid="{DB7F14D1-25F4-4184-BA3C-8DA5467A4E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3" authorId="0" shapeId="0" xr:uid="{C28D98DD-97E2-43F7-9792-45CB818075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3" authorId="0" shapeId="0" xr:uid="{52BF3CAB-8274-4D71-9746-C23A343CA6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3" authorId="0" shapeId="0" xr:uid="{AFCB7BD7-BCE0-430B-921F-F42249703E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3" authorId="0" shapeId="0" xr:uid="{5EC7B200-F0CA-47EA-9BA3-1943B9F724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3" authorId="0" shapeId="0" xr:uid="{3D51D7EF-9C36-420D-8D21-5ACA104F32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3" authorId="0" shapeId="0" xr:uid="{BE42D327-9B6D-4123-9442-1B0B951F1D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3" authorId="0" shapeId="0" xr:uid="{15E321D3-EACE-4A97-9A14-A91C0CD511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3" authorId="0" shapeId="0" xr:uid="{D1A829DB-83AE-4D8D-A204-302AE0F1E7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3" authorId="0" shapeId="0" xr:uid="{9DB81DB3-AEAE-48A2-8053-07E4A5F407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3" authorId="0" shapeId="0" xr:uid="{96645A28-0A1A-4F7A-AA08-B3D9F0F1C3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3" authorId="0" shapeId="0" xr:uid="{3C265F11-59B1-42B8-B4E2-FEE487C0DF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3" authorId="0" shapeId="0" xr:uid="{A4F02571-3F18-4810-9EFF-34430798EE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3" authorId="0" shapeId="0" xr:uid="{A7521502-F6AD-4AF3-80AC-04740F47F2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4" authorId="0" shapeId="0" xr:uid="{E6606365-8AD7-4612-8DCC-F6D4AC8793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4" authorId="0" shapeId="0" xr:uid="{040C5536-FF20-44C6-81C8-0307DF74CC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4" authorId="0" shapeId="0" xr:uid="{EEDE38E0-3226-4ED9-9935-77E88B7317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4" authorId="0" shapeId="0" xr:uid="{61965624-AE55-41DB-B4C0-616F469694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4" authorId="0" shapeId="0" xr:uid="{2D9E1D68-6FAB-4230-A959-A8D60DE6B0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H24" authorId="0" shapeId="0" xr:uid="{2B314392-028A-4944-B7BB-B246AC9528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4" authorId="0" shapeId="0" xr:uid="{CB18ABC3-1DBC-41AB-9210-AC69723CF5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4" authorId="0" shapeId="0" xr:uid="{8029C19D-571D-4FA0-A031-BCD039B96F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4" authorId="0" shapeId="0" xr:uid="{3FAD92B0-B05E-45ED-9D13-B071394496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4" authorId="0" shapeId="0" xr:uid="{73E84ABF-C6BA-4572-958B-FA750B4981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4" authorId="0" shapeId="0" xr:uid="{540A9556-E5EE-49C5-A6FC-E11BA006C5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4" authorId="0" shapeId="0" xr:uid="{AD21D07F-EFA8-4BAB-ABDC-C9FB54EB95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4" authorId="0" shapeId="0" xr:uid="{7DE9FE4E-A62B-4342-B937-9640542794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4" authorId="0" shapeId="0" xr:uid="{6123770F-3143-47E9-80B3-AC7E2169CC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4" authorId="0" shapeId="0" xr:uid="{AF7D1E93-E2B7-478F-A033-DC7CF8A3BF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4" authorId="0" shapeId="0" xr:uid="{12572056-2F88-4AD4-9EE6-AD9A9778E3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4" authorId="0" shapeId="0" xr:uid="{7CCD1AFF-2136-4648-9B76-0204C9A823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4" authorId="0" shapeId="0" xr:uid="{CE81B33F-6AE7-4AD9-8F41-17720CDC8E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4" authorId="0" shapeId="0" xr:uid="{8592452C-E61E-4572-8D4D-1D632774F0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4" authorId="0" shapeId="0" xr:uid="{0CDD1298-2AF0-41AC-B2A5-071F10E99E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4" authorId="0" shapeId="0" xr:uid="{8B630AA6-4A11-4E22-BF7D-48E9C2E3F8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4" authorId="0" shapeId="0" xr:uid="{1A88286C-41C0-49C1-B75B-AF81FDC51C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4" authorId="0" shapeId="0" xr:uid="{406F67FD-7BCD-40B1-A2D4-6A63A4DCEC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4" authorId="0" shapeId="0" xr:uid="{4075C912-69EC-457E-8445-EE98A9E164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4" authorId="0" shapeId="0" xr:uid="{CF7DCBBF-0E84-4B11-9FDC-ED94BB05CC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4" authorId="0" shapeId="0" xr:uid="{A39746AA-560C-4CF4-B42E-9224928B14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4" authorId="0" shapeId="0" xr:uid="{73F3782C-ADDE-4F91-AC1E-E09A0AF553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4" authorId="0" shapeId="0" xr:uid="{63BCCCFF-F2AB-4A70-A6CF-956B815307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4" authorId="0" shapeId="0" xr:uid="{09130AA4-DDC7-43EC-B3A3-D8F19A705E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4" authorId="0" shapeId="0" xr:uid="{BF36BB55-C909-4BBD-959F-E707A2791C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4" authorId="0" shapeId="0" xr:uid="{E6FF0ABA-411F-4521-859C-B516173C21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5" authorId="0" shapeId="0" xr:uid="{79C232EA-A50C-4573-833C-2652876570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5" authorId="0" shapeId="0" xr:uid="{42AE5FE2-3D98-4594-BEE7-4159DADCFD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5" authorId="0" shapeId="0" xr:uid="{7E247221-C3A0-4E76-8D53-9C25F989CB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5" authorId="0" shapeId="0" xr:uid="{55D34620-F5B2-4207-9609-E72E7E91F5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5" authorId="0" shapeId="0" xr:uid="{ED25FED2-DE4F-479C-98A3-4790EE0715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A25" authorId="0" shapeId="0" xr:uid="{AFF9121D-1819-4555-AC9E-D5474D5AE7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5" authorId="0" shapeId="0" xr:uid="{D5E56990-73B4-4638-86C4-D9A6AEA5AB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5" authorId="0" shapeId="0" xr:uid="{06517E79-AA64-4FF3-9B08-DF2E76E519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5" authorId="0" shapeId="0" xr:uid="{8C1014E9-FE0E-4741-A028-4C6896CEDC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25" authorId="0" shapeId="0" xr:uid="{C47B7810-A0AD-4A48-ABB6-3FDF08ECD5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5" authorId="0" shapeId="0" xr:uid="{3966E91C-9EBC-4D3C-B61B-676E298B9C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5" authorId="0" shapeId="0" xr:uid="{3D70C4EC-86DA-4AE4-867F-610A9F349C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5" authorId="0" shapeId="0" xr:uid="{F0DB1D78-8264-4FB8-9999-41BC1C8450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5" authorId="0" shapeId="0" xr:uid="{229FB8A5-750C-45E8-89EC-F9678AE24A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5" authorId="0" shapeId="0" xr:uid="{AFD1253B-67BA-466F-AD81-B5FFA626F9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5" authorId="0" shapeId="0" xr:uid="{53FF4F2F-A3B2-481E-9F45-DD76FFEAE3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5" authorId="0" shapeId="0" xr:uid="{42D45266-064F-4B93-ACA4-935827172B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5" authorId="0" shapeId="0" xr:uid="{E654D87F-8D92-488E-97B6-7162D06DE3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5" authorId="0" shapeId="0" xr:uid="{EA89C59A-06D9-4CF7-B389-F4545403C0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5" authorId="0" shapeId="0" xr:uid="{84F8AC8F-245F-4536-BB67-9EBF0C2464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5" authorId="0" shapeId="0" xr:uid="{CBCD549A-54A5-4E7F-B88C-5A3702C771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5" authorId="0" shapeId="0" xr:uid="{78A0A4AC-271F-4911-BC87-A986545DA3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5" authorId="0" shapeId="0" xr:uid="{3EECC934-CE4A-4CD6-B15D-894411014E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5" authorId="0" shapeId="0" xr:uid="{07A2D9E9-4AAF-42E4-9722-D1DB5D5DB7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5" authorId="0" shapeId="0" xr:uid="{C14F6164-FB7E-441A-896A-435C544FDA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5" authorId="0" shapeId="0" xr:uid="{3561CDE2-5493-4582-93EE-4AD7F381E1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5" authorId="0" shapeId="0" xr:uid="{A1D5CE4F-2D4B-4A56-BF02-E27F492E9E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5" authorId="0" shapeId="0" xr:uid="{2F698AC3-ABF6-46B3-97E9-0532B7B956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5" authorId="0" shapeId="0" xr:uid="{8BE3072A-24AD-4B47-976B-466774F3B7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5" authorId="0" shapeId="0" xr:uid="{92A96C19-0DF7-4DF9-B9A1-583BD6A187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6" authorId="0" shapeId="0" xr:uid="{26989B88-AA8C-45CC-A37F-2AF7EB7C92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6" authorId="0" shapeId="0" xr:uid="{3316D667-2B2E-4E13-B61C-49A4008D76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6" authorId="0" shapeId="0" xr:uid="{D8FC48C1-BA84-4347-BFBA-C76D2D4131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6" authorId="0" shapeId="0" xr:uid="{40BC28F7-8C88-4DB9-B8E7-3C24DDD9EB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6" authorId="0" shapeId="0" xr:uid="{49E83EA4-12AC-4728-9977-658E707760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6" authorId="0" shapeId="0" xr:uid="{0CD32DB0-1DE2-4C73-B2F3-A89669CF2B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6" authorId="0" shapeId="0" xr:uid="{35D5628A-85CE-48A8-8813-C8597FB9CA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6" authorId="0" shapeId="0" xr:uid="{B0FE3549-D3B8-4BDE-ADAE-ACB726BA53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6" authorId="0" shapeId="0" xr:uid="{7EFAC160-451B-4CAD-938C-BF4EB6574C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6" authorId="0" shapeId="0" xr:uid="{313FB0EA-2623-4EA5-8B9F-F9B0CF3786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6" authorId="0" shapeId="0" xr:uid="{C712C2BD-1AFB-4655-BAB2-025D0127A1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6" authorId="0" shapeId="0" xr:uid="{90851A3F-1962-436B-8977-9443A69666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6" authorId="0" shapeId="0" xr:uid="{9C101C36-FA9F-4E84-B0F8-E151A11560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6" authorId="0" shapeId="0" xr:uid="{945BBA4F-7869-44D8-9EA9-810B699BD7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6" authorId="0" shapeId="0" xr:uid="{C1214CD3-99B6-475F-9718-F9C174A104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6" authorId="0" shapeId="0" xr:uid="{8E3823B0-E779-4568-BBD3-741992FB8C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6" authorId="0" shapeId="0" xr:uid="{0A8A9B63-5874-4199-A77E-30595E84B0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6" authorId="0" shapeId="0" xr:uid="{7820CB47-FE02-4A2E-8869-1C20B24C8C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6" authorId="0" shapeId="0" xr:uid="{3D938E09-9D4F-4891-9744-ADA28C9CD3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6" authorId="0" shapeId="0" xr:uid="{4E723457-B789-4BDB-A8B4-A126BCEC8E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6" authorId="0" shapeId="0" xr:uid="{B4435A26-A9AA-4379-A8ED-7C65EC37F4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6" authorId="0" shapeId="0" xr:uid="{91F5E629-77BF-44BA-A260-CDC4298801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6" authorId="0" shapeId="0" xr:uid="{32A5B32D-3903-403F-A865-634E7D40D8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6" authorId="0" shapeId="0" xr:uid="{92542BD5-7E72-4C0D-8A56-F1224713BE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6" authorId="0" shapeId="0" xr:uid="{A3250E6F-1877-4C42-8718-AF289B4F1B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6" authorId="0" shapeId="0" xr:uid="{2ADA706B-CA52-4104-9892-05EA42AE9F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6" authorId="0" shapeId="0" xr:uid="{8DD269E5-0086-43AB-8D08-9709A50825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6" authorId="0" shapeId="0" xr:uid="{1B5D2094-65D1-4212-82B9-AC07C47538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6" authorId="0" shapeId="0" xr:uid="{3F7045AC-5DF1-4040-BF37-1282C8E04F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6" authorId="0" shapeId="0" xr:uid="{E14F62FA-84B7-4E0B-8334-641B98E9FB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6" authorId="0" shapeId="0" xr:uid="{56599A92-7FF6-4047-ACDC-10A0AFCC15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7" authorId="0" shapeId="0" xr:uid="{4F5A1BEC-6240-4398-BDA3-B4F4BE291F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7" authorId="0" shapeId="0" xr:uid="{4203CE83-7336-49C9-955B-E28DBCB689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7" authorId="0" shapeId="0" xr:uid="{96EF67C0-102B-4387-BD6D-FF4697BD51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7" authorId="0" shapeId="0" xr:uid="{080AA245-43B7-46EE-A0EE-7E3026CB5F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7" authorId="0" shapeId="0" xr:uid="{08D3FB97-3F7B-44BA-9B01-417546F509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7" authorId="0" shapeId="0" xr:uid="{C30B8BE0-6004-49A0-8546-EF8622729F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7" authorId="0" shapeId="0" xr:uid="{8CC00887-24FB-4921-B034-0FC599703E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7" authorId="0" shapeId="0" xr:uid="{1B51F8B7-4A52-418C-85C2-04E7E4BD49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7" authorId="0" shapeId="0" xr:uid="{7166E295-33F8-454E-B484-7F801CA55A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7" authorId="0" shapeId="0" xr:uid="{851F5B99-12AF-442A-9A8F-871E4A1F64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7" authorId="0" shapeId="0" xr:uid="{B8EA4303-7ECE-48FC-ABFA-E51E6EA742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7" authorId="0" shapeId="0" xr:uid="{A8B783F4-2578-4111-9231-AE056CBE2A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7" authorId="0" shapeId="0" xr:uid="{224F9A43-E817-41A9-AE76-444F8FF5EC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7" authorId="0" shapeId="0" xr:uid="{05A7187E-1A68-487D-B486-CD134EC3D7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7" authorId="0" shapeId="0" xr:uid="{3F915D10-B481-4DD6-9469-E3108E6ED8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7" authorId="0" shapeId="0" xr:uid="{0709E6A3-59C5-4D5E-A87D-C600500ADF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7" authorId="0" shapeId="0" xr:uid="{49E695FE-6B0D-4CA2-8F32-D366D7F3C7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7" authorId="0" shapeId="0" xr:uid="{4BCE1129-CF2A-4414-BF4A-8F156E0C98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7" authorId="0" shapeId="0" xr:uid="{F6740568-646E-428D-B9B4-3489B27EF6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7" authorId="0" shapeId="0" xr:uid="{01F25C4E-E56B-4121-AA5B-AD8B69777A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7" authorId="0" shapeId="0" xr:uid="{7E2E419D-D109-432D-9C7B-463C599B3A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7" authorId="0" shapeId="0" xr:uid="{DE8C7EE3-839C-451B-985B-50A8FBA349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7" authorId="0" shapeId="0" xr:uid="{84999908-2D1E-469E-B0AF-4D2CD06600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7" authorId="0" shapeId="0" xr:uid="{1733C46C-8436-4607-94E0-D814DE76FC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7" authorId="0" shapeId="0" xr:uid="{CD33E2A7-E95D-489B-A587-B5ED3414B0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7" authorId="0" shapeId="0" xr:uid="{FFF59736-9E96-4A93-A6F2-B702D22C7C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7" authorId="0" shapeId="0" xr:uid="{F4E122FC-70A3-4C11-9F7A-841B9C18DC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7" authorId="0" shapeId="0" xr:uid="{2BCC88C6-DE9E-499F-BEC6-67E13F1395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7" authorId="0" shapeId="0" xr:uid="{E7F72364-7C6C-4AE4-98E8-446DDDF795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7" authorId="0" shapeId="0" xr:uid="{D51F6F34-541A-4188-A037-FBACEED7E4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7" authorId="0" shapeId="0" xr:uid="{28D7798C-0668-4A37-912E-1EF572CBCF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7" authorId="0" shapeId="0" xr:uid="{3103A964-9389-4947-A902-357428EAD4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8" authorId="0" shapeId="0" xr:uid="{FC716487-B109-49FA-B6BB-156356BFA3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8" authorId="0" shapeId="0" xr:uid="{6D4E992E-8EDB-4437-BFFD-6347F9CA4F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28" authorId="0" shapeId="0" xr:uid="{054672C4-8C20-4083-89E7-848E3D75C3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8" authorId="0" shapeId="0" xr:uid="{FD3C6509-082F-4143-AEDD-BEC9312468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8" authorId="0" shapeId="0" xr:uid="{34355983-3FBB-4C69-AEA6-C5C7E426A9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8" authorId="0" shapeId="0" xr:uid="{43BA85F6-8EB3-43D7-90B4-498FA61F80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8" authorId="0" shapeId="0" xr:uid="{AE84D4FE-BB17-4930-9DDB-5A6C8D62A0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8" authorId="0" shapeId="0" xr:uid="{022B823C-7D50-4453-B413-963D01AF3A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8" authorId="0" shapeId="0" xr:uid="{D2FF4A77-7F3C-4683-97E7-D158A238EA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8" authorId="0" shapeId="0" xr:uid="{54373658-69B2-4FD6-AEE7-BCF18DED3D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8" authorId="0" shapeId="0" xr:uid="{24D7872E-1C5A-44E4-B63F-F3F3A35852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8" authorId="0" shapeId="0" xr:uid="{3E93293D-2ACC-40DC-9C6F-DCAE0E74ED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8" authorId="0" shapeId="0" xr:uid="{0C643A72-4A0B-40FF-A1A8-C98CEC67EE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8" authorId="0" shapeId="0" xr:uid="{F12FD734-F69D-4DD2-B6C3-EB4E2F55F6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8" authorId="0" shapeId="0" xr:uid="{8B4E41F1-AEF9-44A0-BE0D-70B7DF5BAE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8" authorId="0" shapeId="0" xr:uid="{B398F299-D813-40B6-9D93-A7F0E9BA2C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8" authorId="0" shapeId="0" xr:uid="{95FB6637-8033-4B63-8FA1-9BBFB9831E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8" authorId="0" shapeId="0" xr:uid="{9284CEE5-2366-43C7-9EC7-CE57EDEE41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8" authorId="0" shapeId="0" xr:uid="{97C87C4D-C6F0-48B1-BF34-AC90A61023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8" authorId="0" shapeId="0" xr:uid="{7D9C9B40-287A-430A-B780-756A20779C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8" authorId="0" shapeId="0" xr:uid="{9BEA68B6-B756-482B-9375-C4B8E18863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8" authorId="0" shapeId="0" xr:uid="{FE7DB616-F418-4B1C-9C7C-86D870A36E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8" authorId="0" shapeId="0" xr:uid="{711AABB6-2AB6-4A5B-AAC3-61E6503A93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8" authorId="0" shapeId="0" xr:uid="{3E2B54A2-D519-4B02-967A-B07D305DC2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8" authorId="0" shapeId="0" xr:uid="{92BDCE27-CD4B-49E9-9E6A-D92A315590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8" authorId="0" shapeId="0" xr:uid="{C6BF9C8A-3041-46B6-B6DA-1B652DAE6F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8" authorId="0" shapeId="0" xr:uid="{4DF1272B-DB32-4F1D-BE77-759EF8F413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9" authorId="0" shapeId="0" xr:uid="{B43FDB80-BB92-4497-BEB4-4DC80E56D6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9" authorId="0" shapeId="0" xr:uid="{81FA234D-494B-4CF2-B74C-CEFCB93809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9" authorId="0" shapeId="0" xr:uid="{FF26E2CD-835A-438D-BA2E-D36C653913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9" authorId="0" shapeId="0" xr:uid="{CFE346EF-21CE-4F57-B9EF-2BC94CC14E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9" authorId="0" shapeId="0" xr:uid="{D9D3FCE4-86DA-4253-93AF-1F4E462586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9" authorId="0" shapeId="0" xr:uid="{C18BCA1C-F34C-42EE-AFA4-346F0B1658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9" authorId="0" shapeId="0" xr:uid="{36F03560-A1A9-4139-9C25-76A92A1DE1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9" authorId="0" shapeId="0" xr:uid="{617821D3-D148-4FC8-BCCB-468C0F86EB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9" authorId="0" shapeId="0" xr:uid="{A62B194F-C1B1-4ED2-A3EA-8469ADAE83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9" authorId="0" shapeId="0" xr:uid="{FA9EFFEC-6238-44C1-A9DD-BE37444CFC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9" authorId="0" shapeId="0" xr:uid="{590B7738-B2E8-48E8-8201-C4FF86AFEE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9" authorId="0" shapeId="0" xr:uid="{1A1F7B8C-1219-475B-B1EB-21B93DCAC7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9" authorId="0" shapeId="0" xr:uid="{A1D25537-B0F7-4461-805C-2E6F726A37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9" authorId="0" shapeId="0" xr:uid="{C7CF5B2D-1559-4D9A-8D01-92F6FB160D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9" authorId="0" shapeId="0" xr:uid="{4F737FB1-B023-4148-ABE1-C502D70317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9" authorId="0" shapeId="0" xr:uid="{12BACDA0-2197-47CB-ACAD-0050B869E9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9" authorId="0" shapeId="0" xr:uid="{2BB7C20F-2670-48D1-B7A0-B113E6DDB4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9" authorId="0" shapeId="0" xr:uid="{1BCDA4EC-54DB-4D6A-994D-D175323ADA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9" authorId="0" shapeId="0" xr:uid="{24DBF0DB-BC59-4138-957E-E296DDBE12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9" authorId="0" shapeId="0" xr:uid="{85425677-C809-4DA2-972D-7F44EB0250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9" authorId="0" shapeId="0" xr:uid="{12241054-64AC-4558-A86C-F5E15C62E5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9" authorId="0" shapeId="0" xr:uid="{50367F96-7C55-4696-99C4-D19FA08FDB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9" authorId="0" shapeId="0" xr:uid="{A13E7349-6B77-4421-8950-55B24C1DD9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9" authorId="0" shapeId="0" xr:uid="{37A6D6B5-24BA-4EC4-9B85-32EFCC200B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9" authorId="0" shapeId="0" xr:uid="{F5793197-F019-4528-A5EA-654A51EFA3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9" authorId="0" shapeId="0" xr:uid="{9D95F17C-3E42-4D5F-8CD0-CB785063B9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0" authorId="0" shapeId="0" xr:uid="{326A9E96-C19E-4BA3-A738-BC13D8468A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0" authorId="0" shapeId="0" xr:uid="{3F91221D-A087-407F-A729-AB641F5DCC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0" authorId="0" shapeId="0" xr:uid="{47059632-EF69-402E-AB73-D53CF01FF9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0" authorId="0" shapeId="0" xr:uid="{C99A733B-34A8-4450-BD2B-01BD15D81C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0" authorId="0" shapeId="0" xr:uid="{38CF69F7-CCCE-4790-9116-F80D6A182B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0" authorId="0" shapeId="0" xr:uid="{E4415E39-04B0-4965-9193-E3A7F56213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0" authorId="0" shapeId="0" xr:uid="{2CB9C0A8-4323-4DA5-B2D9-8FED63E37C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0" authorId="0" shapeId="0" xr:uid="{F10E985E-5DC4-476E-BB99-4390701EDC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0" authorId="0" shapeId="0" xr:uid="{AE3F435A-5DB9-4D83-901C-1D170EDE1E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0" authorId="0" shapeId="0" xr:uid="{8A99338E-4A8C-42C0-8763-E699F8EB7D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0" authorId="0" shapeId="0" xr:uid="{1468DDE7-FFD0-4880-A17F-349E198AF9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0" authorId="0" shapeId="0" xr:uid="{9EFCAAF5-2DF3-42BC-AA55-9C4D39362A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0" authorId="0" shapeId="0" xr:uid="{43ED9B43-0569-4953-93AF-8015C0A785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0" authorId="0" shapeId="0" xr:uid="{8E42A654-FAB8-4939-A303-E8BD209B23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0" authorId="0" shapeId="0" xr:uid="{E4C21BAA-BB73-4ABE-9741-87B1FD9D10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0" authorId="0" shapeId="0" xr:uid="{FE944ECC-6D20-4B4D-80CF-92CFCACDE3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0" authorId="0" shapeId="0" xr:uid="{6C79E716-1288-4A49-897D-ED905EC1AE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0" authorId="0" shapeId="0" xr:uid="{D0FB0734-3DD0-472C-9F11-0F1FF2BAD4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0" authorId="0" shapeId="0" xr:uid="{11984AF5-FB99-4678-8A65-8A9415B6AA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0" authorId="0" shapeId="0" xr:uid="{9409A0A8-86BB-4090-9D72-7622F3BDE0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0" authorId="0" shapeId="0" xr:uid="{3B914F6B-D705-4DD3-AB12-4FDB827159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0" authorId="0" shapeId="0" xr:uid="{8423E3BB-3E7E-4C7A-840D-25B28EF794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30" authorId="0" shapeId="0" xr:uid="{A7BE2BEE-D675-43E1-BA5C-CFA60398EB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0" authorId="0" shapeId="0" xr:uid="{CEF41C12-D065-49A1-BC71-AAE62D7C22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0" authorId="0" shapeId="0" xr:uid="{A1427DED-7C78-48AB-94E9-00AFFD17A2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0" authorId="0" shapeId="0" xr:uid="{23F64C98-D3FF-4EAF-BBC7-915203FB5A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30" authorId="0" shapeId="0" xr:uid="{4BDE688C-4E4E-4E89-9059-2EAAECA32B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0" authorId="0" shapeId="0" xr:uid="{C09C143B-A8B4-423D-BB70-E9CA1B8A82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0" authorId="0" shapeId="0" xr:uid="{0ABC5E21-FCD8-4A6F-AB6B-C8F9296132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0" authorId="0" shapeId="0" xr:uid="{112187AD-8082-437A-A048-EE92616600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30" authorId="0" shapeId="0" xr:uid="{FC8D7B47-CCA0-4C1D-A14E-A8A0ED2ACF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1" authorId="0" shapeId="0" xr:uid="{4417D274-C133-43B2-B950-E8E8F867A7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1" authorId="0" shapeId="0" xr:uid="{D88C72D3-F1D4-47D8-B569-C0F38C8513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1" authorId="0" shapeId="0" xr:uid="{60DF5248-258A-4EA8-A6DB-45B9811874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1" authorId="0" shapeId="0" xr:uid="{BD4F4E48-57A5-487F-8352-962D9332FB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1" authorId="0" shapeId="0" xr:uid="{70AEF04D-E9E9-41FE-9341-28BE47D6CB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1" authorId="0" shapeId="0" xr:uid="{1D0FD993-430C-4B42-8F45-57F3EB4D6C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1" authorId="0" shapeId="0" xr:uid="{06577B67-8AEC-4199-8BB8-5A14CBD414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1" authorId="0" shapeId="0" xr:uid="{F2E55941-FEEC-4C62-AD47-E22642234E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1" authorId="0" shapeId="0" xr:uid="{D8F62516-8504-4F65-948C-165C32EB87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1" authorId="0" shapeId="0" xr:uid="{73DA3FD7-5662-45C2-9E59-D83DC47A3F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1" authorId="0" shapeId="0" xr:uid="{36537CC5-4CDC-4A4F-97D8-746EB0123A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1" authorId="0" shapeId="0" xr:uid="{0B7224B1-7969-4BEE-818C-E1232EC46F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1" authorId="0" shapeId="0" xr:uid="{BF2DE6C1-45C3-4BBF-B708-EB5FDFECA8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1" authorId="0" shapeId="0" xr:uid="{B5819A58-26F1-4083-8D45-AE5127DDA0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1" authorId="0" shapeId="0" xr:uid="{2246C4FD-6543-40CC-9B5C-26CEEAFCB3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1" authorId="0" shapeId="0" xr:uid="{C24A83F6-9B59-4A26-BBFF-8CF00E0973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1" authorId="0" shapeId="0" xr:uid="{45FDB4B0-08B6-408C-B570-2BD59BB046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1" authorId="0" shapeId="0" xr:uid="{9CFBB5AE-E8D5-44D3-ACDE-6A54AB600B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1" authorId="0" shapeId="0" xr:uid="{DA5D18B6-77FA-4A53-B6BB-70EB19D5D8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1" authorId="0" shapeId="0" xr:uid="{30F03538-7D18-4B24-B236-C6F9120CFA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1" authorId="0" shapeId="0" xr:uid="{59EC8F47-3B0F-4B75-8A75-DDB9FF36F5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1" authorId="0" shapeId="0" xr:uid="{A6ED9583-2F75-49E9-9480-EA31E434FE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1" authorId="0" shapeId="0" xr:uid="{A5A9600B-8AAF-40E5-985F-91B5286354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1" authorId="0" shapeId="0" xr:uid="{BCA7145A-46B6-4531-AC72-16A339FEC1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1" authorId="0" shapeId="0" xr:uid="{091E0EDA-D540-4A49-A3F4-8268D944A5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1" authorId="0" shapeId="0" xr:uid="{71C506C0-FA34-4138-B354-E318CA19C5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1" authorId="0" shapeId="0" xr:uid="{A7178CE0-BF77-442D-8D41-3EFBCC42FB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1" authorId="0" shapeId="0" xr:uid="{36612DA5-EE2D-484D-9A7F-D8D4C5E9BF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1" authorId="0" shapeId="0" xr:uid="{296092F6-8905-443D-A509-8293664D6A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1" authorId="0" shapeId="0" xr:uid="{F2B6CC5E-D877-4090-99CB-B6FEF2A529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2" authorId="0" shapeId="0" xr:uid="{E4B017A2-9431-4C98-8F59-913D990376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2" authorId="0" shapeId="0" xr:uid="{F0B6E293-6107-45C1-BDF4-D76E4D0B02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2" authorId="0" shapeId="0" xr:uid="{5D26E4F6-82AF-4ACA-A0BB-C53E7A9DA1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2" authorId="0" shapeId="0" xr:uid="{FFC0DB62-0610-477A-9536-1D8D4F7C71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2" authorId="0" shapeId="0" xr:uid="{11D606C1-D125-4CD0-91CB-6A9F71B19D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2" authorId="0" shapeId="0" xr:uid="{B1D86D43-5608-470E-B0A5-38911F8D84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2" authorId="0" shapeId="0" xr:uid="{06CD21E9-D7F6-4326-9A51-026D6B12AA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2" authorId="0" shapeId="0" xr:uid="{3E6CBA4A-7081-4D6F-BA17-E0AFED8E90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2" authorId="0" shapeId="0" xr:uid="{EC99A218-4B4E-4B37-91E6-594D0A342A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2" authorId="0" shapeId="0" xr:uid="{F94468C5-B8A0-43A2-9A6A-8C61489E27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2" authorId="0" shapeId="0" xr:uid="{3B5FF451-81ED-411B-8D95-649BDC3C09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2" authorId="0" shapeId="0" xr:uid="{5F5A22BB-75B2-43C9-A40B-0C719A0F94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2" authorId="0" shapeId="0" xr:uid="{DD0D0277-0F8E-4B37-A911-3444639CAC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2" authorId="0" shapeId="0" xr:uid="{46AD295D-DE59-4115-8E89-05FF81A18C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2" authorId="0" shapeId="0" xr:uid="{E452C836-4C99-4C32-AD43-FF28B94A34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2" authorId="0" shapeId="0" xr:uid="{589B555E-2799-4C51-9742-CFB30697D2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2" authorId="0" shapeId="0" xr:uid="{E9432EB9-298B-4B14-9AB6-90012BFF97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2" authorId="0" shapeId="0" xr:uid="{00552A24-E24C-4F4F-B0C5-6DC8D667BD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2" authorId="0" shapeId="0" xr:uid="{02EAA7EB-DAF6-4C1E-9979-A69D017ED4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2" authorId="0" shapeId="0" xr:uid="{9FDE9D0A-AA4F-4D94-84A5-B298E30B6D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2" authorId="0" shapeId="0" xr:uid="{540CE4C6-D6BB-4670-AA0F-C091665D18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2" authorId="0" shapeId="0" xr:uid="{CA510F6F-6C76-466F-A492-57E7B127A0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2" authorId="0" shapeId="0" xr:uid="{E9956990-563C-4D66-A860-159A7FC2CF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2" authorId="0" shapeId="0" xr:uid="{0532C2C6-8E4F-414E-A491-79093BAEFB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2" authorId="0" shapeId="0" xr:uid="{8DEBD63B-A0D9-4412-A483-06DBB421B5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2" authorId="0" shapeId="0" xr:uid="{A2B46A7B-B319-46DD-8F79-D177EC516D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2" authorId="0" shapeId="0" xr:uid="{D2BF4374-1570-43A5-8A6F-65AA0A9C08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3" authorId="0" shapeId="0" xr:uid="{2ABFE9DA-8700-453D-986F-2ED0F997FC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3" authorId="0" shapeId="0" xr:uid="{85D15B61-FED3-490D-B57D-8C01FB73F7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3" authorId="0" shapeId="0" xr:uid="{1B601490-AEE2-44E8-BDEF-1A312AA5B3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3" authorId="0" shapeId="0" xr:uid="{3E176D65-8052-48C6-B1E2-843935237C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3" authorId="0" shapeId="0" xr:uid="{92DAAEA5-26D2-4ECB-A212-BB0919F3F2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3" authorId="0" shapeId="0" xr:uid="{C28FC5C0-FBB2-4595-8CCA-2E90810B14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3" authorId="0" shapeId="0" xr:uid="{74332EB2-6897-470A-8D4F-90282A06D5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3" authorId="0" shapeId="0" xr:uid="{77DCC63E-2E6C-4AAD-B166-419D94A57F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3" authorId="0" shapeId="0" xr:uid="{54002AF9-4B80-4823-984D-9C66B8CA43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3" authorId="0" shapeId="0" xr:uid="{A3B6FBAF-CE3E-4260-BB44-01171C7021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3" authorId="0" shapeId="0" xr:uid="{3E6291B0-98EA-4FFA-AEBA-62F2BA9314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3" authorId="0" shapeId="0" xr:uid="{8AC1823B-3489-4C96-8BDE-3DA249D9C2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3" authorId="0" shapeId="0" xr:uid="{FD31DACE-4CBA-4CC6-9A3D-4B6FA1777F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3" authorId="0" shapeId="0" xr:uid="{B23F114E-6140-4DC8-8D6F-7C7054CDAF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3" authorId="0" shapeId="0" xr:uid="{06496E30-6968-4BBF-94A5-8A9AD0B3B6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3" authorId="0" shapeId="0" xr:uid="{6CD76BC5-2CD6-474A-BBDB-B28F4E5EDE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3" authorId="0" shapeId="0" xr:uid="{66C17CBA-B57B-48C3-A317-72486E71C0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3" authorId="0" shapeId="0" xr:uid="{89062EC5-C5FD-46EC-AABB-2DC6F1DDEE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3" authorId="0" shapeId="0" xr:uid="{D5B7CE1A-9E57-4017-88A7-836280C9DA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3" authorId="0" shapeId="0" xr:uid="{5DDA5387-EC1C-4C96-A55F-BB8C54FA04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3" authorId="0" shapeId="0" xr:uid="{D31CCDB3-2B21-48CF-B81F-804B87DF0C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3" authorId="0" shapeId="0" xr:uid="{201DB5AE-CCB3-440A-946C-3F715FECBA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3" authorId="0" shapeId="0" xr:uid="{7D5C8243-C019-4C07-A38F-C05EB417E2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3" authorId="0" shapeId="0" xr:uid="{82C54D70-1400-4459-A4E2-87DBB7CC2E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3" authorId="0" shapeId="0" xr:uid="{F71A5D8A-3AC6-4952-A049-04B723EA93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3" authorId="0" shapeId="0" xr:uid="{3331ACE0-815D-407E-B50F-ABFDAECFC5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3" authorId="0" shapeId="0" xr:uid="{6046933D-48E4-4002-9246-BC2820032A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3" authorId="0" shapeId="0" xr:uid="{D2B8FE7F-2473-4A77-87E6-864B0CFB81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4" authorId="0" shapeId="0" xr:uid="{033B0B57-8E76-4CE5-A9D7-BFE5F9D87F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4" authorId="0" shapeId="0" xr:uid="{42FAE634-0509-42EE-B46A-2195EE4FB3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4" authorId="0" shapeId="0" xr:uid="{AF0F698D-D758-4443-905C-14246C564F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4" authorId="0" shapeId="0" xr:uid="{0F4B8D18-7F8F-4DC2-B102-F0B1871FE1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4" authorId="0" shapeId="0" xr:uid="{239F9FAB-7A98-4003-B983-43AF203B11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4" authorId="0" shapeId="0" xr:uid="{7FFA25AC-A489-400D-9408-4029C9EC66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4" authorId="0" shapeId="0" xr:uid="{1AC648EF-88BD-47EC-A7DD-CEB7ACB027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4" authorId="0" shapeId="0" xr:uid="{A17E9E7A-C8AC-4D58-B410-F5B61D8278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4" authorId="0" shapeId="0" xr:uid="{1F815302-66D5-4DA9-BCA1-03611EAD35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4" authorId="0" shapeId="0" xr:uid="{717A4AE8-2E9A-4552-A8E0-3BF5343B87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4" authorId="0" shapeId="0" xr:uid="{5EF9E475-27AB-403B-BE0A-4887F4793A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4" authorId="0" shapeId="0" xr:uid="{63B084A2-D8BD-42A0-A89D-B677B38E8E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4" authorId="0" shapeId="0" xr:uid="{21164ED9-46C4-482D-8E12-149E0F8C8F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4" authorId="0" shapeId="0" xr:uid="{397ABAF8-0424-4AC4-84D1-EA9A11571F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4" authorId="0" shapeId="0" xr:uid="{DCC77C54-AAE1-420A-8D2C-7B868B76FA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4" authorId="0" shapeId="0" xr:uid="{DDE71981-4D4A-496D-A8F5-835E2EC242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4" authorId="0" shapeId="0" xr:uid="{2740DA7C-0298-4BEA-9622-B4068D466B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4" authorId="0" shapeId="0" xr:uid="{21D98C06-40DA-4566-837D-EDD0E69AE3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4" authorId="0" shapeId="0" xr:uid="{94FFD255-AE26-4D7B-9540-1CC267362F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4" authorId="0" shapeId="0" xr:uid="{EA099A28-7907-41F0-B2F5-CB4519AD43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4" authorId="0" shapeId="0" xr:uid="{CB485ACD-75C9-4899-ACAD-D32A93A532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4" authorId="0" shapeId="0" xr:uid="{A010785B-F9D5-47DE-A2F4-FED2DE6D4A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4" authorId="0" shapeId="0" xr:uid="{E62AD781-CC5F-4A9A-8358-9EBA6ED39B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4" authorId="0" shapeId="0" xr:uid="{260841E7-52B3-480E-9F15-A9856EAC4F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4" authorId="0" shapeId="0" xr:uid="{360645E0-FFF1-4711-8339-ADE53C46B1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4" authorId="0" shapeId="0" xr:uid="{C32CBC84-A95E-4D95-A406-913B5D10EB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4" authorId="0" shapeId="0" xr:uid="{C87593D3-F5C6-48AC-A903-D21FEE5043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5" authorId="0" shapeId="0" xr:uid="{D83A0865-3B53-486C-AAF7-1016850167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5" authorId="0" shapeId="0" xr:uid="{37B1413B-B663-498B-8A42-222B0D0DAD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5" authorId="0" shapeId="0" xr:uid="{07DE4851-11FC-4C7D-8523-A06982C636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5" authorId="0" shapeId="0" xr:uid="{FD88A256-8F0F-4825-B757-71B36E9064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5" authorId="0" shapeId="0" xr:uid="{032D6A1C-D6E7-45AC-8EA4-CDD7B4BD96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5" authorId="0" shapeId="0" xr:uid="{74D294B6-DA90-48F2-863C-BAA13B00B9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5" authorId="0" shapeId="0" xr:uid="{F36FAEF7-7791-408F-BC38-C3105C5385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5" authorId="0" shapeId="0" xr:uid="{B697DB29-794D-4388-9754-8EADFBDC0A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5" authorId="0" shapeId="0" xr:uid="{2E3B498B-5E59-4E0E-AD3D-718908A3FF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5" authorId="0" shapeId="0" xr:uid="{A31EABCE-3D00-4A99-B889-67F0C9B814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5" authorId="0" shapeId="0" xr:uid="{6F57EC3E-E872-44AA-AF56-60DAD2D125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5" authorId="0" shapeId="0" xr:uid="{4BB61CC4-4211-486E-BA63-599513904D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5" authorId="0" shapeId="0" xr:uid="{58D002AC-1BC6-4FBE-A45B-5DF65D825B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5" authorId="0" shapeId="0" xr:uid="{39074169-FCD2-4D0D-85AD-6BDD8DCEA7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5" authorId="0" shapeId="0" xr:uid="{D2F041AF-978B-4D65-961E-D3F9BF9D6E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5" authorId="0" shapeId="0" xr:uid="{1EBF3862-2872-4F36-B82C-7BC0F11867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5" authorId="0" shapeId="0" xr:uid="{A2DA317B-4A6E-4051-9E2B-664FD41F7F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5" authorId="0" shapeId="0" xr:uid="{D01D0D9B-DB7F-40D2-8F66-46134C55BE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5" authorId="0" shapeId="0" xr:uid="{4A6B67D4-FDF1-4200-9E42-4D03085296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5" authorId="0" shapeId="0" xr:uid="{8DA7C372-3DA0-47A2-98A5-2F7C5C8028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5" authorId="0" shapeId="0" xr:uid="{43CDB42A-949D-43FC-A0A6-ED186C6B2D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5" authorId="0" shapeId="0" xr:uid="{A288E997-48B1-4262-94B8-4B8A5DD507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5" authorId="0" shapeId="0" xr:uid="{C3812C04-443A-4C50-830D-3A25EA3E7C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5" authorId="0" shapeId="0" xr:uid="{27369407-FAC8-439C-BF66-1476E74F61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36" authorId="0" shapeId="0" xr:uid="{F9203A05-0C28-4A23-ACBB-D64E75B3BA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6" authorId="0" shapeId="0" xr:uid="{FCCD8F45-7AE1-4E32-8109-6BF5C741D8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6" authorId="0" shapeId="0" xr:uid="{039C4EB2-FA20-414C-8894-0C757F5CA0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6" authorId="0" shapeId="0" xr:uid="{6A0B6B29-65A0-41E5-9517-BC556DF546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6" authorId="0" shapeId="0" xr:uid="{950DF312-D5B4-4655-A29C-8CB47F3133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6" authorId="0" shapeId="0" xr:uid="{976867D7-74D5-4CF0-A082-8F3355C2DD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6" authorId="0" shapeId="0" xr:uid="{D8EE9EE6-7829-4BFD-AD69-B04C8DDC28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6" authorId="0" shapeId="0" xr:uid="{C1F74DAC-54A9-4CF8-BCB0-7321EE715E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6" authorId="0" shapeId="0" xr:uid="{6D0604C4-3EFF-4F89-8515-5A16513A35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6" authorId="0" shapeId="0" xr:uid="{6C78990D-AA6D-4C84-A186-56A223677A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6" authorId="0" shapeId="0" xr:uid="{B2B3E7BC-91C5-4E36-BC5D-86F824B81D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6" authorId="0" shapeId="0" xr:uid="{A8E408FF-AED5-4C65-91D3-1387CFD39F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6" authorId="0" shapeId="0" xr:uid="{FDFDD4BF-1D38-4461-AFE7-2E2A813C21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6" authorId="0" shapeId="0" xr:uid="{E024B7D8-D76F-40FC-B7D7-48A81CA07E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6" authorId="0" shapeId="0" xr:uid="{400C4513-5D48-4C76-987F-B61644D2F9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6" authorId="0" shapeId="0" xr:uid="{CAD827AD-B5F3-4893-A53E-9C46A8066F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6" authorId="0" shapeId="0" xr:uid="{40F8EB98-118E-4E67-BBB0-E1A00AA6CF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6" authorId="0" shapeId="0" xr:uid="{90B35DFB-628B-4B1C-8EDF-BDCD5779FE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6" authorId="0" shapeId="0" xr:uid="{B566471C-4350-44E3-BD52-6C75CB4956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6" authorId="0" shapeId="0" xr:uid="{F1EFA48D-6BDC-41A9-ABF5-6BAC893A5D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6" authorId="0" shapeId="0" xr:uid="{A0C12BB3-D262-40C4-B30F-AEC1C04B26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6" authorId="0" shapeId="0" xr:uid="{DE627B95-02EE-4B10-B77C-A76D1E3D2D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6" authorId="0" shapeId="0" xr:uid="{43F0912A-1E8A-413B-9892-54015D93F6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6" authorId="0" shapeId="0" xr:uid="{FC25A72F-DE76-4EF0-A72D-D990F8FB25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6" authorId="0" shapeId="0" xr:uid="{E2F2138D-D9AA-49D7-8839-AADFB94E69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6" authorId="0" shapeId="0" xr:uid="{1016B298-5229-4E2B-BBFF-6E2673FAA3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6" authorId="0" shapeId="0" xr:uid="{34F8EBF3-03BF-4663-864E-7C983D1E9A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6" authorId="0" shapeId="0" xr:uid="{F0C874FB-80AD-407C-8C6F-CF23F827F5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6" authorId="0" shapeId="0" xr:uid="{06F87516-AB22-4333-94F9-E636567B4D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7" authorId="0" shapeId="0" xr:uid="{39062BDB-24FC-4481-A1A6-9D7735D875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7" authorId="0" shapeId="0" xr:uid="{A12B90C9-9E75-4159-84D3-309F2E95FA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7" authorId="0" shapeId="0" xr:uid="{E0626E19-8EB0-4993-BF6B-33E75352F0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7" authorId="0" shapeId="0" xr:uid="{18874DEE-1C57-4FCF-AB94-8DDF30DF5E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7" authorId="0" shapeId="0" xr:uid="{1CC37D52-1274-4C60-B952-933A2CE473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7" authorId="0" shapeId="0" xr:uid="{1DCF1D61-6525-4CC8-96BD-4AC9B448DD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7" authorId="0" shapeId="0" xr:uid="{9B2B9560-F13B-493A-A004-FF54E3141B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7" authorId="0" shapeId="0" xr:uid="{380D68C3-0A80-49D4-84F3-562E9E3E20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7" authorId="0" shapeId="0" xr:uid="{2D666433-6018-4210-B9AE-0F8AEFFF51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7" authorId="0" shapeId="0" xr:uid="{0CF0A0CF-EDFB-45D9-841B-57AD95AC3D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7" authorId="0" shapeId="0" xr:uid="{410A0C67-BD1B-42D0-887F-9EFB43B88B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7" authorId="0" shapeId="0" xr:uid="{EC1D885E-0BEB-4B4B-9BDA-7281610AC3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7" authorId="0" shapeId="0" xr:uid="{4580C252-D5F6-4596-9577-5FDBB91F7F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7" authorId="0" shapeId="0" xr:uid="{5E3022CD-7047-4555-A2AE-9207676920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7" authorId="0" shapeId="0" xr:uid="{60AD28D2-E64A-4340-9272-CFAEA291E4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7" authorId="0" shapeId="0" xr:uid="{AD307BD5-74BB-4D8E-990C-40B716ED4A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7" authorId="0" shapeId="0" xr:uid="{E086B6CC-91D0-400A-827B-0D1650A852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7" authorId="0" shapeId="0" xr:uid="{3062EF9A-335E-476E-9D5D-E01FBA5CD8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7" authorId="0" shapeId="0" xr:uid="{1A45121D-6F3E-4F01-82C4-129E66213B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7" authorId="0" shapeId="0" xr:uid="{7473F0C6-9A0D-42EA-A49A-397AE2DBD4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7" authorId="0" shapeId="0" xr:uid="{DB87AC1F-1E2D-4130-B265-616EABD815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7" authorId="0" shapeId="0" xr:uid="{50410B15-C991-4DAE-B47E-45EE5FEEA1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7" authorId="0" shapeId="0" xr:uid="{898AF1FC-8412-40C3-BE81-1501167B8B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37" authorId="0" shapeId="0" xr:uid="{8D9246A4-5CA7-47F8-9D20-A726D7E2D2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7" authorId="0" shapeId="0" xr:uid="{149E47A1-D6DE-482C-A2BA-B8D5F119A7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7" authorId="0" shapeId="0" xr:uid="{576129F5-2AB3-45E3-9288-DF41C05EDD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7" authorId="0" shapeId="0" xr:uid="{2A519348-8F63-4181-886D-CB72F22018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7" authorId="0" shapeId="0" xr:uid="{211C4454-E305-4054-9C4E-30D678E8E9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7" authorId="0" shapeId="0" xr:uid="{029DF7DE-34CA-4740-A94F-F3617288B9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7" authorId="0" shapeId="0" xr:uid="{67EBFF72-AE25-4311-AE14-707CEEC20D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8" authorId="0" shapeId="0" xr:uid="{9EB8FADF-F4FB-43E4-B886-E9DA6B8777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8" authorId="0" shapeId="0" xr:uid="{2526B4AD-9D8A-4519-935A-FF7655362D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8" authorId="0" shapeId="0" xr:uid="{3812A4AC-7B66-495D-A53B-911D7C3A45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8" authorId="0" shapeId="0" xr:uid="{0F72CC00-B2E2-4291-93D4-DD7A5E0D5D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8" authorId="0" shapeId="0" xr:uid="{2AC45887-3FEB-49C8-AD88-4314F80DA2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8" authorId="0" shapeId="0" xr:uid="{BC5ACA3D-A6F1-445A-BC9D-350B80698B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8" authorId="0" shapeId="0" xr:uid="{2EEEECDF-6186-4435-BA2F-07F46E43CE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8" authorId="0" shapeId="0" xr:uid="{E7242C00-979E-46BF-99F4-59CD4F24FB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8" authorId="0" shapeId="0" xr:uid="{C63FEB95-F8B0-4529-ADF6-1F257E331D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8" authorId="0" shapeId="0" xr:uid="{3B982D55-F9FA-45AB-AEFC-95ED9C309E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8" authorId="0" shapeId="0" xr:uid="{F8D55AB6-FC53-4EDF-BA4F-5D0570F9C8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38" authorId="0" shapeId="0" xr:uid="{58002FEC-7AC6-4B8C-AE48-21E268A460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8" authorId="0" shapeId="0" xr:uid="{B6F6F6C4-E80A-4EB4-A74D-4C913123DE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38" authorId="0" shapeId="0" xr:uid="{BA79A687-0C3E-4B3B-A025-2160211938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8" authorId="0" shapeId="0" xr:uid="{40AA60DE-7E29-41CD-A358-A2D61AEF11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8" authorId="0" shapeId="0" xr:uid="{98420C7C-D6A4-424C-B7CB-A8455F56E7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8" authorId="0" shapeId="0" xr:uid="{AA495290-C167-49F8-A43A-B42FBC6AFD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8" authorId="0" shapeId="0" xr:uid="{C8E4968E-0A5D-49B1-9AA5-920B298D68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8" authorId="0" shapeId="0" xr:uid="{DAD70CC1-C266-442A-BF4E-03292A5D3B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8" authorId="0" shapeId="0" xr:uid="{E5AEC318-485B-4185-9C17-8FD0805D74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8" authorId="0" shapeId="0" xr:uid="{3893AFDF-F57D-47FF-B852-10CC738761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8" authorId="0" shapeId="0" xr:uid="{9BD95F45-CFE8-4FF6-99BB-58CFBAD8A4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8" authorId="0" shapeId="0" xr:uid="{97F064C6-9C80-4C61-9308-CEC43D2B38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8" authorId="0" shapeId="0" xr:uid="{5413BCD7-39FD-4617-ADDF-D040A8541A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8" authorId="0" shapeId="0" xr:uid="{16D7A018-DEC5-409B-B172-C628CF9585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8" authorId="0" shapeId="0" xr:uid="{C438081C-A4EE-4287-BB6A-8FED2553EF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8" authorId="0" shapeId="0" xr:uid="{DD27249C-5C6F-484D-AE07-C72E8C75F2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8" authorId="0" shapeId="0" xr:uid="{0E0DA4B3-6609-4413-9D11-5661F28F9D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8" authorId="0" shapeId="0" xr:uid="{99B09EE0-36D7-4441-B03F-77BB54697A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38" authorId="0" shapeId="0" xr:uid="{D556AD97-045E-4BB7-9ED3-4903733883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8" authorId="0" shapeId="0" xr:uid="{B8F286ED-D357-4983-8ABB-BFFD10FD52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9" authorId="0" shapeId="0" xr:uid="{2E94B80C-132E-45F1-A36A-961EE019BD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39" authorId="0" shapeId="0" xr:uid="{B0A589C3-6649-454E-B488-70612D36A1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9" authorId="0" shapeId="0" xr:uid="{43A04676-33BB-4897-B9B3-DD34CC94EA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9" authorId="0" shapeId="0" xr:uid="{7F0776A4-AC26-4E7D-B9E8-A0D4074F92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39" authorId="0" shapeId="0" xr:uid="{8BD9570F-77E5-4E59-8419-4FC72C0636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9" authorId="0" shapeId="0" xr:uid="{6B6D2725-ABBA-4769-9DE2-C2C594D7DC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9" authorId="0" shapeId="0" xr:uid="{6A9DDAB2-3D35-4A53-81A9-B89405B360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9" authorId="0" shapeId="0" xr:uid="{85BAA4DF-4B13-4319-8A86-C1FC7BD7D1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9" authorId="0" shapeId="0" xr:uid="{B1A9A462-638D-4AB5-BA1F-778D047231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9" authorId="0" shapeId="0" xr:uid="{AD338844-50DA-48AC-82B4-82094936D1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9" authorId="0" shapeId="0" xr:uid="{9A5B80B7-6B95-4C49-BC35-70ED8A3363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9" authorId="0" shapeId="0" xr:uid="{D9692C7B-6F44-406D-8DA5-4852261EE4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9" authorId="0" shapeId="0" xr:uid="{B03F8E2F-7F94-4B53-92F7-170025482A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9" authorId="0" shapeId="0" xr:uid="{FF106A9C-65C6-4FA1-A25A-F659A665E5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9" authorId="0" shapeId="0" xr:uid="{87CAE54F-FB52-47F2-8D4A-9EACB7E730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9" authorId="0" shapeId="0" xr:uid="{4986EA21-1718-42B1-818E-978B7BE605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9" authorId="0" shapeId="0" xr:uid="{2CC68503-443E-4218-9CB6-C563F3FF7B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9" authorId="0" shapeId="0" xr:uid="{9C4751A2-6A6E-4986-8555-1505B47066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9" authorId="0" shapeId="0" xr:uid="{1DE52CC6-8A61-4256-85AF-D8D68D02B0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9" authorId="0" shapeId="0" xr:uid="{687AF76F-11D1-4E35-8BE1-6E6FDD4DDF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9" authorId="0" shapeId="0" xr:uid="{F6D1FE36-50F3-4D52-ABA6-E995CF3828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9" authorId="0" shapeId="0" xr:uid="{1540B434-1FB7-442D-A2FA-5FE3205248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9" authorId="0" shapeId="0" xr:uid="{F83C6B3A-19DA-4A7E-9992-A47B0B83A3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9" authorId="0" shapeId="0" xr:uid="{12C910E2-34DD-4EAF-B5BA-C156AAC3DE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9" authorId="0" shapeId="0" xr:uid="{F7F8D5D2-F759-4698-80D7-041C9DC94D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9" authorId="0" shapeId="0" xr:uid="{066513E1-26AB-4F28-A42D-CE0F4F57C5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9" authorId="0" shapeId="0" xr:uid="{4E89DF06-AB57-463A-BB58-03C21741BE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9" authorId="0" shapeId="0" xr:uid="{9CC51F20-3529-4D8E-AEA1-5363E71A43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9" authorId="0" shapeId="0" xr:uid="{EE7F07D1-31E7-4F39-8A9C-9CBB16A30E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0" authorId="0" shapeId="0" xr:uid="{38A8C938-B0DB-48C3-BF1F-591C917014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0" authorId="0" shapeId="0" xr:uid="{89EB35DB-2B8F-40A8-B66A-58AB45308E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0" authorId="0" shapeId="0" xr:uid="{08163DD0-F956-45B9-AFC2-EE198F7C4B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40" authorId="0" shapeId="0" xr:uid="{3864E7E9-AF8A-4CB6-B16C-C01D4E7BB0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0" authorId="0" shapeId="0" xr:uid="{53FEE183-6B96-4DF5-8580-5F92468835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0" authorId="0" shapeId="0" xr:uid="{3A2F7A56-9CE4-415D-85AA-03C28BB9D3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0" authorId="0" shapeId="0" xr:uid="{AD4EB04A-36B3-4C14-8AD0-C585F717BD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0" authorId="0" shapeId="0" xr:uid="{6AF7DBC6-8E2F-4FAF-95DF-C92774914F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0" authorId="0" shapeId="0" xr:uid="{68AB1F03-D38E-49E4-A269-5772D46137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0" authorId="0" shapeId="0" xr:uid="{BF8147E4-8255-43B4-BF40-86147C6D43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0" authorId="0" shapeId="0" xr:uid="{8F31F14B-F58B-48E3-9812-DF1E0008AC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0" authorId="0" shapeId="0" xr:uid="{56738675-E234-4C61-BDAD-F9E36EA0E5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0" authorId="0" shapeId="0" xr:uid="{E1A30715-E0DD-4479-91BF-4B25624EFA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0" authorId="0" shapeId="0" xr:uid="{AF36CA57-6EFF-498D-9AF6-4F250E5B4C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0" authorId="0" shapeId="0" xr:uid="{D0C0C993-8769-499F-96CC-3F2CF3F775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0" authorId="0" shapeId="0" xr:uid="{84FA77D0-07E2-443C-BFA9-AC0FB3BFCE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0" authorId="0" shapeId="0" xr:uid="{AE97333A-970A-4CD5-8ECA-3E80FD7597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0" authorId="0" shapeId="0" xr:uid="{EA73AB1C-5DF1-438D-A60F-708C79F36C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0" authorId="0" shapeId="0" xr:uid="{C2AAA1C6-910E-44A4-A29D-54128DBD3E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0" authorId="0" shapeId="0" xr:uid="{7EBA0D26-D8F0-43EC-8436-102DD1C80F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0" authorId="0" shapeId="0" xr:uid="{9F4494E8-FA99-4F8B-9F9A-8DBA6C3ECF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0" authorId="0" shapeId="0" xr:uid="{1248B80C-5083-4FC3-8A71-081A99C91D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0" authorId="0" shapeId="0" xr:uid="{8F840336-4D89-482A-82BC-0C14387782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0" authorId="0" shapeId="0" xr:uid="{41B1696E-5CCB-4D71-84EF-D2A8BEC85E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0" authorId="0" shapeId="0" xr:uid="{0B1D9D97-3237-4D75-8CAE-6CA2AD7D85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40" authorId="0" shapeId="0" xr:uid="{EE1761FD-9CF5-4E53-92CB-1DE8CAB0DF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0" authorId="0" shapeId="0" xr:uid="{11599045-94A5-4CA6-AC92-8C705CA78F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0" authorId="0" shapeId="0" xr:uid="{B8F9C8A0-A344-4830-84EA-654088B185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0" authorId="0" shapeId="0" xr:uid="{DC4D5AF4-9827-4FB3-B0E5-7AC1D306EF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0" authorId="0" shapeId="0" xr:uid="{3F2C26BB-2521-4DB9-A5BB-DF49095FC3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0" authorId="0" shapeId="0" xr:uid="{661193F2-7127-4F05-B384-6DBDEC8748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0" authorId="0" shapeId="0" xr:uid="{1A11A695-DCE0-477C-91F6-6B1D7A6E2E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1" authorId="0" shapeId="0" xr:uid="{DC4BDDB6-D865-4D2D-90AE-3C37DD38EB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1" authorId="0" shapeId="0" xr:uid="{247E094F-B0D6-4E2E-9C34-221D2D4102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1" authorId="0" shapeId="0" xr:uid="{9B6B20A7-EE2E-46C0-9DE1-7033BA9F2C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1" authorId="0" shapeId="0" xr:uid="{407081C4-62AF-4B8E-9146-020072D40B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1" authorId="0" shapeId="0" xr:uid="{CFDC1727-D429-4804-9036-9595EDEF3B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1" authorId="0" shapeId="0" xr:uid="{D30A5CD3-F095-485D-8956-FF2D770725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41" authorId="0" shapeId="0" xr:uid="{A3710163-F399-4893-A607-B1AB43BA58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1" authorId="0" shapeId="0" xr:uid="{38FA85E9-6883-439C-8BFA-ED9F2AA422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1" authorId="0" shapeId="0" xr:uid="{AE99BE2D-CD84-41B0-AB23-A772DF6839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1" authorId="0" shapeId="0" xr:uid="{B1793C52-21A4-4C1B-9F67-E07206F3BD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1" authorId="0" shapeId="0" xr:uid="{DD0982DD-D4A9-48CC-BBCA-C1C3AC2123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1" authorId="0" shapeId="0" xr:uid="{E70CFAD2-A342-471C-9036-69A6E0ECD2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1" authorId="0" shapeId="0" xr:uid="{8728A682-2023-41FF-A187-80E29B3C9F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1" authorId="0" shapeId="0" xr:uid="{A3169D6B-B273-4FC3-8508-36E45D7882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1" authorId="0" shapeId="0" xr:uid="{C517E2E2-61B3-4F36-91CB-2205D27CFA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1" authorId="0" shapeId="0" xr:uid="{512DB32F-1E1D-43F3-8200-043BFE2F46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1" authorId="0" shapeId="0" xr:uid="{958A10B9-887B-4B1F-B6DD-ECF61FD0B2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1" authorId="0" shapeId="0" xr:uid="{186736DB-8802-4ECD-9948-45486A0C0E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1" authorId="0" shapeId="0" xr:uid="{DFB9941F-8A30-4760-9B2B-4E9E838CDA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1" authorId="0" shapeId="0" xr:uid="{2425565A-6633-4D69-BAFF-A3675E186C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1" authorId="0" shapeId="0" xr:uid="{A121A637-A759-460E-B965-B32CB190C4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1" authorId="0" shapeId="0" xr:uid="{F2B5642B-AF87-4E1F-8E89-6AED975518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1" authorId="0" shapeId="0" xr:uid="{805F3D39-4C19-43DB-9A13-AE406A238F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1" authorId="0" shapeId="0" xr:uid="{F581EF0B-4381-451F-9867-93320A510A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1" authorId="0" shapeId="0" xr:uid="{0BBB1992-4AB9-49AC-B816-9A944951C0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1" authorId="0" shapeId="0" xr:uid="{B8683072-295E-47C6-869D-EA05D96C6C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1" authorId="0" shapeId="0" xr:uid="{D4D527AA-F355-4BA2-9DBC-BD4C12C272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1" authorId="0" shapeId="0" xr:uid="{52AAA374-6D9E-4BE9-9222-C2BE297E36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1" authorId="0" shapeId="0" xr:uid="{62E76594-5C49-41E7-9448-EF6505C5E0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1" authorId="0" shapeId="0" xr:uid="{4B248C12-D782-4D82-9694-01AE93E599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1" authorId="0" shapeId="0" xr:uid="{D8393A1E-B6D2-49F9-A095-BCCF4A2EEF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1" authorId="0" shapeId="0" xr:uid="{EB7C56DD-4A55-45A9-90DC-243FF4D580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1" authorId="0" shapeId="0" xr:uid="{B3E0FA32-162C-459B-B4B2-45E5AEE094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1" authorId="0" shapeId="0" xr:uid="{E771D752-E479-4B6E-9675-A1BD9C921A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2" authorId="0" shapeId="0" xr:uid="{FA95EB90-93B5-49C2-81AF-9F970AA75F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2" authorId="0" shapeId="0" xr:uid="{14AA17F6-DA34-4181-A058-E8D84C962C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2" authorId="0" shapeId="0" xr:uid="{F8C1CBDB-2D50-45E9-A2CA-1F000DED73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2" authorId="0" shapeId="0" xr:uid="{091F42BB-9DE9-4B4F-AEB8-9A4B82D084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2" authorId="0" shapeId="0" xr:uid="{A820BFD5-D133-4715-8B61-AFC3E55465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2" authorId="0" shapeId="0" xr:uid="{08A2A03E-2387-4937-84CA-FE0B561CE7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2" authorId="0" shapeId="0" xr:uid="{72ACB7D9-0D1F-4DC2-B08E-259089D3B3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2" authorId="0" shapeId="0" xr:uid="{FFDEFB78-9B5B-4E97-BF97-A3B329B3D9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2" authorId="0" shapeId="0" xr:uid="{52A23135-CD2D-42DC-A173-75784ABD6D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2" authorId="0" shapeId="0" xr:uid="{4C984BCC-A3E5-49B6-AC31-142E5A9607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2" authorId="0" shapeId="0" xr:uid="{8F20034A-BDE8-4E01-80D4-3E08C6C146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2" authorId="0" shapeId="0" xr:uid="{9E09090B-2E67-4D82-BE11-1F5DF33DFB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2" authorId="0" shapeId="0" xr:uid="{339F1A8F-5D1A-43BE-818E-3E0EBD38BE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2" authorId="0" shapeId="0" xr:uid="{07C3DBE5-C8CA-45A5-8A1E-81FACC4E68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2" authorId="0" shapeId="0" xr:uid="{5224FB9B-23F8-4E01-840B-4DD2A609B9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2" authorId="0" shapeId="0" xr:uid="{77537D42-1DDE-4C36-A7E0-6ED18773CE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2" authorId="0" shapeId="0" xr:uid="{4B646D7E-A3D8-48B9-9DEC-17FE495A82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2" authorId="0" shapeId="0" xr:uid="{2211DF02-B545-408A-88E4-1265521398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2" authorId="0" shapeId="0" xr:uid="{9DC6DDE5-83FC-4858-BFB7-A9CBFEB70C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2" authorId="0" shapeId="0" xr:uid="{238C5282-4BEB-4079-AB05-0FD6E88D15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2" authorId="0" shapeId="0" xr:uid="{B9EE343E-9359-4536-B0B9-06327F8281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2" authorId="0" shapeId="0" xr:uid="{552ECC6E-D2C6-46B1-88C5-A186A09CE5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2" authorId="0" shapeId="0" xr:uid="{6D372D6E-FCD5-4873-98D0-258843825C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2" authorId="0" shapeId="0" xr:uid="{1CA3A32D-F9E2-4174-94A3-D84EC1A697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2" authorId="0" shapeId="0" xr:uid="{7A492ECE-8BAE-484E-9BB4-3426E3504E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2" authorId="0" shapeId="0" xr:uid="{EA9047CD-71B8-42A2-9C29-D876C5A9BE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2" authorId="0" shapeId="0" xr:uid="{516625BA-040C-4C51-82BA-BB60254887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2" authorId="0" shapeId="0" xr:uid="{3F5CDFC7-70E1-44D2-816E-6688BF8E08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2" authorId="0" shapeId="0" xr:uid="{8D029697-FB68-4392-9083-5E34852975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2" authorId="0" shapeId="0" xr:uid="{B6CA3B36-AE6F-408A-9D3C-2BC24BA396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3" authorId="0" shapeId="0" xr:uid="{9F2ACF23-437D-4FB0-9038-BFAD76DB5C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3" authorId="0" shapeId="0" xr:uid="{D5598351-C1DD-4742-BB52-08E348CEF7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3" authorId="0" shapeId="0" xr:uid="{45F2F5CB-2ACD-4EDF-9F17-4013B1DD21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3" authorId="0" shapeId="0" xr:uid="{09510508-7E44-4873-A9B6-B9B1E6A529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3" authorId="0" shapeId="0" xr:uid="{0D85971E-5379-4FE0-8AD2-8E5906EE58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3" authorId="0" shapeId="0" xr:uid="{19547E6B-C764-4F2C-95FF-96C46616FF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3" authorId="0" shapeId="0" xr:uid="{ADBC184E-E906-44B9-88A4-DDAD4524DB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3" authorId="0" shapeId="0" xr:uid="{51DF919E-EAE6-462A-93AA-CEE8E3DBD8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3" authorId="0" shapeId="0" xr:uid="{0EC0B9C5-4C03-44FC-8F58-ADD428D9EF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3" authorId="0" shapeId="0" xr:uid="{20A11632-3E87-4336-9E42-521CBE13E3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43" authorId="0" shapeId="0" xr:uid="{BB8ADE6D-C6FC-4FF1-B1BB-1BB0C3B9EA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3" authorId="0" shapeId="0" xr:uid="{0AB84F6C-F9FB-462D-A2A7-67ECCAB584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3" authorId="0" shapeId="0" xr:uid="{6DC1FE34-78BD-48EC-90DB-0FC2DCDC32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3" authorId="0" shapeId="0" xr:uid="{8D5D34D2-DF47-4646-BFBD-7599DC7797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3" authorId="0" shapeId="0" xr:uid="{E9E3DCB8-6A9B-4852-8B35-AA386D351D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3" authorId="0" shapeId="0" xr:uid="{3B6FDC49-3042-4BB6-AED5-67A201FDDF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3" authorId="0" shapeId="0" xr:uid="{A58CAA39-3E09-4B6C-9C77-2144F97322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3" authorId="0" shapeId="0" xr:uid="{128472CF-E7E2-4D73-B781-4F7741424B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3" authorId="0" shapeId="0" xr:uid="{970494B0-A2C3-4602-9021-CE34DFE487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3" authorId="0" shapeId="0" xr:uid="{09E06C1D-8A4A-45AC-AF95-D2CE7B734B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3" authorId="0" shapeId="0" xr:uid="{D0F133C1-9406-4F4F-95A4-E287DF0392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3" authorId="0" shapeId="0" xr:uid="{0486641A-087A-4DBE-9FD1-E7D24EE5E5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3" authorId="0" shapeId="0" xr:uid="{F40CC4D2-D467-4E11-8C46-D5134563DB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3" authorId="0" shapeId="0" xr:uid="{77F0C5FA-A318-4E9F-9FD0-6A6305C261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3" authorId="0" shapeId="0" xr:uid="{39B08D5C-932B-4486-B5BE-7940EDE932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3" authorId="0" shapeId="0" xr:uid="{EF8B2873-B4A5-4A72-AD13-0045E54BFC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3" authorId="0" shapeId="0" xr:uid="{B26A7DAD-97F6-44AE-AE25-41803880EE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3" authorId="0" shapeId="0" xr:uid="{B9064AB8-F117-45C8-9243-2E732CBDE4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3" authorId="0" shapeId="0" xr:uid="{FCF76DC3-2F29-4834-BA9F-B447BEE80B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3" authorId="0" shapeId="0" xr:uid="{7063F064-F212-4E33-97F3-08D01C4A1D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3" authorId="0" shapeId="0" xr:uid="{AFCF7409-F2B5-42D9-8325-7AAD9024A9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3" authorId="0" shapeId="0" xr:uid="{091DF432-88E8-40EA-BA22-BBBC40BCE2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3" authorId="0" shapeId="0" xr:uid="{30AE8E43-F8A0-4112-B3CB-7E57C15832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4" authorId="0" shapeId="0" xr:uid="{BFB29D38-F115-4F17-8364-F36EC02111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4" authorId="0" shapeId="0" xr:uid="{9041E813-1EA1-47B7-99EB-89013CE058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44" authorId="0" shapeId="0" xr:uid="{A9C7039D-2874-46FE-A035-DE5A316960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4" authorId="0" shapeId="0" xr:uid="{2731E3F1-8463-4F4A-BC73-BA69B4EABE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4" authorId="0" shapeId="0" xr:uid="{58F3C722-2970-492A-ABCF-03E7BF391E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H44" authorId="0" shapeId="0" xr:uid="{C723B156-9E5B-4C55-89AF-A651353CE8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4" authorId="0" shapeId="0" xr:uid="{3724539E-993F-4644-BE72-5E00B100D8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44" authorId="0" shapeId="0" xr:uid="{00D52602-12F2-4857-941F-4E095DFEEA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4" authorId="0" shapeId="0" xr:uid="{E8593A72-8947-43E9-9550-09DBDB2003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4" authorId="0" shapeId="0" xr:uid="{B25A0395-9D7F-4594-B9EA-868CD088A3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A44" authorId="0" shapeId="0" xr:uid="{B6C3E7A4-4A15-42F4-9AEF-C2657755E0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4" authorId="0" shapeId="0" xr:uid="{236FADF9-688E-4ED8-AD47-5BB1C1FD12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4" authorId="0" shapeId="0" xr:uid="{99B3143C-80BB-4A79-A503-51904ED3C8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4" authorId="0" shapeId="0" xr:uid="{5ECAA2B3-97DD-48FE-9621-FEFA6FB5B2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4" authorId="0" shapeId="0" xr:uid="{793DBBFC-EC9A-463B-80A2-E273A0F8A5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4" authorId="0" shapeId="0" xr:uid="{8C6AA88E-69C2-41E4-9083-3A871BD080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44" authorId="0" shapeId="0" xr:uid="{9454D376-C5A3-4ADF-9A7B-A5C3D9648A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4" authorId="0" shapeId="0" xr:uid="{766B9CCC-DED7-4154-99DF-FC16722D21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4" authorId="0" shapeId="0" xr:uid="{B0B034F1-1F0C-4559-9201-E09BBB4CCF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4" authorId="0" shapeId="0" xr:uid="{454BD0E6-BA76-471F-9F40-0F847CB5E4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4" authorId="0" shapeId="0" xr:uid="{B788D316-444B-4D3A-9F4E-8234705CC5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4" authorId="0" shapeId="0" xr:uid="{21472405-3339-4F7B-AA9C-3ECF67F644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4" authorId="0" shapeId="0" xr:uid="{87F808A0-CE68-4B37-81E3-E1185131C1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4" authorId="0" shapeId="0" xr:uid="{CD4F4B61-7433-461D-AEF1-3BC2E85876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4" authorId="0" shapeId="0" xr:uid="{67E26AED-11A3-41CA-A0FF-49B248B259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4" authorId="0" shapeId="0" xr:uid="{28DBC46F-A38E-4E1B-B8F9-B9B5DC308B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4" authorId="0" shapeId="0" xr:uid="{55F767CE-0264-468C-B57C-FF760080B2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4" authorId="0" shapeId="0" xr:uid="{49EC4B6C-FB26-49AA-B15B-41BFECA0FD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4" authorId="0" shapeId="0" xr:uid="{E3CE7044-DE48-49D6-BF92-BBD4F2177A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4" authorId="0" shapeId="0" xr:uid="{963EBB74-633A-43CC-8000-B2DC2299C9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4" authorId="0" shapeId="0" xr:uid="{80D1D504-85CD-4540-A6CB-CB8457E492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4" authorId="0" shapeId="0" xr:uid="{D5EC0553-DF7C-434B-98FC-0BF622604E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4" authorId="0" shapeId="0" xr:uid="{4FDE34DA-13F2-4D21-95D8-B876B2A177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4" authorId="0" shapeId="0" xr:uid="{6058D2E6-AE3F-4A44-9C9C-00A181038E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4" authorId="0" shapeId="0" xr:uid="{D0B32FC5-4774-438B-B36E-68E945ACAF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4" authorId="0" shapeId="0" xr:uid="{FD1B6C01-19F4-4C34-8BCA-B2539CF80A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4" authorId="0" shapeId="0" xr:uid="{4954BFE7-38B3-46B5-8E44-8BD4EA0078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4" authorId="0" shapeId="0" xr:uid="{D175D451-9A2F-496A-BAB1-7554928156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5" authorId="0" shapeId="0" xr:uid="{64E0C417-6CAF-4964-BDB6-89FB263909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5" authorId="0" shapeId="0" xr:uid="{99E2CE82-E08F-4A0C-B4D8-F1295B9D70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45" authorId="0" shapeId="0" xr:uid="{FBD29269-73CF-45CD-B28E-610E3F7212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5" authorId="0" shapeId="0" xr:uid="{2347C8A0-2B70-459B-94D0-EB6DDC1774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5" authorId="0" shapeId="0" xr:uid="{A9D576AB-23EC-425D-88D8-4DF1D1D53A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5" authorId="0" shapeId="0" xr:uid="{A75D93DF-BFC4-4B1B-914F-EF57A73CA2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5" authorId="0" shapeId="0" xr:uid="{D1F68E10-A754-4737-BFF2-BCA9438509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5" authorId="0" shapeId="0" xr:uid="{41E6B0A8-ECB2-49C2-BE9F-B3AA1641ED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5" authorId="0" shapeId="0" xr:uid="{5AC8250E-A138-4C1D-AB9E-0E1DCB3196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5" authorId="0" shapeId="0" xr:uid="{2455570D-7F88-4F55-A879-6BE92EE4B3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5" authorId="0" shapeId="0" xr:uid="{DD5E152B-7385-4F8C-81CA-E330E2976F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5" authorId="0" shapeId="0" xr:uid="{E4520D29-6050-4B11-AC19-EEAFE568B9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5" authorId="0" shapeId="0" xr:uid="{F1ACDEA1-2ABF-4FC6-8F97-DF58954CF6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5" authorId="0" shapeId="0" xr:uid="{F1276138-9E97-4615-BC42-FFA38E85DF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5" authorId="0" shapeId="0" xr:uid="{A26E73E1-57FC-42A2-9FD6-A5DE1D0595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5" authorId="0" shapeId="0" xr:uid="{F673420E-E0FB-4238-B2AE-8275D76127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5" authorId="0" shapeId="0" xr:uid="{CD18C1F7-5BC0-462A-8F29-DCCCE33DAD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5" authorId="0" shapeId="0" xr:uid="{81686272-BA8F-4B23-8C61-74B9F41C6A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5" authorId="0" shapeId="0" xr:uid="{F762610D-D2EC-4E11-927D-4BDD9EDF10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5" authorId="0" shapeId="0" xr:uid="{2BD82E44-1AB8-4A3D-B5A2-BF1007313D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5" authorId="0" shapeId="0" xr:uid="{77455FA7-072F-4618-9885-54135A8DD1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5" authorId="0" shapeId="0" xr:uid="{4ADC30C0-8263-453A-A659-B5288CCA19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5" authorId="0" shapeId="0" xr:uid="{B51E7D28-4984-4BB1-A014-9052BE2586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5" authorId="0" shapeId="0" xr:uid="{0D3F37CB-493E-4927-B1E0-6EEA6C2902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5" authorId="0" shapeId="0" xr:uid="{ED778A19-792D-4DF1-91B3-38F915CE6E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5" authorId="0" shapeId="0" xr:uid="{085A1B94-F962-4AAA-8907-B283B02098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5" authorId="0" shapeId="0" xr:uid="{B1E1D625-42C3-4D7E-9F78-F7CDB8D30B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5" authorId="0" shapeId="0" xr:uid="{F15785D7-1E42-4661-ABEA-E7D71AA886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5" authorId="0" shapeId="0" xr:uid="{680BF4BE-B578-49D8-BD6B-8A9F4F02EC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5" authorId="0" shapeId="0" xr:uid="{5FC0E18B-392F-4521-905F-4DED40125E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5" authorId="0" shapeId="0" xr:uid="{D57DE7D3-4C97-4C71-97E9-93F26F97AB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6" authorId="0" shapeId="0" xr:uid="{352CABA6-7883-4C1D-BE1F-131D35BCCC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6" authorId="0" shapeId="0" xr:uid="{E1FD1F75-94C3-49C4-9F57-D3B2BD4C0D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6" authorId="0" shapeId="0" xr:uid="{3085ABDF-7842-4486-85B2-2381203A81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6" authorId="0" shapeId="0" xr:uid="{FEDC4FC5-F437-4BB2-ABA1-F3302C9B58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6" authorId="0" shapeId="0" xr:uid="{4DC8D5DB-0800-46E2-94D1-B17F236AD0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6" authorId="0" shapeId="0" xr:uid="{46F31702-ACF1-47A2-B3E5-4E47CDA7E1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6" authorId="0" shapeId="0" xr:uid="{56173FDA-64B4-498D-B087-8B0F9EF62B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6" authorId="0" shapeId="0" xr:uid="{34BF8A8D-3AD1-4EC0-AA72-7FA0ED61BE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6" authorId="0" shapeId="0" xr:uid="{E3400EB8-C996-4A57-86F0-56264C71D7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6" authorId="0" shapeId="0" xr:uid="{6F9365FD-6BD2-4F16-B1F3-B41AE24F47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6" authorId="0" shapeId="0" xr:uid="{46744569-3EBB-411F-BFF2-8BE432CCB0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6" authorId="0" shapeId="0" xr:uid="{4A0D2801-BA16-4CC2-A863-F42F648AA4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6" authorId="0" shapeId="0" xr:uid="{9292AE59-027E-44AE-AA79-98219A103F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6" authorId="0" shapeId="0" xr:uid="{07348942-319D-4BF4-8CEC-BA8044135E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6" authorId="0" shapeId="0" xr:uid="{19CBA370-75C3-4B15-A205-A1D5587C60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6" authorId="0" shapeId="0" xr:uid="{520A0DA1-E200-49A5-BF3F-1988A2538E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6" authorId="0" shapeId="0" xr:uid="{2871D1A7-E47F-482C-85BF-7DAC98786C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6" authorId="0" shapeId="0" xr:uid="{806A5E73-6EEC-4EF9-8EBC-CE9EFB3024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6" authorId="0" shapeId="0" xr:uid="{318425EC-F4FE-44D5-852E-CC4765613F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6" authorId="0" shapeId="0" xr:uid="{442BCA90-2410-41B7-968B-C18B006740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6" authorId="0" shapeId="0" xr:uid="{7FF6A5AE-25EE-4E02-83B9-1D37530993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6" authorId="0" shapeId="0" xr:uid="{B8B6D474-E091-48A2-BE1B-E11D58DAEF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6" authorId="0" shapeId="0" xr:uid="{9F893024-477E-4579-8B55-3BE8027033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46" authorId="0" shapeId="0" xr:uid="{01F33320-62C2-4ED3-83E3-606205381D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6" authorId="0" shapeId="0" xr:uid="{B79998B9-8350-4333-9DD0-335948E0D4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6" authorId="0" shapeId="0" xr:uid="{D281B268-DAF8-4321-A09F-D56124E073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6" authorId="0" shapeId="0" xr:uid="{608C7858-3EE3-4906-BF3A-4D4A6B180A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6" authorId="0" shapeId="0" xr:uid="{24E7A05F-28D1-4342-B247-FCB62D5AA5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6" authorId="0" shapeId="0" xr:uid="{5848D091-7DEB-46AE-8CF1-1193250FE5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6" authorId="0" shapeId="0" xr:uid="{0F401784-7441-43AF-BC1D-C0CBB31D9E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6" authorId="0" shapeId="0" xr:uid="{4515BA68-420F-4DB2-AF09-EA65D071B3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7" authorId="0" shapeId="0" xr:uid="{9D745541-2A87-4E4C-9B99-4AC9829754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7" authorId="0" shapeId="0" xr:uid="{8AF0FF22-6CB7-4D15-94CC-976283B7E5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7" authorId="0" shapeId="0" xr:uid="{4A6A431E-BB97-49E7-8FC4-4EEAF87602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7" authorId="0" shapeId="0" xr:uid="{63F2F7FD-06F1-4CCA-B73F-6729EDFFF6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7" authorId="0" shapeId="0" xr:uid="{A00B7DBE-886B-43A4-B79D-501C3A759F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7" authorId="0" shapeId="0" xr:uid="{163AA696-152C-4AD8-98A5-A625100368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7" authorId="0" shapeId="0" xr:uid="{2A15D4BB-9888-4497-A154-185BBEFFD1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7" authorId="0" shapeId="0" xr:uid="{C57402F0-04C7-4BCF-A5E1-F4FA2A8597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47" authorId="0" shapeId="0" xr:uid="{EAD1074A-2676-4B06-8994-C4EBFC874D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7" authorId="0" shapeId="0" xr:uid="{BEE8C8AF-2C9E-4701-B52E-029AEEE9FD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7" authorId="0" shapeId="0" xr:uid="{DDD195DE-7E46-404C-BCCB-8762CAD8F7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7" authorId="0" shapeId="0" xr:uid="{4A7DC397-B948-43DC-BAF8-A33BFCDCFA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7" authorId="0" shapeId="0" xr:uid="{EF99ED33-03A9-4295-BF58-16BA88318B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7" authorId="0" shapeId="0" xr:uid="{302BD0B5-7926-4648-A47B-984F885220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7" authorId="0" shapeId="0" xr:uid="{2C3A0C45-DFA2-4659-B889-448640FFBE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7" authorId="0" shapeId="0" xr:uid="{9514C34E-CBB1-485E-A23D-77528AA571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7" authorId="0" shapeId="0" xr:uid="{1C5C01F8-9CA9-470D-86AB-61EB056570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7" authorId="0" shapeId="0" xr:uid="{4BACDD79-C5B4-48A7-9651-0413B18BB8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7" authorId="0" shapeId="0" xr:uid="{9CC5E01F-2A81-41CA-A2BE-1C1F2224E0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7" authorId="0" shapeId="0" xr:uid="{2034ED87-F0D1-43C9-831E-E13F68CDD6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7" authorId="0" shapeId="0" xr:uid="{477EC7E6-CF26-4FF4-BD76-FC904973B0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7" authorId="0" shapeId="0" xr:uid="{5612D5A3-6EFE-4843-822F-81BA7DA4EC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7" authorId="0" shapeId="0" xr:uid="{C348A5CA-1874-4E54-AD7B-1347D72279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7" authorId="0" shapeId="0" xr:uid="{C556607A-7AAF-4AA8-B12C-9D5A217FB1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7" authorId="0" shapeId="0" xr:uid="{6B0B0A02-199F-4C3F-A141-6375DF0A4A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7" authorId="0" shapeId="0" xr:uid="{4AA8E419-B171-4C8B-809A-6D22ABECDB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7" authorId="0" shapeId="0" xr:uid="{502675D3-09B9-462B-A1BD-77E2056613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7" authorId="0" shapeId="0" xr:uid="{6F94B532-7F1D-4A10-A9B4-0AD6D55013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7" authorId="0" shapeId="0" xr:uid="{D6178437-ED7A-496A-9CAD-D817C502C5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7" authorId="0" shapeId="0" xr:uid="{A35762A0-3CBD-49E2-8A9F-AE8F05BF0B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7" authorId="0" shapeId="0" xr:uid="{F72E2E9E-81E1-4FD7-823C-56646E16C3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7" authorId="0" shapeId="0" xr:uid="{F93011A3-C1D1-46D1-86D5-0FEE9F548D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7" authorId="0" shapeId="0" xr:uid="{B6BC8E14-4C1F-4DD6-A9AA-F36FE23808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7" authorId="0" shapeId="0" xr:uid="{4080EFC8-AE05-4814-8026-A76797238F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8" authorId="0" shapeId="0" xr:uid="{CDFC8572-6B5E-499C-92BF-5576F114E2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8" authorId="0" shapeId="0" xr:uid="{966398DA-2206-46D6-8500-1313E90223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8" authorId="0" shapeId="0" xr:uid="{8F63E2C3-F0E7-40D5-8248-8096299F57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8" authorId="0" shapeId="0" xr:uid="{C2A59EBE-6CDE-4B99-80D4-867DDE53D7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8" authorId="0" shapeId="0" xr:uid="{4ABCC4C5-F1B6-478E-8CC7-3B219D7072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8" authorId="0" shapeId="0" xr:uid="{3704EC1C-4D83-48A2-844C-5775436D1C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8" authorId="0" shapeId="0" xr:uid="{B4A09D7C-455E-4616-8410-68A155C83D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8" authorId="0" shapeId="0" xr:uid="{88DEBDCA-3D39-47B2-9290-5473B3C34B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8" authorId="0" shapeId="0" xr:uid="{E838692E-912F-42A8-885F-9618E78D62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8" authorId="0" shapeId="0" xr:uid="{E78291FD-172B-4455-BC9A-24239BF7D3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8" authorId="0" shapeId="0" xr:uid="{A24379E7-25DD-4374-94E3-8AE2C70620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8" authorId="0" shapeId="0" xr:uid="{2227E8B5-B3DB-43A9-97C2-7C32CE7FDE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8" authorId="0" shapeId="0" xr:uid="{89C25810-F737-4EAE-9FEB-F88A0446F6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8" authorId="0" shapeId="0" xr:uid="{DDAE3346-1286-47B3-AFF5-8F08C60BC3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8" authorId="0" shapeId="0" xr:uid="{7ABF84A9-B4E6-4E6E-9E9A-5971F35A3C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8" authorId="0" shapeId="0" xr:uid="{D0702384-0321-438F-874E-8063A463B9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8" authorId="0" shapeId="0" xr:uid="{98915355-2405-4764-8B97-E76BB42E8B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8" authorId="0" shapeId="0" xr:uid="{70D45A9E-A514-490A-8292-6633F7ABBD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8" authorId="0" shapeId="0" xr:uid="{4CFF7D63-38CE-4FEB-8A88-0BAB9ACCA2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8" authorId="0" shapeId="0" xr:uid="{C0C9766B-8D66-429E-A16A-5A4AB69B50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8" authorId="0" shapeId="0" xr:uid="{F3E25DC8-AE62-491A-A8C5-5CBD998E25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8" authorId="0" shapeId="0" xr:uid="{CC2934F6-0C09-4859-B17B-1A6071D882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8" authorId="0" shapeId="0" xr:uid="{4236D497-0CD6-4EAB-B211-439B87135E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8" authorId="0" shapeId="0" xr:uid="{F5498959-9340-40BD-A987-2E02D5D901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8" authorId="0" shapeId="0" xr:uid="{9B1C912E-59D9-47FB-B182-81DA29A984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8" authorId="0" shapeId="0" xr:uid="{02A8A3A1-7196-4C16-B1F8-AAF3DA1557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8" authorId="0" shapeId="0" xr:uid="{EEA28DF7-26E7-4E28-A3D5-6E56E4663D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8" authorId="0" shapeId="0" xr:uid="{53CD8B68-BB66-491F-A76C-01F5A53A72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9" authorId="0" shapeId="0" xr:uid="{38F36D61-9CAA-4D38-8489-3006AF508F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9" authorId="0" shapeId="0" xr:uid="{31AB7365-B099-4007-921D-42B5033D2C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9" authorId="0" shapeId="0" xr:uid="{A91D737B-629F-4DF7-B6E0-C3E2F652B3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9" authorId="0" shapeId="0" xr:uid="{882A249B-8EE6-43BD-8ECD-5FC122827F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9" authorId="0" shapeId="0" xr:uid="{BEABF7C2-055F-4307-A90A-8031278BF3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9" authorId="0" shapeId="0" xr:uid="{599A2971-6DB8-415C-A885-8F4B602C91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9" authorId="0" shapeId="0" xr:uid="{7C0E6EF1-D589-4F6B-A6D2-F2AEED2D0D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9" authorId="0" shapeId="0" xr:uid="{FD398563-992F-4AB1-B4D4-6E43596A98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9" authorId="0" shapeId="0" xr:uid="{9B7F8606-4C25-4601-A8E7-28D6D0F8E6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9" authorId="0" shapeId="0" xr:uid="{E33B7D94-A56C-417D-A87B-3EFBEDD9E6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9" authorId="0" shapeId="0" xr:uid="{8CBBB567-F35D-41D4-AB69-F2FD3A7A9E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9" authorId="0" shapeId="0" xr:uid="{3743A8DE-42ED-4D43-A6FD-6BD71014F2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9" authorId="0" shapeId="0" xr:uid="{74E89B8E-AA02-4908-899E-3D8B63D189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9" authorId="0" shapeId="0" xr:uid="{1CEAAB3C-4BEB-4ACF-80B6-A579339089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9" authorId="0" shapeId="0" xr:uid="{58C4E560-50AF-45A4-88B7-C7302B3886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9" authorId="0" shapeId="0" xr:uid="{1153B25B-F24D-48F8-A0D6-76A1EB514A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9" authorId="0" shapeId="0" xr:uid="{A8E94AAB-8912-468C-9BCA-7AD321A06D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9" authorId="0" shapeId="0" xr:uid="{75FFA093-0323-466E-88D6-6CE4A9954B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9" authorId="0" shapeId="0" xr:uid="{EF12E479-880A-47EC-A7F5-9B3DD8DEDF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9" authorId="0" shapeId="0" xr:uid="{04869C50-5ACA-4BBF-886E-7F0B690703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9" authorId="0" shapeId="0" xr:uid="{0F372FCE-1BD1-4EBE-896A-6D35186AAD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9" authorId="0" shapeId="0" xr:uid="{06D07D68-654F-4703-BB50-C72D2D0EAB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9" authorId="0" shapeId="0" xr:uid="{5E418A0A-65D3-49B0-9E27-6606E91191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9" authorId="0" shapeId="0" xr:uid="{D8037D8B-2097-4EFD-B1A1-1742ADDE31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9" authorId="0" shapeId="0" xr:uid="{2CF8ABE6-1EB4-4B1D-925F-BA077548CB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9" authorId="0" shapeId="0" xr:uid="{B26C4DCE-A123-4E23-A46D-10906677F3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9" authorId="0" shapeId="0" xr:uid="{6CD90722-279F-4D6E-B305-C9FBAA8DD8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9" authorId="0" shapeId="0" xr:uid="{593AF52D-6E8F-4E8B-9082-3C0A15003D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9" authorId="0" shapeId="0" xr:uid="{87BE3708-2A25-411D-A28B-F23CF3F5B6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9" authorId="0" shapeId="0" xr:uid="{C4B277B2-1C74-4C04-9064-EF226FE3AD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9" authorId="0" shapeId="0" xr:uid="{DE1DAC69-9D84-4AE9-89DE-58990585ED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9" authorId="0" shapeId="0" xr:uid="{F18FCF39-BBAC-4E64-9843-31347660CB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9" authorId="0" shapeId="0" xr:uid="{2E7FA077-C805-40D2-A89B-1BD775B47B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9" authorId="0" shapeId="0" xr:uid="{40428C23-8165-4A07-AFBB-C4347FD1CD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9" authorId="0" shapeId="0" xr:uid="{05278071-98C9-481A-BA56-107ADA464A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0" authorId="0" shapeId="0" xr:uid="{73E84627-34A0-426B-9948-98B11169F5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0" authorId="0" shapeId="0" xr:uid="{504E9E0E-AA3B-4C86-A7AD-8125ED194F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50" authorId="0" shapeId="0" xr:uid="{D3326807-00AB-47D6-8545-DCDC5A68F8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50" authorId="0" shapeId="0" xr:uid="{B865BA3E-96DD-43A1-80C8-5A2D68DBD7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0" authorId="0" shapeId="0" xr:uid="{02BDA96B-5DA5-4878-A60D-B41F21F957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0" authorId="0" shapeId="0" xr:uid="{83666566-D4B5-4546-AD33-FAA416B86C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H50" authorId="0" shapeId="0" xr:uid="{65C90314-10C6-4874-97FE-CB319B29D9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0" authorId="0" shapeId="0" xr:uid="{015557A5-C949-40DD-B9AB-990D03B908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0" authorId="0" shapeId="0" xr:uid="{992E9676-3959-4971-B194-E75219FAE8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0" authorId="0" shapeId="0" xr:uid="{135A7121-5940-47B0-96F6-B8465E7779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0" authorId="0" shapeId="0" xr:uid="{FAFA2856-49F7-48FA-8C8A-33584C773B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0" authorId="0" shapeId="0" xr:uid="{4B88AA84-61D8-4C3B-8E79-BC0525247E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0" authorId="0" shapeId="0" xr:uid="{398222EF-578A-425F-A71C-2E92C085B2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0" authorId="0" shapeId="0" xr:uid="{6218C9C9-3878-4E24-9484-905CF0E215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0" authorId="0" shapeId="0" xr:uid="{4465FBB4-259F-4E00-8B44-8FDCD94051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0" authorId="0" shapeId="0" xr:uid="{197D7C22-A861-4942-8D42-132180455E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0" authorId="0" shapeId="0" xr:uid="{614AF9DF-BA7D-4F2A-9B94-FF9BB695D1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0" authorId="0" shapeId="0" xr:uid="{A4999F7E-435E-4621-BB01-C195EBC0B6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0" authorId="0" shapeId="0" xr:uid="{A8C93EEC-9D50-4ACE-8ACA-A8EC0D30AF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0" authorId="0" shapeId="0" xr:uid="{A136D3EE-6671-4A53-B9E1-1B25102229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0" authorId="0" shapeId="0" xr:uid="{B35A8847-204D-4529-A395-12DC6EF521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0" authorId="0" shapeId="0" xr:uid="{4210A29B-5ACB-4338-985E-F9F41F99CA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0" authorId="0" shapeId="0" xr:uid="{F0B7B343-BE95-4601-BB5A-DFA810B0A1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0" authorId="0" shapeId="0" xr:uid="{25D3B6ED-9EE2-454C-836C-11ADDDA363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0" authorId="0" shapeId="0" xr:uid="{058BE0F5-2463-41E7-ABD4-5361F5A3FE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0" authorId="0" shapeId="0" xr:uid="{8DDDACA0-6D2E-421B-A626-133CF7FA70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0" authorId="0" shapeId="0" xr:uid="{702B3F25-8A14-4D5B-99E0-F0ABA0EC96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0" authorId="0" shapeId="0" xr:uid="{68FBAABF-E646-4374-BFE5-DD81324F36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0" authorId="0" shapeId="0" xr:uid="{8BA88020-5508-4B98-B3FC-23292835E6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0" authorId="0" shapeId="0" xr:uid="{FA662469-2BD9-43D0-9192-8B6D7D44C8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0" authorId="0" shapeId="0" xr:uid="{D1C61701-21CB-4B00-8F4A-82710D224A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1" authorId="0" shapeId="0" xr:uid="{69756443-2418-4CDB-84FD-FE2996BD5F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1" authorId="0" shapeId="0" xr:uid="{9A0923A8-5302-4FC7-BB9D-DD59DA8572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1" authorId="0" shapeId="0" xr:uid="{8088F915-4D2A-4A9F-ACE2-768B8B7C0C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1" authorId="0" shapeId="0" xr:uid="{806A9FDD-4879-4CA5-856B-C7F900218C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1" authorId="0" shapeId="0" xr:uid="{1EA12EDD-556C-43A2-B1B8-9E07F3FFC7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1" authorId="0" shapeId="0" xr:uid="{22BD8F96-FAF1-4191-8D23-91CD45689B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1" authorId="0" shapeId="0" xr:uid="{4DE2FBBC-2A42-4C05-83AB-E964DF3560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1" authorId="0" shapeId="0" xr:uid="{7A1C94C2-F2AD-40CB-8852-7E95907450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1" authorId="0" shapeId="0" xr:uid="{E948B10D-460A-4B21-84A5-6757293661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1" authorId="0" shapeId="0" xr:uid="{67387935-C8C9-4731-9690-2090957739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1" authorId="0" shapeId="0" xr:uid="{6626C832-48C2-49D4-934F-6F32CC935A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1" authorId="0" shapeId="0" xr:uid="{F394DA1B-03BF-4736-858A-90FC5B5400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1" authorId="0" shapeId="0" xr:uid="{989D4565-6D25-4853-96A1-3E82201A6F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1" authorId="0" shapeId="0" xr:uid="{4AACFC69-FCB2-478F-8048-805142670D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1" authorId="0" shapeId="0" xr:uid="{E9A89FAF-27F3-4EAF-94DE-5A525083D6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1" authorId="0" shapeId="0" xr:uid="{0B57F96B-283C-4C71-A90E-4C25D825A9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1" authorId="0" shapeId="0" xr:uid="{17D9059A-488C-4807-9762-7B87EFD580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1" authorId="0" shapeId="0" xr:uid="{725E613D-6E51-45E2-A6EC-78F6017FF2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1" authorId="0" shapeId="0" xr:uid="{8A957CEE-C74C-4C6B-B27A-448B544A8E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1" authorId="0" shapeId="0" xr:uid="{B0553CD8-6064-4B03-89CE-DC3B5C0E85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1" authorId="0" shapeId="0" xr:uid="{030BEFAE-C620-416A-BBF9-55FC46435F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1" authorId="0" shapeId="0" xr:uid="{278C9354-AB9E-4D97-82BB-579EF7BA47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1" authorId="0" shapeId="0" xr:uid="{C197AC4F-BD87-44F1-9E66-7BB29A5BD3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51" authorId="0" shapeId="0" xr:uid="{F9110D5B-F42F-47C1-8127-F2B463D629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1" authorId="0" shapeId="0" xr:uid="{9A1AEFE5-18BF-4EF3-9A3C-06DF542D58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1" authorId="0" shapeId="0" xr:uid="{DFC712F7-48CB-47A9-B0BF-615BA83E00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1" authorId="0" shapeId="0" xr:uid="{436BCF05-15B6-48FB-8834-09670934A9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1" authorId="0" shapeId="0" xr:uid="{E47183B2-488C-4CA3-8734-B574714DFF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1" authorId="0" shapeId="0" xr:uid="{22C56028-42E1-4231-80FB-6D73AAB62C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1" authorId="0" shapeId="0" xr:uid="{E1C0A3F3-5CDA-4CF4-8A78-14CDDC8B92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1" authorId="0" shapeId="0" xr:uid="{58544628-AC26-4059-AEA2-826E447C5D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1" authorId="0" shapeId="0" xr:uid="{A049FE07-71A5-40C1-86DF-1C743CC4A2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2" authorId="0" shapeId="0" xr:uid="{C9D2E10C-F9F6-4A20-BF03-5A87BEA886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2" authorId="0" shapeId="0" xr:uid="{C3A43167-90EC-4590-911E-878AD876F6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2" authorId="0" shapeId="0" xr:uid="{DB4B2B77-C73A-46C7-A066-1AB87BBC15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2" authorId="0" shapeId="0" xr:uid="{A2ADC157-DC1D-40C5-9E90-62B0B07CE3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2" authorId="0" shapeId="0" xr:uid="{2FD090ED-BDF7-4241-A4E4-08B02359FD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2" authorId="0" shapeId="0" xr:uid="{D950D7E5-4A4D-43E6-B170-9A23CF7327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2" authorId="0" shapeId="0" xr:uid="{A44E5262-A664-4C45-AD03-DC6F88D50B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2" authorId="0" shapeId="0" xr:uid="{5B3BE601-ADFA-4F1D-A1DB-F08A5ECDFC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2" authorId="0" shapeId="0" xr:uid="{1EF371BF-1154-4742-9308-200CE98CFD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2" authorId="0" shapeId="0" xr:uid="{DD8BAE8B-B32D-463F-8531-FA4EEF3B71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2" authorId="0" shapeId="0" xr:uid="{AF46DFC0-EBA2-4C80-AFE1-3BBC97F1C4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2" authorId="0" shapeId="0" xr:uid="{EC661616-9385-4BAA-A70F-C3C07FD711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2" authorId="0" shapeId="0" xr:uid="{020373D8-CC4D-4845-985E-C48F92A565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2" authorId="0" shapeId="0" xr:uid="{4D85FA33-DF05-4D9D-B903-5F19C3FA6D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2" authorId="0" shapeId="0" xr:uid="{5438AEC5-BE91-4137-9A97-E4C365727F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2" authorId="0" shapeId="0" xr:uid="{59B17011-6C3F-4953-BC08-2612C0C508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2" authorId="0" shapeId="0" xr:uid="{64B7573B-838C-4955-8CCD-C59E9A7CDF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2" authorId="0" shapeId="0" xr:uid="{46C55737-9F5A-4B6C-AE7D-FB1EB0EFAD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2" authorId="0" shapeId="0" xr:uid="{5277D71D-5798-4EA5-A217-B261CCE7EB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2" authorId="0" shapeId="0" xr:uid="{6DEA73FB-72F5-4662-85C9-3346ECBE23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2" authorId="0" shapeId="0" xr:uid="{D2E3E1E2-D180-44BD-AD39-FB81C48735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2" authorId="0" shapeId="0" xr:uid="{5393AAD2-BE0E-4D02-8292-8938ABC538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2" authorId="0" shapeId="0" xr:uid="{CC118BE3-7899-41D8-8781-7CFDCFF009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2" authorId="0" shapeId="0" xr:uid="{5836F48A-EEF1-4208-BE76-5DF2599437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2" authorId="0" shapeId="0" xr:uid="{BA4133BC-CA69-4515-9860-23F17E4704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2" authorId="0" shapeId="0" xr:uid="{E903BF57-9D9F-49AE-9677-D4FC51D0BE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2" authorId="0" shapeId="0" xr:uid="{DF1A12A4-C2F1-47E8-BA83-5092F61A1C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2" authorId="0" shapeId="0" xr:uid="{D6CB58E4-1B09-4B9F-BFAB-A0812BB12E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2" authorId="0" shapeId="0" xr:uid="{0C5E7F04-B103-43CB-8D54-2A9D781CF8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3" authorId="0" shapeId="0" xr:uid="{25A05C71-9541-4069-A643-BCBDCD2581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3" authorId="0" shapeId="0" xr:uid="{F73A6104-5D01-410F-91CA-2721B518D7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3" authorId="0" shapeId="0" xr:uid="{E161EEC2-957D-4C92-A848-4F8175CCD9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3" authorId="0" shapeId="0" xr:uid="{B29859FC-9B07-4304-B699-D5C3EB34A8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3" authorId="0" shapeId="0" xr:uid="{E82FBD7B-6486-44B1-98AF-67E6ECACA7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3" authorId="0" shapeId="0" xr:uid="{0C46411D-F2BE-4BB4-B564-62065D7539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3" authorId="0" shapeId="0" xr:uid="{F6D72EA8-009D-4767-91C2-9EA22F3DEF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3" authorId="0" shapeId="0" xr:uid="{46B2733F-2BE9-4173-AC7A-10758334FB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3" authorId="0" shapeId="0" xr:uid="{25C6A1A7-3408-49F8-BE93-3E841C19E8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3" authorId="0" shapeId="0" xr:uid="{3CF967C0-FD53-4076-84F1-0D32F4C89D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53" authorId="0" shapeId="0" xr:uid="{FAF80A23-A3EA-42FC-8A2B-ED58D64CDC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3" authorId="0" shapeId="0" xr:uid="{5DF54243-D4B8-49ED-9396-04B2A5F189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3" authorId="0" shapeId="0" xr:uid="{E9376E40-D7E1-4177-9C3C-C5FC1692D5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3" authorId="0" shapeId="0" xr:uid="{D8E892F4-0DC9-481C-8213-95FFC6A7C1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3" authorId="0" shapeId="0" xr:uid="{E08EA12B-F6C5-43C0-B539-126BEFC5EB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3" authorId="0" shapeId="0" xr:uid="{86106483-D926-4664-8B41-E8D5332A74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3" authorId="0" shapeId="0" xr:uid="{F74F23C5-9EE5-4732-8845-FE6A7D75A0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3" authorId="0" shapeId="0" xr:uid="{864DDB3C-6387-4F4F-84BB-61062CEE81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3" authorId="0" shapeId="0" xr:uid="{C7A044F4-F7F6-4073-B74A-EE3B11C8AF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3" authorId="0" shapeId="0" xr:uid="{7255E16B-EFC1-4210-B708-1798418299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3" authorId="0" shapeId="0" xr:uid="{B69B0AC1-DF05-417E-A39C-44C47ABCC3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3" authorId="0" shapeId="0" xr:uid="{B839EBAD-E2F7-4A48-B8E1-4E772850F0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3" authorId="0" shapeId="0" xr:uid="{D5B40A71-9A1C-4854-BDF3-738767B909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3" authorId="0" shapeId="0" xr:uid="{FF8A6CE6-77FF-4F50-AF4F-2581D4660C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3" authorId="0" shapeId="0" xr:uid="{AC39D899-6F2B-4F82-AB18-A0DBC2A9B2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53" authorId="0" shapeId="0" xr:uid="{EA632D51-6DF6-4B9E-84EB-E1576ECDA5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3" authorId="0" shapeId="0" xr:uid="{EAC1F7BE-CC57-4C1B-8F4B-4B88A2DE20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3" authorId="0" shapeId="0" xr:uid="{347A84FD-E7D8-41B1-B0CF-0216592749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3" authorId="0" shapeId="0" xr:uid="{6EBBE2EC-347E-4D71-8E39-2400A9937F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3" authorId="0" shapeId="0" xr:uid="{73AD8532-0E99-4DC9-AE60-D10BC734BE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3" authorId="0" shapeId="0" xr:uid="{C23821A9-1751-4420-937A-432322D97D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3" authorId="0" shapeId="0" xr:uid="{6E07C037-39E8-4450-8CB7-0CCC1FE992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4" authorId="0" shapeId="0" xr:uid="{DC44A21F-14F5-48E4-85AB-939335C097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4" authorId="0" shapeId="0" xr:uid="{8C1CFE01-A313-4E21-BE0A-8D761C00DF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4" authorId="0" shapeId="0" xr:uid="{3976AA2F-C001-4116-9563-128F5345D9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4" authorId="0" shapeId="0" xr:uid="{3232DDE1-AD51-4A20-9146-D346157EE0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4" authorId="0" shapeId="0" xr:uid="{B3C03ADD-C444-4CCD-B024-A23D6F9C4F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4" authorId="0" shapeId="0" xr:uid="{E1021110-E3C0-46D7-85B9-B2C501FEB9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4" authorId="0" shapeId="0" xr:uid="{FE36BA83-C9B6-4C38-AE02-8814B4F1F0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4" authorId="0" shapeId="0" xr:uid="{0054A918-80FC-4EE7-8B3E-2DBB882D6B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4" authorId="0" shapeId="0" xr:uid="{8C2F8063-9A1F-4E90-8ED2-8DC0C36385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4" authorId="0" shapeId="0" xr:uid="{59D0036D-C39A-4DF1-98C4-23AFD9A289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4" authorId="0" shapeId="0" xr:uid="{0285D7C0-8722-4DAE-920F-48E8081F67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4" authorId="0" shapeId="0" xr:uid="{524AD8E1-41C7-47E7-94F1-8431C896BC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4" authorId="0" shapeId="0" xr:uid="{177C9032-EEEB-4623-A9FD-F0FF75ACD3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4" authorId="0" shapeId="0" xr:uid="{8AC510EC-8242-473E-92C7-701EF40C01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4" authorId="0" shapeId="0" xr:uid="{85A7DB82-BCC9-4CF8-92D5-E5990114A6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4" authorId="0" shapeId="0" xr:uid="{5F82F64E-2F97-4F2C-9FB8-6448861162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4" authorId="0" shapeId="0" xr:uid="{DFA512F5-8B4B-4942-99B5-112D991AEB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4" authorId="0" shapeId="0" xr:uid="{B18A6048-36D4-4119-8DA2-86664A6AC4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4" authorId="0" shapeId="0" xr:uid="{C4A146D4-0670-4D9E-94B2-51FF7A9D58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4" authorId="0" shapeId="0" xr:uid="{F5121AF1-007C-4D0B-B6DE-3BB9A117EB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4" authorId="0" shapeId="0" xr:uid="{CBC53399-444F-4C7D-AAEA-AEB3DFA271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4" authorId="0" shapeId="0" xr:uid="{070FD28F-8DCD-4678-A808-F719D64FEB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4" authorId="0" shapeId="0" xr:uid="{4A31A7C4-E9F8-4A49-999C-B3CD98CEF3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4" authorId="0" shapeId="0" xr:uid="{DDF4FBA7-1E94-4BC3-A901-C2A4B8795B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4" authorId="0" shapeId="0" xr:uid="{B21F7E9B-DE2A-4CCD-A402-0B5AA00358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4" authorId="0" shapeId="0" xr:uid="{3DAF143B-4828-4DD5-BB35-DA20EE55F4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4" authorId="0" shapeId="0" xr:uid="{53420A16-CC65-4712-B7B7-230797254E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4" authorId="0" shapeId="0" xr:uid="{9914C919-003E-42D7-816F-1952DF7ADB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5" authorId="0" shapeId="0" xr:uid="{4DA505CB-F838-451A-991B-978F3C6316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5" authorId="0" shapeId="0" xr:uid="{972B6EDA-3D9F-489C-8DA5-3044FC7BD9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5" authorId="0" shapeId="0" xr:uid="{9E29C526-55B6-4451-A512-8A01BCC55E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5" authorId="0" shapeId="0" xr:uid="{16577EC1-F117-43A0-AE82-6116588FDA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5" authorId="0" shapeId="0" xr:uid="{914E91C6-E457-432D-99AB-A65946A710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5" authorId="0" shapeId="0" xr:uid="{FC7940CF-0605-4086-BD62-F5899D9701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5" authorId="0" shapeId="0" xr:uid="{50AFD345-4DDF-4F8D-9EE4-62F66BB2D8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5" authorId="0" shapeId="0" xr:uid="{A1B1D675-534A-4F5F-A92A-05EC0CA2A0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5" authorId="0" shapeId="0" xr:uid="{FAC287BB-40DB-4B69-B548-82614FB644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5" authorId="0" shapeId="0" xr:uid="{60839CC2-E54F-435A-89A6-334B831A70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5" authorId="0" shapeId="0" xr:uid="{3A2E8998-1803-4723-A48F-4FB2908808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55" authorId="0" shapeId="0" xr:uid="{45B2DFD7-FA24-4666-9E73-E737E4FF68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5" authorId="0" shapeId="0" xr:uid="{B5A281B9-07A7-449C-91EC-D9C77E601A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5" authorId="0" shapeId="0" xr:uid="{3A8B0832-88B4-42F4-A204-5D5D8B8F01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5" authorId="0" shapeId="0" xr:uid="{50579092-8975-4034-92EC-E1A25E7D42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5" authorId="0" shapeId="0" xr:uid="{E369D75B-90AB-4D1A-ACC5-C952D917B3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5" authorId="0" shapeId="0" xr:uid="{4075A68A-FFED-4567-B910-0EB65539BB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5" authorId="0" shapeId="0" xr:uid="{407AF178-29AE-4BA6-A67F-8A88608F95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5" authorId="0" shapeId="0" xr:uid="{B643A80B-39B5-4994-9B76-E5AAA244C8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5" authorId="0" shapeId="0" xr:uid="{CBC094D0-F444-4CF2-86EB-A7854A0206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5" authorId="0" shapeId="0" xr:uid="{793BA1DF-2447-4419-AED0-3D88D5FA7A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5" authorId="0" shapeId="0" xr:uid="{C47ADFB1-EC76-4DDE-B722-92211C3AF4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5" authorId="0" shapeId="0" xr:uid="{E5368C5A-7E85-4D23-A822-F6CBFCF18D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5" authorId="0" shapeId="0" xr:uid="{A081129B-0F30-4074-9C2C-43A67BF64B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5" authorId="0" shapeId="0" xr:uid="{5CB5C3C1-F9C4-429E-BA36-CC23B55C72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5" authorId="0" shapeId="0" xr:uid="{86FEEAEC-97BC-446A-89A4-9C436EEDF0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5" authorId="0" shapeId="0" xr:uid="{DAD99952-7183-44C5-A79C-520A7CED97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5" authorId="0" shapeId="0" xr:uid="{3BC1156A-17F5-421C-BDF6-8D9122823B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5" authorId="0" shapeId="0" xr:uid="{8022AE2D-14C3-4660-891B-12B4044943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5" authorId="0" shapeId="0" xr:uid="{680F5968-9A15-4EBB-98D7-51705BC1D4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5" authorId="0" shapeId="0" xr:uid="{2D41B373-5DC9-4961-B4A8-338B8F9C0E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5" authorId="0" shapeId="0" xr:uid="{B02E305E-3393-4798-B918-B25B369DC2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6" authorId="0" shapeId="0" xr:uid="{7735DAD4-438A-479D-8381-586B39484D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6" authorId="0" shapeId="0" xr:uid="{F7A193A3-9400-4A1E-A9BD-4ED6288E5A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56" authorId="0" shapeId="0" xr:uid="{4EFA93D1-E0CB-454D-AE9E-2894DA29FA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6" authorId="0" shapeId="0" xr:uid="{13EA76DC-B936-42AB-B873-CC01AA5E55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6" authorId="0" shapeId="0" xr:uid="{1CB73C5D-2FDF-4EEF-A97C-6F2161C468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6" authorId="0" shapeId="0" xr:uid="{EFE88597-0FED-475E-B77C-5FA3346207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56" authorId="0" shapeId="0" xr:uid="{E2F6896E-3765-4623-B5E4-9B6AB79AA5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6" authorId="0" shapeId="0" xr:uid="{662D05A8-E5C8-4AC8-B916-3C6EA77359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6" authorId="0" shapeId="0" xr:uid="{6AD74E99-2F97-4D5C-88BB-5C023212B5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6" authorId="0" shapeId="0" xr:uid="{B5C50B0C-6C1B-4CAD-9604-6EE8DCAB42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6" authorId="0" shapeId="0" xr:uid="{4F5281E8-CA92-4C43-BB5A-E96D0E0A38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6" authorId="0" shapeId="0" xr:uid="{759BFDAC-078C-4EDF-8DEB-A0135EEED8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6" authorId="0" shapeId="0" xr:uid="{0565ACA6-A76B-45F2-812F-D2B47BC07C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6" authorId="0" shapeId="0" xr:uid="{C783979D-E880-466B-A6E1-7CCA1D4BDD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6" authorId="0" shapeId="0" xr:uid="{F49937EF-BB54-499E-B78E-2F47BBD6C1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6" authorId="0" shapeId="0" xr:uid="{47B7E576-D6C3-4369-A3E3-641C4862ED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6" authorId="0" shapeId="0" xr:uid="{EEB34464-DB2B-4A91-8D36-1D636FA92C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6" authorId="0" shapeId="0" xr:uid="{4A472990-A3F2-46F9-A277-F863AAA903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6" authorId="0" shapeId="0" xr:uid="{DF28DDFD-4AB8-4330-BB16-9D8358DBB5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6" authorId="0" shapeId="0" xr:uid="{77BA573E-1312-41D5-BED9-4EBB74C5B8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6" authorId="0" shapeId="0" xr:uid="{3E09B434-BB32-4E24-B2A9-E9E456B587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6" authorId="0" shapeId="0" xr:uid="{1DFC90E5-2D01-44B1-9DB6-FD1003DD98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6" authorId="0" shapeId="0" xr:uid="{747F3633-A9F4-4EF7-975C-8D7584C9DE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6" authorId="0" shapeId="0" xr:uid="{724429A8-07B3-4B21-9558-C52B7FA28F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6" authorId="0" shapeId="0" xr:uid="{A1281AA6-F16C-43E9-B2DE-9E7C76BACD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6" authorId="0" shapeId="0" xr:uid="{C846A1CA-524E-48CC-9C0C-971D0FD71C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6" authorId="0" shapeId="0" xr:uid="{20A54DD3-F7FA-4FBF-9F4E-47C6977FC5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6" authorId="0" shapeId="0" xr:uid="{A9649256-D6F9-4E4C-8D37-52C2258741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6" authorId="0" shapeId="0" xr:uid="{F8C4EE6F-C781-4C34-9773-EDF51A83FC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6" authorId="0" shapeId="0" xr:uid="{70FE001F-02D0-4C1B-B9A1-2CD389CFA6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6" authorId="0" shapeId="0" xr:uid="{F1828DE7-A1C0-4D85-A282-897718370C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6" authorId="0" shapeId="0" xr:uid="{6FB93E28-05EA-45F4-BD24-C08E586313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7" authorId="0" shapeId="0" xr:uid="{550FA6E5-5092-4D24-A380-D3ED581A4E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7" authorId="0" shapeId="0" xr:uid="{F6A7DDEE-BA87-44FD-B2E7-52F944A984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7" authorId="0" shapeId="0" xr:uid="{1642ECCF-FDE2-40B6-A65A-457E3A0A22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7" authorId="0" shapeId="0" xr:uid="{E4D2DBCA-C480-4426-98E6-95A1E667A1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7" authorId="0" shapeId="0" xr:uid="{182ED0FA-5DCC-461C-A0FB-A218960981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7" authorId="0" shapeId="0" xr:uid="{A121A7C9-9CDA-43A1-AE2E-4F4DA9A11D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7" authorId="0" shapeId="0" xr:uid="{EB1D7DC0-FB0E-4CB2-97C6-7ACC28F54E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7" authorId="0" shapeId="0" xr:uid="{E83639BF-2716-456A-AAA1-3CD187B9C1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7" authorId="0" shapeId="0" xr:uid="{7BEE659A-0E98-46A2-AC5A-BB3B67077D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7" authorId="0" shapeId="0" xr:uid="{E6F83A84-9F76-452A-8BD2-5C99BE340F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7" authorId="0" shapeId="0" xr:uid="{87D2FC1C-1BE7-4E72-A604-C28E1A305A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7" authorId="0" shapeId="0" xr:uid="{0B047C75-7B6D-42E6-B8C9-41A060A0FE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7" authorId="0" shapeId="0" xr:uid="{7FC76611-FFBE-46BC-A54D-1F575AB471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7" authorId="0" shapeId="0" xr:uid="{C98C3EB8-8BC0-4171-ADC0-A03DB05C6D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7" authorId="0" shapeId="0" xr:uid="{CA64F506-2AEF-417A-AFCE-47A37FBB1B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7" authorId="0" shapeId="0" xr:uid="{546BD92B-02E6-4AF5-8B27-903983B100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7" authorId="0" shapeId="0" xr:uid="{842182ED-CFDC-43F4-9E12-73AA1C9CAE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7" authorId="0" shapeId="0" xr:uid="{0163EBA8-7232-4CCB-8042-8E68A8F7E3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7" authorId="0" shapeId="0" xr:uid="{E171BB9A-9D84-4634-9549-85A768A9FC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7" authorId="0" shapeId="0" xr:uid="{CF28D4D5-FCF5-479D-9B48-9DD7F45AEA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7" authorId="0" shapeId="0" xr:uid="{D5D3AB8D-E3A0-48BE-A458-139EDBB9D2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7" authorId="0" shapeId="0" xr:uid="{406A7D28-326D-4638-89DB-23738DD1AA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7" authorId="0" shapeId="0" xr:uid="{03FED051-529E-4EB6-A545-1143F204FA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7" authorId="0" shapeId="0" xr:uid="{780ADAFC-A0A1-4E15-8EE7-6E541792E1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7" authorId="0" shapeId="0" xr:uid="{FA8D43C1-AFD7-40F6-BA22-7E9BF98862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8" authorId="0" shapeId="0" xr:uid="{38754437-45D6-43EC-8BB9-A5C18D864F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8" authorId="0" shapeId="0" xr:uid="{924E2836-EDCD-4CAC-BBBA-1B6D10E1D1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8" authorId="0" shapeId="0" xr:uid="{264D539E-CEDE-4055-AE61-DFF6CB1CAE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8" authorId="0" shapeId="0" xr:uid="{4C79808E-F627-4571-9C8D-3C5503FDD0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8" authorId="0" shapeId="0" xr:uid="{D4281FD1-775A-4D67-B7E4-3DF85001A9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58" authorId="0" shapeId="0" xr:uid="{C4F8C66E-5C58-4D55-9DB4-7764532116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8" authorId="0" shapeId="0" xr:uid="{3B08CC95-E9CB-41B4-9FEF-EAE820A886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8" authorId="0" shapeId="0" xr:uid="{9571D24E-3BD8-4725-94AA-0ABD252E92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8" authorId="0" shapeId="0" xr:uid="{25D328C9-B7D0-49F9-8CD8-112A84522F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8" authorId="0" shapeId="0" xr:uid="{EDC5E7DE-39F2-4D6F-8B0C-36D96FAED8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8" authorId="0" shapeId="0" xr:uid="{9EBC50E9-26AD-4F3D-90B9-B2970117B6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8" authorId="0" shapeId="0" xr:uid="{51927110-C089-49C1-A148-318C3BDF68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8" authorId="0" shapeId="0" xr:uid="{F23D4A5B-F921-49CA-9166-EC16B5BBE7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8" authorId="0" shapeId="0" xr:uid="{F5571250-1626-4D6C-A670-20EA98AF97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8" authorId="0" shapeId="0" xr:uid="{5066BB58-4859-44A0-9649-06318320B6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8" authorId="0" shapeId="0" xr:uid="{ABD5465B-BC27-4F10-81BB-1C9D0DCDD7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8" authorId="0" shapeId="0" xr:uid="{F8827188-38E9-4F4C-9C48-5EA91AE9F9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8" authorId="0" shapeId="0" xr:uid="{FB47A9BB-B1CE-4941-A26A-F972691A6C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8" authorId="0" shapeId="0" xr:uid="{BAD83162-DAEB-487E-AAEA-1C40D63120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8" authorId="0" shapeId="0" xr:uid="{8EBDB553-D563-4E22-964A-4650041A7A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8" authorId="0" shapeId="0" xr:uid="{4A0C149B-B7C4-4D75-8F62-A4057E8696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8" authorId="0" shapeId="0" xr:uid="{08E2E37E-62E5-40BC-B429-899714E2EE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8" authorId="0" shapeId="0" xr:uid="{EBAA2F9D-AAAB-49F9-8AF4-561317AE25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8" authorId="0" shapeId="0" xr:uid="{93161161-6334-4468-BF76-35DFC58D2C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8" authorId="0" shapeId="0" xr:uid="{BF2D7C92-7558-40CD-8362-0A81ADA4AD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8" authorId="0" shapeId="0" xr:uid="{04C9D6DF-3A9A-40D6-8C02-A064C2B4A3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8" authorId="0" shapeId="0" xr:uid="{7EA76C7D-75F5-42D6-BB99-889C1F3008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8" authorId="0" shapeId="0" xr:uid="{868525CA-CE09-45AB-8265-24CB88B44D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8" authorId="0" shapeId="0" xr:uid="{B80F304B-DBFE-4551-8C9B-1CA52EF58A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8" authorId="0" shapeId="0" xr:uid="{10612BB9-DB36-4CAA-B85B-EEBF2EDCA6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9" authorId="0" shapeId="0" xr:uid="{4DCEEA59-6518-45A8-8F62-5CC246B26C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9" authorId="0" shapeId="0" xr:uid="{52FF0C30-0B3D-43A0-B3CF-DE0822BC23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9" authorId="0" shapeId="0" xr:uid="{7067360B-604B-4AE3-88DF-A755532BAC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59" authorId="0" shapeId="0" xr:uid="{DFEA05EA-DEE8-4602-9CEA-762FCC3158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9" authorId="0" shapeId="0" xr:uid="{36E631E3-977B-49DE-9572-85BDB3B6FF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9" authorId="0" shapeId="0" xr:uid="{243E5D89-9245-4476-B552-61F0B872C9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9" authorId="0" shapeId="0" xr:uid="{06E4F0AC-A17E-4FCE-B7C1-B0FCD9DDAE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9" authorId="0" shapeId="0" xr:uid="{1E6F06A4-E9CB-481B-97E3-8A4EA80A18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9" authorId="0" shapeId="0" xr:uid="{B9D86F43-F4D1-4A35-97CF-502E4392A3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9" authorId="0" shapeId="0" xr:uid="{6A32B98A-F1A2-4B11-9BCC-01860B4698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9" authorId="0" shapeId="0" xr:uid="{53CF727D-03A6-40F0-B6C5-0E3916B1DE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9" authorId="0" shapeId="0" xr:uid="{5A9F98D4-81A3-4A43-8293-8CD378FD53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9" authorId="0" shapeId="0" xr:uid="{ED8F612D-FC5E-48AC-893C-37FA0A6F2D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9" authorId="0" shapeId="0" xr:uid="{36F27420-9B61-404D-A9B8-DF331EC30A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9" authorId="0" shapeId="0" xr:uid="{4608ED87-9E42-4EF2-B99F-4BABE069CB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9" authorId="0" shapeId="0" xr:uid="{CB061551-9361-42A0-83C4-6D386ECABA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9" authorId="0" shapeId="0" xr:uid="{CB6EEA4F-9A54-4B89-819A-8A20FF4C2F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9" authorId="0" shapeId="0" xr:uid="{76D9F61D-97DB-40C9-A339-1ED7D7F7DC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9" authorId="0" shapeId="0" xr:uid="{B1055DC0-9465-44F6-9F45-DFD57FC02B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9" authorId="0" shapeId="0" xr:uid="{296FB302-C335-455D-B1BE-395B573E11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9" authorId="0" shapeId="0" xr:uid="{BEB03C55-D69F-4180-81D5-5584D7372B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9" authorId="0" shapeId="0" xr:uid="{EF6D72FA-2C46-4ED3-8894-398EE687DF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9" authorId="0" shapeId="0" xr:uid="{18392CE6-D17F-4B7A-A122-307ACBA33A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9" authorId="0" shapeId="0" xr:uid="{8050A056-46A3-49D2-9977-58A5FE12E8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9" authorId="0" shapeId="0" xr:uid="{95246217-F316-4C5C-8CA1-9D0FE559A8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9" authorId="0" shapeId="0" xr:uid="{E1413E60-B9C6-4A68-993B-B306DBA9CD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9" authorId="0" shapeId="0" xr:uid="{B078CCA1-1F97-4EBB-8F86-1BC1F58011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9" authorId="0" shapeId="0" xr:uid="{141CE1F6-2E3A-479D-AE06-72E44C6F06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0" authorId="0" shapeId="0" xr:uid="{53C3CF7D-D033-4310-ACC7-6E1D2E0CF6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0" authorId="0" shapeId="0" xr:uid="{22D6A0CD-EEBB-40AF-951D-D4DFF34B94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0" authorId="0" shapeId="0" xr:uid="{4192641C-87F3-45C9-8CB6-22967F563C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0" authorId="0" shapeId="0" xr:uid="{9D883D61-E89F-4D5D-BE2A-A2AF6A310C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0" authorId="0" shapeId="0" xr:uid="{597157BB-8E8A-4747-8E6C-59BEDDB900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0" authorId="0" shapeId="0" xr:uid="{CDE6E98A-9696-4851-9DC6-EC85E893CF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0" authorId="0" shapeId="0" xr:uid="{0A26AF62-C953-403F-A7A8-130207A5C7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0" authorId="0" shapeId="0" xr:uid="{8D33EE13-6791-4793-9401-255AB0644B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0" authorId="0" shapeId="0" xr:uid="{16FAB952-8C9C-41C1-90BF-BD6FEADB84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0" authorId="0" shapeId="0" xr:uid="{19B1B460-DE77-4052-9D77-722024A759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0" authorId="0" shapeId="0" xr:uid="{66CB1FBF-28E1-425A-878E-5DA2D3E126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0" authorId="0" shapeId="0" xr:uid="{6FB526A5-291B-4D9B-8F36-D0C181145A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0" authorId="0" shapeId="0" xr:uid="{2BE50F8A-FB69-4CF8-A59A-3E6106E1E4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0" authorId="0" shapeId="0" xr:uid="{D43EFD5A-F5E8-4C9B-BC24-74E99AE131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0" authorId="0" shapeId="0" xr:uid="{2B5ACE70-8862-4DDF-98CE-55DCB5A45E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0" authorId="0" shapeId="0" xr:uid="{B7C8EEDB-0AA3-4EA5-B039-D00CEEE270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0" authorId="0" shapeId="0" xr:uid="{79D99276-A5A2-489A-8BB5-2F0CCC3558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0" authorId="0" shapeId="0" xr:uid="{AE2E418C-2897-4C50-AFF7-6B92DE4D6A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0" authorId="0" shapeId="0" xr:uid="{392CB981-1A20-4FDA-B24B-4BA8EED8FD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0" authorId="0" shapeId="0" xr:uid="{AFE36D48-AF8D-4119-91BD-ECCA23F000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0" authorId="0" shapeId="0" xr:uid="{345F6B47-3516-4CEF-B483-4CABF103FB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0" authorId="0" shapeId="0" xr:uid="{2FD6BFAF-B63E-4746-ADFC-31FFA806BE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0" authorId="0" shapeId="0" xr:uid="{01BCD12B-7562-4823-8E8B-09A070FE42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0" authorId="0" shapeId="0" xr:uid="{47E5BC5C-5689-4E61-B6A2-CBEDE32662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0" authorId="0" shapeId="0" xr:uid="{7E33DC12-9172-4A0A-A80C-C4017FA6C3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0" authorId="0" shapeId="0" xr:uid="{B79FB76F-5CCE-4A31-9412-7C41440CDF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1" authorId="0" shapeId="0" xr:uid="{B7C4E4FC-16F6-4F4F-93A2-CD8FD2511C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1" authorId="0" shapeId="0" xr:uid="{6C7EBDF5-89EF-4339-9DEE-7BBDBAA182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1" authorId="0" shapeId="0" xr:uid="{EEB83EA7-4C26-4689-B8EC-88324940C0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1" authorId="0" shapeId="0" xr:uid="{34270322-0023-46EC-9D1B-703AE0408F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1" authorId="0" shapeId="0" xr:uid="{580FFDE0-298C-4BDB-99A3-40134A88F1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1" authorId="0" shapeId="0" xr:uid="{95ED9792-B6AA-4C2D-BED3-7929997CCF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N61" authorId="0" shapeId="0" xr:uid="{54C558BB-4008-45D5-B0A0-AC45D8D708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1" authorId="0" shapeId="0" xr:uid="{52192768-F825-48D0-9F45-F4107B4AE3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1" authorId="0" shapeId="0" xr:uid="{BDF9F1AA-8FC1-4D7A-B20F-04940246F8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1" authorId="0" shapeId="0" xr:uid="{40D3EC4F-D6DE-4B61-93A9-C49960C713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1" authorId="0" shapeId="0" xr:uid="{528D677E-08D3-4831-B303-E543AC8AFA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1" authorId="0" shapeId="0" xr:uid="{54FFF726-FB44-41D5-951D-E8873BFAA1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1" authorId="0" shapeId="0" xr:uid="{30EC095F-4763-4AB1-9C2F-FDC7AA4CB2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1" authorId="0" shapeId="0" xr:uid="{DED61DCF-A0DE-4337-B49F-DB3230667A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1" authorId="0" shapeId="0" xr:uid="{647A01DA-711D-480E-B3C8-B3AA24864F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1" authorId="0" shapeId="0" xr:uid="{B1BC057E-A99E-4319-B529-70CEECE81F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1" authorId="0" shapeId="0" xr:uid="{6B4B4AEA-7B5E-4513-8F11-7061DF89C1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1" authorId="0" shapeId="0" xr:uid="{7E986B5B-8EAA-4C99-AD1E-ECE1533FF4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1" authorId="0" shapeId="0" xr:uid="{6A903BC8-2AB9-428F-AB5D-719ED3DBDE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1" authorId="0" shapeId="0" xr:uid="{22E53A74-461C-42A6-B904-378BC0E938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1" authorId="0" shapeId="0" xr:uid="{D9CBC01B-7FF3-4C25-9BCE-1BF94B6079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1" authorId="0" shapeId="0" xr:uid="{2FC1F53B-FD3E-4972-B786-A0FB19E69C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1" authorId="0" shapeId="0" xr:uid="{3461F532-C6DB-4CC0-95A1-EDE0FF98E7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1" authorId="0" shapeId="0" xr:uid="{BAA983F6-AEA1-48C4-9640-D7CD9EBB7E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1" authorId="0" shapeId="0" xr:uid="{9CFA604E-5CFF-4B5A-9C8B-3F3396D6F5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1" authorId="0" shapeId="0" xr:uid="{47271F94-00F5-41DA-9B51-CA81CC2A0B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1" authorId="0" shapeId="0" xr:uid="{3970850C-5AC5-4EF4-91E6-96CB4A9192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1" authorId="0" shapeId="0" xr:uid="{B1C68A04-0319-4BFC-B9E2-461615C6DB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2" authorId="0" shapeId="0" xr:uid="{EE6610A4-6AFC-4530-8F81-8FB8A19AD8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2" authorId="0" shapeId="0" xr:uid="{199648E8-03B0-4B1D-B146-172030C8AB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2" authorId="0" shapeId="0" xr:uid="{59CB7095-3B49-41DB-BB73-967759B695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62" authorId="0" shapeId="0" xr:uid="{2B0B933D-E88C-463D-B42F-D9C0EC5130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2" authorId="0" shapeId="0" xr:uid="{42ED6CDB-F295-4DD5-82A9-6311440EC1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2" authorId="0" shapeId="0" xr:uid="{B2905F33-EE05-4860-B600-65A494284F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2" authorId="0" shapeId="0" xr:uid="{BED69F08-FDAF-4282-93BD-80E4AD6A7D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2" authorId="0" shapeId="0" xr:uid="{7F33BA48-6857-46B3-92B1-DC7598836B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2" authorId="0" shapeId="0" xr:uid="{F287710A-10E5-4907-8EB4-72C332B0BD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2" authorId="0" shapeId="0" xr:uid="{626543D0-BE8B-4399-85E7-523BC335C1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62" authorId="0" shapeId="0" xr:uid="{7668E984-E25A-4730-AA6B-68979A1EC9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2" authorId="0" shapeId="0" xr:uid="{1ED77731-3443-4DCD-9AEF-CF9D996C03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2" authorId="0" shapeId="0" xr:uid="{5DD3146A-0DD0-42AB-A305-92F7CC8177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2" authorId="0" shapeId="0" xr:uid="{3B5F2E63-053C-4C03-B3AE-A9BFEE10C9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2" authorId="0" shapeId="0" xr:uid="{CB82AFC8-741B-45B9-A401-1D9AA2103B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2" authorId="0" shapeId="0" xr:uid="{FCB7610C-3DE6-4BBE-AE4A-26961F9681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2" authorId="0" shapeId="0" xr:uid="{0F579768-BD26-42A0-94A3-E8478F3BE9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2" authorId="0" shapeId="0" xr:uid="{5666033D-2A95-46EC-8943-CE260BA517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2" authorId="0" shapeId="0" xr:uid="{E507A2BA-7C72-40E5-B717-EF71F7597F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2" authorId="0" shapeId="0" xr:uid="{C5CA28E3-E693-49D6-8CEB-1E52B31ACC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2" authorId="0" shapeId="0" xr:uid="{0EF65EC7-9A70-447A-9B2C-111CC148B3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2" authorId="0" shapeId="0" xr:uid="{10436D4B-2B75-40C7-A6E0-1D00E2ACD4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2" authorId="0" shapeId="0" xr:uid="{023B11A1-F700-47FB-A562-28969B3FA2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2" authorId="0" shapeId="0" xr:uid="{229B448C-DE6C-4A95-BC41-33DF9CF1C6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2" authorId="0" shapeId="0" xr:uid="{DC7B6003-BC5D-4BAE-87C3-2749D029A1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2" authorId="0" shapeId="0" xr:uid="{1FB116FD-0D8C-4E9D-A8C4-3FAD8F6FEE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2" authorId="0" shapeId="0" xr:uid="{F381938B-4CA0-4ED2-8C18-049BC8598E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62" authorId="0" shapeId="0" xr:uid="{16438D92-45EB-46AB-ACC5-5ED05D4149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2" authorId="0" shapeId="0" xr:uid="{763965A7-2552-4B32-B0CA-F7E9EB7DB5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62" authorId="0" shapeId="0" xr:uid="{C809F112-D6AE-4DA6-AA73-6205966EE2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2" authorId="0" shapeId="0" xr:uid="{2DDE9869-E9E5-4CA3-ACD8-3807BB5F5E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2" authorId="0" shapeId="0" xr:uid="{35D2E055-7FFA-4592-AC66-F36943474B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2" authorId="0" shapeId="0" xr:uid="{4F8E98C9-D901-4E24-BC1C-1549F37EFF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2" authorId="0" shapeId="0" xr:uid="{77DDD953-038B-499A-8F52-65DEF76FF1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2" authorId="0" shapeId="0" xr:uid="{E0954198-B545-4E25-AE63-128AF151F4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2" authorId="0" shapeId="0" xr:uid="{729AE289-A747-4A3B-A2FE-7DAF1CE2BF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3" authorId="0" shapeId="0" xr:uid="{0AF83B7B-0292-4FC9-BDA2-9D2D2B342F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3" authorId="0" shapeId="0" xr:uid="{314109DA-2168-4AE4-A634-87D806F1AA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3" authorId="0" shapeId="0" xr:uid="{92B76F50-53B8-449B-A26E-E55355F81F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63" authorId="0" shapeId="0" xr:uid="{1AF2B890-FA25-456F-A186-99F79281BD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3" authorId="0" shapeId="0" xr:uid="{11C17011-1F69-49B3-B4C6-91B2122B9B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3" authorId="0" shapeId="0" xr:uid="{84A4B76B-EC56-43B1-B088-45A08AECB9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3" authorId="0" shapeId="0" xr:uid="{BEB2D871-23FF-4E2A-ADE0-B17925B8CB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3" authorId="0" shapeId="0" xr:uid="{46C670F8-ECBA-4B6F-99A1-2843330D90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3" authorId="0" shapeId="0" xr:uid="{B16E308C-6904-47A9-951A-A9CBA0F352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3" authorId="0" shapeId="0" xr:uid="{E5C1119F-8056-469D-85F4-8C662F8421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3" authorId="0" shapeId="0" xr:uid="{9961680F-6011-4D40-AEA5-8AED84A3CB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3" authorId="0" shapeId="0" xr:uid="{25C23859-E88E-4836-AACA-930BBA6AB8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3" authorId="0" shapeId="0" xr:uid="{66CCB96B-FE26-4F0C-92ED-9D27002001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3" authorId="0" shapeId="0" xr:uid="{78486970-DA80-413E-806A-B7866C49F1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3" authorId="0" shapeId="0" xr:uid="{748AA5AC-26A3-408F-9F2F-C58E9B47CB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3" authorId="0" shapeId="0" xr:uid="{37C90FC9-3217-4F92-8855-92F269A098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3" authorId="0" shapeId="0" xr:uid="{BD7FEB8D-CB8D-442A-8C07-023E1387BC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3" authorId="0" shapeId="0" xr:uid="{426F16C4-01C4-464F-B486-C431C4B078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3" authorId="0" shapeId="0" xr:uid="{B4290367-8BCD-4409-9E27-4779D60972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3" authorId="0" shapeId="0" xr:uid="{BBC9443F-A80E-4C2E-B93F-520E738BEF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3" authorId="0" shapeId="0" xr:uid="{C249E56F-761D-464A-B452-72D6ADDCC1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3" authorId="0" shapeId="0" xr:uid="{2F36961A-F008-4577-A357-88C6AB30E8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3" authorId="0" shapeId="0" xr:uid="{D0FF621D-2135-45A0-A3F8-585C28A500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3" authorId="0" shapeId="0" xr:uid="{02AE3EC9-7BD9-42D1-9414-A90F89E8B1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3" authorId="0" shapeId="0" xr:uid="{968AA942-BB6D-4F97-93F1-711B51E0E0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3" authorId="0" shapeId="0" xr:uid="{2316F45D-0CBA-45BD-B50C-8FDADBBF9D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3" authorId="0" shapeId="0" xr:uid="{B266460E-179F-4F11-99C9-D685A2D0C6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3" authorId="0" shapeId="0" xr:uid="{95A4BCFF-8C8B-4BAE-A0EC-90FBF8E6BA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4" authorId="0" shapeId="0" xr:uid="{C4AEE495-40B2-418F-8DA8-C52422DF31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4" authorId="0" shapeId="0" xr:uid="{5054D2F9-FF67-4C95-B41D-7EA9A6DA6A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4" authorId="0" shapeId="0" xr:uid="{50797258-4D1B-4CF8-B9CE-4683B1863C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4" authorId="0" shapeId="0" xr:uid="{C6D3D406-24E7-4CFF-A870-3B64AB9CDF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4" authorId="0" shapeId="0" xr:uid="{1FEA8DAF-230F-4D17-B698-CB19B5784C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4" authorId="0" shapeId="0" xr:uid="{6502E21B-5E9B-4B77-B141-4B3273104C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4" authorId="0" shapeId="0" xr:uid="{1B480219-BC30-4BB1-81C3-136899123F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4" authorId="0" shapeId="0" xr:uid="{1BFBC506-9760-4496-BF72-D8489840C6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4" authorId="0" shapeId="0" xr:uid="{BD25D097-6108-4DF0-8CF0-285ED5AF4E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4" authorId="0" shapeId="0" xr:uid="{C7E7021F-B6F6-493F-BCEF-DDAFE65A06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4" authorId="0" shapeId="0" xr:uid="{67C95479-8734-4495-8A2F-4BC0320F1A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4" authorId="0" shapeId="0" xr:uid="{D56505CB-3A89-4246-B742-F300F8DC59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4" authorId="0" shapeId="0" xr:uid="{3262446C-567A-4FA3-BEC7-554ADECF1E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4" authorId="0" shapeId="0" xr:uid="{1D98F8D9-FCB8-460E-9C10-8F7F530AA8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4" authorId="0" shapeId="0" xr:uid="{6524C665-9ECA-4FC1-958A-22D07D6796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4" authorId="0" shapeId="0" xr:uid="{3A3375EF-2472-452F-8F99-433EA7299D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4" authorId="0" shapeId="0" xr:uid="{E641EAB0-37D9-4821-8620-2C0B03EA0B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4" authorId="0" shapeId="0" xr:uid="{E30C15F0-EC4F-47E8-889F-1F8B6BA76C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4" authorId="0" shapeId="0" xr:uid="{42570B2A-7EB2-425B-AE05-59AE0C871D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4" authorId="0" shapeId="0" xr:uid="{E6859369-3C36-441E-A04D-0E0635F8A0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4" authorId="0" shapeId="0" xr:uid="{108AD2CA-BF0E-47A2-943B-ADEF151170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4" authorId="0" shapeId="0" xr:uid="{7C7FAA88-147F-4080-8C4C-434CE7F267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4" authorId="0" shapeId="0" xr:uid="{C07A668B-0472-4B75-89D5-6E4A44B8CE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4" authorId="0" shapeId="0" xr:uid="{158B309B-5933-4A0B-9DC9-462E5BF0EE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4" authorId="0" shapeId="0" xr:uid="{471EE2AA-3160-4FD9-871D-6007400CBB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5" authorId="0" shapeId="0" xr:uid="{5422D3FA-4B30-4751-826A-CB22C72E69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5" authorId="0" shapeId="0" xr:uid="{478DF7A5-4625-4706-8256-4B65B3A64E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5" authorId="0" shapeId="0" xr:uid="{79A70B45-89E5-4A0C-98FD-232E2219A6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5" authorId="0" shapeId="0" xr:uid="{411863FE-EAC2-4186-8C64-95880A89FE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5" authorId="0" shapeId="0" xr:uid="{40E685FF-BCAE-44D1-AD17-C193B3075D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5" authorId="0" shapeId="0" xr:uid="{E4C4B63D-83E6-4E9C-A4C1-447C4C2780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5" authorId="0" shapeId="0" xr:uid="{73F11483-4F0E-468A-AD14-D216587E2E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5" authorId="0" shapeId="0" xr:uid="{8DE55544-E11B-4F70-955D-BA5FED1D59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5" authorId="0" shapeId="0" xr:uid="{89104513-3A25-4BE0-BD21-421230FCD1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5" authorId="0" shapeId="0" xr:uid="{FB41AB54-A890-40F7-9C88-AB493EE440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5" authorId="0" shapeId="0" xr:uid="{0B09FD2A-E4EA-4503-AB2E-FE674F393E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5" authorId="0" shapeId="0" xr:uid="{68DCEFD2-036F-4AB1-933A-8030299C40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5" authorId="0" shapeId="0" xr:uid="{650C2A94-0511-43FB-B638-63DFC4BC49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5" authorId="0" shapeId="0" xr:uid="{908ECA0E-B353-42CF-B877-36A51DA8B1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5" authorId="0" shapeId="0" xr:uid="{1C6839A7-D573-4960-9B4D-D6E631314B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5" authorId="0" shapeId="0" xr:uid="{BC967C56-B2FB-4628-84BD-1BB051C5E0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5" authorId="0" shapeId="0" xr:uid="{978CF883-889F-414F-8828-F7371E5C97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5" authorId="0" shapeId="0" xr:uid="{3FE5860A-F320-4530-8BFB-F9F8E2B890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5" authorId="0" shapeId="0" xr:uid="{427ACC94-425F-4817-A7CC-6B17335487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5" authorId="0" shapeId="0" xr:uid="{B313B523-2DF4-4ED3-BF6B-CC02374F4A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5" authorId="0" shapeId="0" xr:uid="{1C27FB95-A1D4-46FB-AED3-219A316D4D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5" authorId="0" shapeId="0" xr:uid="{5846B1F0-8C9E-4734-8BC8-9CA83947BD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5" authorId="0" shapeId="0" xr:uid="{4E559E87-9CAC-45DD-B0F2-85BD69017B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5" authorId="0" shapeId="0" xr:uid="{5E654AFD-2BB2-4F0E-95E5-6057BD985A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5" authorId="0" shapeId="0" xr:uid="{EEA84924-DF85-4C24-BFE7-9A1995AD6B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5" authorId="0" shapeId="0" xr:uid="{980CF5F1-9BF4-4D1C-AA8E-912C98DA74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5" authorId="0" shapeId="0" xr:uid="{57C2E5C3-4160-4044-8F70-0B6944CF49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6" authorId="0" shapeId="0" xr:uid="{3CF41F30-7E3A-46B2-A60D-50A85319EC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6" authorId="0" shapeId="0" xr:uid="{0BB16D53-8894-4572-B359-677AAF7C67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6" authorId="0" shapeId="0" xr:uid="{E708362F-51AA-47E3-AEEA-CBCA3C4ED3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6" authorId="0" shapeId="0" xr:uid="{A4E4782F-E6FA-4E5B-9A93-DE2CF7CB39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6" authorId="0" shapeId="0" xr:uid="{83F7CBF7-6C03-4ED3-B473-B2C5AA06B0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6" authorId="0" shapeId="0" xr:uid="{421D752D-639B-463A-AC31-9989E893D3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6" authorId="0" shapeId="0" xr:uid="{90F8D8D3-648F-4C00-AE87-82CEA410FE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6" authorId="0" shapeId="0" xr:uid="{1F425AFD-EFE5-48E0-A993-5212B2BD4B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66" authorId="0" shapeId="0" xr:uid="{043ABC3D-081E-4C04-B74E-FB24EFBF3D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6" authorId="0" shapeId="0" xr:uid="{65AC570C-E5E2-4741-883A-31A5CFB85C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6" authorId="0" shapeId="0" xr:uid="{4DBF524D-D2FC-4B8F-A175-37B889731E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6" authorId="0" shapeId="0" xr:uid="{662272AC-E062-46A5-8F88-3995CB51CC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6" authorId="0" shapeId="0" xr:uid="{0B09D96F-84E1-41EE-B331-FA56BD9807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6" authorId="0" shapeId="0" xr:uid="{25E1D475-3B8E-43B6-975A-39DEC5A27C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6" authorId="0" shapeId="0" xr:uid="{C21C896A-BC84-4AF6-933E-44D175C5E3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6" authorId="0" shapeId="0" xr:uid="{A14ED896-00D8-4317-87DA-9DF53681E6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6" authorId="0" shapeId="0" xr:uid="{FF083C5E-EF1B-4DC3-836A-0834FB1A58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6" authorId="0" shapeId="0" xr:uid="{36DCED35-C838-46A6-87C1-2AAB0D1B73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6" authorId="0" shapeId="0" xr:uid="{F0AE6927-BCD3-4735-BCCC-F534B4CEA5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6" authorId="0" shapeId="0" xr:uid="{10B2791C-636E-4E38-8B1E-29EE37F05E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6" authorId="0" shapeId="0" xr:uid="{D04EBDD4-E57B-4CEA-B03C-315669F261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6" authorId="0" shapeId="0" xr:uid="{0E9D2B8E-9C31-48A5-9ACC-B00033D3A5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6" authorId="0" shapeId="0" xr:uid="{600454F7-0EEC-40C5-88E1-943684A05F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6" authorId="0" shapeId="0" xr:uid="{5B9310D9-7504-47CC-8AB9-6B893D788A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7" authorId="0" shapeId="0" xr:uid="{BDED9460-6A95-4897-9D9A-AEBA6843AF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7" authorId="0" shapeId="0" xr:uid="{CA219B35-24A3-483A-842E-476C7C024B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7" authorId="0" shapeId="0" xr:uid="{F0B7C64B-E99D-4F9E-ACED-3C350D1765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7" authorId="0" shapeId="0" xr:uid="{824ECD7E-E454-4A61-8ABF-5D6FE86FF6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7" authorId="0" shapeId="0" xr:uid="{76518D26-213D-4E9E-A374-8CDDC2C128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7" authorId="0" shapeId="0" xr:uid="{C2984ACD-1D7C-4A04-9895-FE72CB2018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7" authorId="0" shapeId="0" xr:uid="{05440964-D4BA-4D83-916B-48E4EA8E32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67" authorId="0" shapeId="0" xr:uid="{B91DB018-5B4B-429C-A661-2F0DDF2424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7" authorId="0" shapeId="0" xr:uid="{876266B6-BEA2-49B9-A455-66AE3801FD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7" authorId="0" shapeId="0" xr:uid="{48217807-4D53-4CE5-B5B1-9106AEE2C6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7" authorId="0" shapeId="0" xr:uid="{6EA3ACF0-617F-4219-A359-D71572332F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7" authorId="0" shapeId="0" xr:uid="{F9EFF99B-21A6-4B6A-AA5B-65F38B2574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7" authorId="0" shapeId="0" xr:uid="{73F5971A-5111-4E72-B7E4-EF13FB8FD4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7" authorId="0" shapeId="0" xr:uid="{CB624B8A-5E6D-48AB-B26C-9765389E20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7" authorId="0" shapeId="0" xr:uid="{DEB5CE0E-4152-40A5-9C71-8061D3FF1F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7" authorId="0" shapeId="0" xr:uid="{52B53922-1C72-4B91-99C1-751C57FC05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7" authorId="0" shapeId="0" xr:uid="{634FCF50-69E1-4894-9B8C-8BA88A3809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7" authorId="0" shapeId="0" xr:uid="{B9FACEC8-A3FF-4BD1-A754-107069A1E1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7" authorId="0" shapeId="0" xr:uid="{66F9A626-7671-46C9-BA76-A4C5A48D06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7" authorId="0" shapeId="0" xr:uid="{8CE122F6-C863-45AE-A1D5-6825C764BE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7" authorId="0" shapeId="0" xr:uid="{1A38E740-3CC3-4D4D-8585-B03B3F6809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7" authorId="0" shapeId="0" xr:uid="{A2F877CC-B025-4314-9737-A7254FEA64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7" authorId="0" shapeId="0" xr:uid="{171365B2-0AFA-461C-BBB0-B29F673316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7" authorId="0" shapeId="0" xr:uid="{0A42B224-F646-4069-BD20-FB4AEA0F38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7" authorId="0" shapeId="0" xr:uid="{1CF5A8B5-7C40-48AA-A9AE-EC9FF8CD0C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7" authorId="0" shapeId="0" xr:uid="{849C7F45-A5EC-4CE9-900D-E116CCB2E8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7" authorId="0" shapeId="0" xr:uid="{68D08151-6811-48AE-9385-1A5E71344D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7" authorId="0" shapeId="0" xr:uid="{51E34FA2-E5C3-468D-A66D-7CB123AE02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8" authorId="0" shapeId="0" xr:uid="{8DB4B5C5-0719-41B9-AAE3-A2A3067E3D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8" authorId="0" shapeId="0" xr:uid="{CD8574E0-7616-4F1E-B1D3-AA2B710975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8" authorId="0" shapeId="0" xr:uid="{66AD803A-3E45-40FC-8285-FC67DF6E8E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8" authorId="0" shapeId="0" xr:uid="{D053FC89-794A-4EB4-A4F4-5C70FAA863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8" authorId="0" shapeId="0" xr:uid="{739CC70A-913D-4B88-BBC4-B2D72D1912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8" authorId="0" shapeId="0" xr:uid="{AA8A57E6-D621-40E3-AA47-13A9B58D12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8" authorId="0" shapeId="0" xr:uid="{3F7AED09-312B-4170-98AA-C2C6A6523B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8" authorId="0" shapeId="0" xr:uid="{D772916E-AC3A-44F9-84A1-A4EBE3A3DA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8" authorId="0" shapeId="0" xr:uid="{BCB14C84-DFC0-4E4D-8294-C4DF85CB3B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8" authorId="0" shapeId="0" xr:uid="{D9AAAA0E-485D-42A5-AA63-668D248649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8" authorId="0" shapeId="0" xr:uid="{E2437149-CA04-487D-959A-7A1BABCF24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8" authorId="0" shapeId="0" xr:uid="{49171AC1-226E-447E-BEAD-63072AC787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8" authorId="0" shapeId="0" xr:uid="{73894770-B11C-44F3-8136-BF082D16DC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8" authorId="0" shapeId="0" xr:uid="{0B791D58-EAD9-4981-A40D-EB2E3291C5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8" authorId="0" shapeId="0" xr:uid="{3264A0D7-AE20-4A76-B8DA-1C43CE36A0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8" authorId="0" shapeId="0" xr:uid="{F9106224-C66F-4EE0-9EF1-85011BE331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8" authorId="0" shapeId="0" xr:uid="{1BDB0EB3-4429-4D83-A603-384A54F4B4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8" authorId="0" shapeId="0" xr:uid="{7BFBBFA2-970B-4C04-8B67-7435ED1CE0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8" authorId="0" shapeId="0" xr:uid="{7133BCD4-D4A0-40C8-8E42-3E5E68E608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8" authorId="0" shapeId="0" xr:uid="{7FB21A41-3671-429C-9977-F581E64004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8" authorId="0" shapeId="0" xr:uid="{015D794D-AF90-4BDE-A8D3-B89FD582B8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8" authorId="0" shapeId="0" xr:uid="{9B923203-7F66-4DD7-8326-E71B9AA7E3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8" authorId="0" shapeId="0" xr:uid="{28CC261F-7C45-49FF-88D4-64A5205B1B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8" authorId="0" shapeId="0" xr:uid="{10794746-B327-40F8-A2C7-0DEC51547A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8" authorId="0" shapeId="0" xr:uid="{BBECBC93-FBC9-49E6-A0BB-EAB8A455B2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8" authorId="0" shapeId="0" xr:uid="{56E20447-B715-46ED-B8FA-C795E6EEDE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8" authorId="0" shapeId="0" xr:uid="{F9452E3E-F5A8-47A9-98D9-A0F0CD29AA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8" authorId="0" shapeId="0" xr:uid="{F272AB44-8150-4541-AB5D-24943CC41F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9" authorId="0" shapeId="0" xr:uid="{CCC1DB6A-CC33-4333-8476-64C8430A4D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9" authorId="0" shapeId="0" xr:uid="{4E81BFA4-D50F-4F02-B27D-050BACAA25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9" authorId="0" shapeId="0" xr:uid="{6005BDD8-BE97-4929-9E73-F5856C9FC7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9" authorId="0" shapeId="0" xr:uid="{84FE149C-AFF5-4AD3-82C6-4C2E1D3EA9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9" authorId="0" shapeId="0" xr:uid="{521C7C30-10D9-4862-B045-234E734736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9" authorId="0" shapeId="0" xr:uid="{A6F71F76-9A87-4821-97B2-2182109C3C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9" authorId="0" shapeId="0" xr:uid="{47A8438D-E23E-464E-8183-36819419D4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9" authorId="0" shapeId="0" xr:uid="{E083772D-0586-4DC3-90F7-ECC6F96E95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9" authorId="0" shapeId="0" xr:uid="{E83CBAA3-1552-4391-A98D-118D466A9E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9" authorId="0" shapeId="0" xr:uid="{02814C6E-1352-4E8F-AF72-881A18AF98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9" authorId="0" shapeId="0" xr:uid="{2D643A0C-8F1E-4D5F-9E0C-2B70EC0213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9" authorId="0" shapeId="0" xr:uid="{9371B1AC-59F7-4482-BED6-67637D7CDA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9" authorId="0" shapeId="0" xr:uid="{D8D5CFAF-F146-4754-8B6B-9690215803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9" authorId="0" shapeId="0" xr:uid="{5B2F666E-5957-4F23-9B0D-6752917A62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9" authorId="0" shapeId="0" xr:uid="{F3CB56DC-6C4B-47B5-9083-B2ACEA6852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9" authorId="0" shapeId="0" xr:uid="{B9B5450B-2C72-4D8E-A5EB-745F35391B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9" authorId="0" shapeId="0" xr:uid="{52A379D0-1AB6-42EB-9005-AAC8BF4C43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9" authorId="0" shapeId="0" xr:uid="{B81561B6-5510-45CB-95A2-3153E266B7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9" authorId="0" shapeId="0" xr:uid="{03677E62-8B34-44E3-B14D-BA49261727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9" authorId="0" shapeId="0" xr:uid="{2C31D3FB-76D1-4914-B2D4-23C3F2E5B6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9" authorId="0" shapeId="0" xr:uid="{D314B2F3-C9C5-4F3B-AE59-F78DC63D83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9" authorId="0" shapeId="0" xr:uid="{F7EBAEF8-1ABC-4ED7-8C10-6CDF29B167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9" authorId="0" shapeId="0" xr:uid="{3D0D3835-3169-434D-9218-668A94F641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9" authorId="0" shapeId="0" xr:uid="{EF5DD838-E732-4AFA-9781-5DB3576833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9" authorId="0" shapeId="0" xr:uid="{1433363E-F5C6-4BA9-80DF-F81921AB3C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9" authorId="0" shapeId="0" xr:uid="{DF15C784-385A-4577-B661-B8104046A6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9" authorId="0" shapeId="0" xr:uid="{C4834A21-87FC-40C6-98E5-764E8917F6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9" authorId="0" shapeId="0" xr:uid="{0D7F55F0-6463-476A-A724-29F224267C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9" authorId="0" shapeId="0" xr:uid="{4AB916CD-6F3A-41A0-BCB6-2F12B3A2A4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0" authorId="0" shapeId="0" xr:uid="{8D251BB9-3594-4886-BF2E-846501A775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0" authorId="0" shapeId="0" xr:uid="{F824D663-EE84-4A6B-9D48-7AE30F5CB7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0" authorId="0" shapeId="0" xr:uid="{E4067920-DB3D-4B8F-8A01-7D0060559B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0" authorId="0" shapeId="0" xr:uid="{98316EDF-DC84-490B-9FE0-0466DE55FF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0" authorId="0" shapeId="0" xr:uid="{0B47A562-5997-4A67-9B08-19DA1E28C9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0" authorId="0" shapeId="0" xr:uid="{FB08066E-C347-4AB2-B050-2360EAC6ED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0" authorId="0" shapeId="0" xr:uid="{AC8743FD-D90D-494D-9001-3F03E8ED87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70" authorId="0" shapeId="0" xr:uid="{DB7740C5-14C3-464E-9BB7-2C52BA31A5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0" authorId="0" shapeId="0" xr:uid="{D6BC9E72-1968-4C1E-9233-64E9685DDF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0" authorId="0" shapeId="0" xr:uid="{73C6D40B-8801-4B14-AC9C-DC6D3C5309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0" authorId="0" shapeId="0" xr:uid="{D63517D4-217D-4373-BD7B-341D2E30F9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70" authorId="0" shapeId="0" xr:uid="{29349581-7041-4CFA-B12D-487B31838A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0" authorId="0" shapeId="0" xr:uid="{5CEF9CD1-D6D5-4FB0-80F8-775A14E043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0" authorId="0" shapeId="0" xr:uid="{138B927F-B136-45BD-AF0F-A5C2B23BEE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0" authorId="0" shapeId="0" xr:uid="{F6B4C68A-7D1C-495B-B186-01A924888E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0" authorId="0" shapeId="0" xr:uid="{700B28DB-DBFE-403E-942C-6A041D0F3C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0" authorId="0" shapeId="0" xr:uid="{37C6EA22-26B6-4B9C-ABE6-231EFA743B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0" authorId="0" shapeId="0" xr:uid="{65A155E9-F832-49B1-9E37-75D0B5BC5F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0" authorId="0" shapeId="0" xr:uid="{0B66E7BF-190E-4593-88F9-F871E9D547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0" authorId="0" shapeId="0" xr:uid="{26585FD0-C362-4A6B-841C-430ED2E43C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0" authorId="0" shapeId="0" xr:uid="{C61723CD-91F3-496E-BE74-D230693775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0" authorId="0" shapeId="0" xr:uid="{1023D445-5932-4E0C-AB54-AB137A655C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0" authorId="0" shapeId="0" xr:uid="{858E9DAE-C274-4504-966F-15895F98B0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0" authorId="0" shapeId="0" xr:uid="{3710DB70-8BBF-4ECB-95E2-A7B4F5B6B4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0" authorId="0" shapeId="0" xr:uid="{CAEB218C-B65B-4A64-9D6C-CB5BF6F5F1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0" authorId="0" shapeId="0" xr:uid="{EB5AED47-0409-41E5-9E8C-27C8DF626E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0" authorId="0" shapeId="0" xr:uid="{B3754FB5-51CC-49E5-B6C0-FB1386FE65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1" authorId="0" shapeId="0" xr:uid="{842BEF44-9CB4-45CE-B7A1-E07496ADB1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1" authorId="0" shapeId="0" xr:uid="{B635E729-FE84-4FD5-8859-9E87D03D32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1" authorId="0" shapeId="0" xr:uid="{B46776DA-B3D7-4922-929D-BC609180F1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1" authorId="0" shapeId="0" xr:uid="{C5205113-4C63-4962-A4C1-90F989819E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1" authorId="0" shapeId="0" xr:uid="{2D17E365-3710-417C-999E-4E2F38293B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1" authorId="0" shapeId="0" xr:uid="{4571136C-95C3-4B64-BFC6-1FCD387FA6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1" authorId="0" shapeId="0" xr:uid="{89563B72-630A-4046-800E-C38AA7B3A9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1" authorId="0" shapeId="0" xr:uid="{00F48D84-DFDC-40FF-A91A-86C96C4AD4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1" authorId="0" shapeId="0" xr:uid="{4F0934AA-65FB-4C4D-8E4D-66187E53FC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1" authorId="0" shapeId="0" xr:uid="{7813AEAD-38E7-4967-B05B-A92BE9B0BD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1" authorId="0" shapeId="0" xr:uid="{0C9F5738-6D99-4E99-8D77-B4CC00AE24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1" authorId="0" shapeId="0" xr:uid="{E79CE325-A2B2-4DC9-A462-21B56979F5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1" authorId="0" shapeId="0" xr:uid="{E213542A-4461-436F-9F35-C817A85F52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1" authorId="0" shapeId="0" xr:uid="{A62B9F14-1931-4C78-AED5-0D75B98E4A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1" authorId="0" shapeId="0" xr:uid="{B85E6151-BF8F-4D00-BE37-BCD098CD83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1" authorId="0" shapeId="0" xr:uid="{B1D12CAD-B7C7-4534-82C7-01AB989017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1" authorId="0" shapeId="0" xr:uid="{93AF4B98-DC8C-44AA-B655-E60D7A2192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1" authorId="0" shapeId="0" xr:uid="{E452CA63-F19F-4F79-BACC-C0DCF8AC5A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1" authorId="0" shapeId="0" xr:uid="{E2061EC6-6978-4457-9D44-B2436FF775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1" authorId="0" shapeId="0" xr:uid="{36FD6639-A198-4A0C-A36E-96D44A2EAC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1" authorId="0" shapeId="0" xr:uid="{7F22D285-74BB-4231-B8DD-65940B862E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1" authorId="0" shapeId="0" xr:uid="{376536FD-31B7-4B62-8A1B-37BA539CDF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1" authorId="0" shapeId="0" xr:uid="{335C3806-586A-4EE7-BC2C-E367BA571C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1" authorId="0" shapeId="0" xr:uid="{4140522B-EA68-48D5-B114-459D105739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2" authorId="0" shapeId="0" xr:uid="{DA56A49C-90AB-45E3-8B06-6FF32BD1E2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2" authorId="0" shapeId="0" xr:uid="{F38923A6-EF16-42D1-9758-50CB70F21D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2" authorId="0" shapeId="0" xr:uid="{8266E93C-B033-4D96-8848-6703A10D4F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2" authorId="0" shapeId="0" xr:uid="{EE6D7B94-B9FA-48EF-87FF-925579AC3B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2" authorId="0" shapeId="0" xr:uid="{1928DF18-904E-4512-94D4-B764BAD20F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2" authorId="0" shapeId="0" xr:uid="{F18A901F-9FFE-48C7-BB94-137C45DB0D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2" authorId="0" shapeId="0" xr:uid="{C9511642-4E0F-42E9-B0F6-F5AC967FFD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2" authorId="0" shapeId="0" xr:uid="{FBC36F9F-C805-4ABE-BF1F-E48E52B2EC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2" authorId="0" shapeId="0" xr:uid="{0CC6A2D5-5D86-4306-8595-D25C58D40D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2" authorId="0" shapeId="0" xr:uid="{03B7425F-0B32-4A3B-A731-A577545941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2" authorId="0" shapeId="0" xr:uid="{2E67BCD4-F919-4BFE-A4A1-982C5014F4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72" authorId="0" shapeId="0" xr:uid="{694CA646-B440-4FCF-9CDC-6FF7724404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2" authorId="0" shapeId="0" xr:uid="{FDEAA6D3-7375-4E31-A149-BB01455052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2" authorId="0" shapeId="0" xr:uid="{ABE0B382-54CF-4B27-8D53-262D5B275F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2" authorId="0" shapeId="0" xr:uid="{D9BADA5A-5F9E-4D21-8A77-0720376A50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2" authorId="0" shapeId="0" xr:uid="{E27441F8-E433-40BA-9908-26A42CB2B9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2" authorId="0" shapeId="0" xr:uid="{73BD2A39-6D34-413C-8D18-D81364A5C4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2" authorId="0" shapeId="0" xr:uid="{6A411460-7DB7-4530-939E-6DA425B4FA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2" authorId="0" shapeId="0" xr:uid="{4821420A-CF1D-403D-9AA1-0A3B0C3537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2" authorId="0" shapeId="0" xr:uid="{FD3239A6-CFD4-461B-AA03-85745CA311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2" authorId="0" shapeId="0" xr:uid="{2FD2D1F7-377C-4681-AC61-0FDD22CDDD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2" authorId="0" shapeId="0" xr:uid="{238045BE-0B04-4F84-9C06-BA2481E189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2" authorId="0" shapeId="0" xr:uid="{E6822778-04F6-4937-927B-7E3C6EAABD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2" authorId="0" shapeId="0" xr:uid="{69010788-0E9A-4E0F-8325-011A450810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2" authorId="0" shapeId="0" xr:uid="{740D6127-00BB-4367-825B-790195E7C7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2" authorId="0" shapeId="0" xr:uid="{23362A8A-A207-4584-A9F5-34D9536824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2" authorId="0" shapeId="0" xr:uid="{64951BCD-1973-4FA0-8118-57771B1D32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3" authorId="0" shapeId="0" xr:uid="{56BA701D-E36E-4003-A9F4-B40CD56190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3" authorId="0" shapeId="0" xr:uid="{235116FD-A273-490A-B4BE-9E7AC7EAC1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73" authorId="0" shapeId="0" xr:uid="{FBFC388D-5204-4DAB-AE22-D0CCF0B072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3" authorId="0" shapeId="0" xr:uid="{0C31CD61-D694-45AA-9A82-E52C7658B1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3" authorId="0" shapeId="0" xr:uid="{FF787A40-D64A-452C-9EAC-80239E650E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3" authorId="0" shapeId="0" xr:uid="{3DE32ED7-77AE-4743-934A-9EA8E66A17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3" authorId="0" shapeId="0" xr:uid="{CA3F7343-2F7F-4C51-8D1F-5DD22A7F50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3" authorId="0" shapeId="0" xr:uid="{BBE7E3A1-CC2B-4EEB-AE49-A76BC8D0EA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3" authorId="0" shapeId="0" xr:uid="{8BD59FF2-2AE7-4075-8C4E-6E8BD9EC1E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3" authorId="0" shapeId="0" xr:uid="{49FDD683-0443-4D10-9457-830604FD91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3" authorId="0" shapeId="0" xr:uid="{CE15FFBE-A968-4B7F-B391-EA1D71E4DD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3" authorId="0" shapeId="0" xr:uid="{EE30A110-3F55-4EAB-8A7C-B2B61604A4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3" authorId="0" shapeId="0" xr:uid="{5601A265-AD7A-42B5-B948-F062D14FE2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3" authorId="0" shapeId="0" xr:uid="{2739E9E4-88CF-4948-9E71-4B24C86663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3" authorId="0" shapeId="0" xr:uid="{DDEC4A78-E4CB-4AF4-BF67-DA84540326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3" authorId="0" shapeId="0" xr:uid="{C23A4B05-10D4-4E02-9EF2-E1EFA07A6A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3" authorId="0" shapeId="0" xr:uid="{5765BA50-0345-43BA-AD16-AC1E781C2B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3" authorId="0" shapeId="0" xr:uid="{313C6349-F219-46AC-8ACA-B32BFBC817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3" authorId="0" shapeId="0" xr:uid="{248E872F-D6DE-4546-BB25-FCB1B859FA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3" authorId="0" shapeId="0" xr:uid="{CBC839EE-E3C7-4D30-8145-B6AFAE192B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3" authorId="0" shapeId="0" xr:uid="{B0B94D2F-F1EE-443E-9B49-C86A76D225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3" authorId="0" shapeId="0" xr:uid="{DED15D56-A9E3-441B-9494-9337C87746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3" authorId="0" shapeId="0" xr:uid="{CA5790AC-C378-4381-9EC8-D97AD0C013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3" authorId="0" shapeId="0" xr:uid="{A2BA38BD-32A4-4BF5-B082-1715E2A1DA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3" authorId="0" shapeId="0" xr:uid="{89B33494-78DF-44F0-BF67-480B7C44BD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3" authorId="0" shapeId="0" xr:uid="{ECF9B9B9-D4F5-4E3F-9E94-8B91CAD90E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3" authorId="0" shapeId="0" xr:uid="{FA2C42C2-521B-4EED-9CF5-8BE1B3C971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4" authorId="0" shapeId="0" xr:uid="{6A4E24CB-5886-4A82-A9A4-25147C0D27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4" authorId="0" shapeId="0" xr:uid="{57A3E511-2CCB-472C-A9EA-8368776992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4" authorId="0" shapeId="0" xr:uid="{F07656D7-463B-4C25-8FAF-AB719BEA18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74" authorId="0" shapeId="0" xr:uid="{D653FAD9-278F-40CD-84A6-3F3C808683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4" authorId="0" shapeId="0" xr:uid="{D4FA3B72-D7A3-4FC7-9787-A172DE6EDE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4" authorId="0" shapeId="0" xr:uid="{3484A569-7AB7-4FF1-8C96-94419833FD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74" authorId="0" shapeId="0" xr:uid="{A19CA511-309E-44AB-9121-A1F90430C7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4" authorId="0" shapeId="0" xr:uid="{04E8899E-B0FA-40D6-83E2-CF20AF116A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4" authorId="0" shapeId="0" xr:uid="{57188083-2A56-4A4F-9464-CADAC640E4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4" authorId="0" shapeId="0" xr:uid="{10B61BD5-0F7B-47A2-AA93-00717F9D23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4" authorId="0" shapeId="0" xr:uid="{9AED90BB-C415-4DCF-9C6D-97BB843734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4" authorId="0" shapeId="0" xr:uid="{55741AF5-ABC6-458F-A879-A57F6F2255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4" authorId="0" shapeId="0" xr:uid="{085BC0F1-A42B-4922-BB56-81714E1A67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4" authorId="0" shapeId="0" xr:uid="{071311E4-F21D-480A-9D00-FC0463F36F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4" authorId="0" shapeId="0" xr:uid="{0A285735-FD1E-48FF-9F82-61FE170264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4" authorId="0" shapeId="0" xr:uid="{18FF5EA6-82FD-4CCE-BBA3-03260F8BBD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4" authorId="0" shapeId="0" xr:uid="{5E714235-F77E-44DB-889F-5FE85AB82C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4" authorId="0" shapeId="0" xr:uid="{79863F4E-0351-4EC4-96EF-12C487300F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4" authorId="0" shapeId="0" xr:uid="{BDC556CC-58EB-4103-BB94-CD58CA0246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4" authorId="0" shapeId="0" xr:uid="{1EFF440C-CC72-49CD-A193-314A11B5D3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4" authorId="0" shapeId="0" xr:uid="{EB71F8F7-7C1A-434F-B6EA-68B6F0A5CE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4" authorId="0" shapeId="0" xr:uid="{0705932C-024D-4ECE-B903-C05AC4287A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4" authorId="0" shapeId="0" xr:uid="{B505FBAF-A6AD-4356-AD76-4D74AE50FC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4" authorId="0" shapeId="0" xr:uid="{D4F4896F-A0DC-45C4-95AF-D0AB583DDB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4" authorId="0" shapeId="0" xr:uid="{35D70D8D-FBF8-46AB-AFAB-535A95CD71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4" authorId="0" shapeId="0" xr:uid="{F02E2E52-A4B6-4C83-A232-3AF02CC931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4" authorId="0" shapeId="0" xr:uid="{2C1BEF79-D44B-4245-A9C1-B30390F02C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4" authorId="0" shapeId="0" xr:uid="{541A51C7-F0AF-4B51-9137-144A809284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4" authorId="0" shapeId="0" xr:uid="{15189CE1-D974-4805-814C-9EB5C249F6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4" authorId="0" shapeId="0" xr:uid="{56F16D1D-465F-49FB-ABE1-2801F04DB3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5" authorId="0" shapeId="0" xr:uid="{356EE6FA-FAB5-4B14-802B-794A073284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75" authorId="0" shapeId="0" xr:uid="{BF6BDFE4-0356-471B-B46D-9549DB6270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5" authorId="0" shapeId="0" xr:uid="{63C937D5-5541-4324-9A67-8452D454A9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5" authorId="0" shapeId="0" xr:uid="{93AE49AD-24E2-4EB6-8A35-D8A8143697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5" authorId="0" shapeId="0" xr:uid="{198536E8-3725-466D-A2FC-E55EBE9431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5" authorId="0" shapeId="0" xr:uid="{086018B9-7354-4797-9BB5-84D4A348F4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5" authorId="0" shapeId="0" xr:uid="{823AE44E-1FB8-4633-AF74-014AD74443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5" authorId="0" shapeId="0" xr:uid="{8D8A4575-373E-438A-A3A8-0D30B7BBA0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5" authorId="0" shapeId="0" xr:uid="{1694F8B3-5DB3-41BA-817D-C4115A4374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5" authorId="0" shapeId="0" xr:uid="{EF9560F4-2213-4F22-8006-42CD2A1D33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5" authorId="0" shapeId="0" xr:uid="{636092FC-E119-4994-B3F7-107DF3437E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5" authorId="0" shapeId="0" xr:uid="{D3C22830-DA45-47A8-BBEC-44F039C01A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5" authorId="0" shapeId="0" xr:uid="{628E5FF9-BA24-40C5-BEA7-2F74FF099B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5" authorId="0" shapeId="0" xr:uid="{8BBB388B-5C63-42C0-B1CF-6F1E45FD7F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5" authorId="0" shapeId="0" xr:uid="{1FA0EF44-C239-44DB-AC2E-3423BA868D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5" authorId="0" shapeId="0" xr:uid="{B451A886-A6C7-4F63-BF8E-0AABB74FE5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5" authorId="0" shapeId="0" xr:uid="{E8753F73-5580-4F7B-9818-1A7ECD5522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5" authorId="0" shapeId="0" xr:uid="{BEBB6C96-6721-4407-A772-9A9482CA5D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5" authorId="0" shapeId="0" xr:uid="{0CB59B3E-FD21-4434-9593-4EEC5167CA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5" authorId="0" shapeId="0" xr:uid="{F73B0762-AB6C-4804-AF50-DDAD7433DB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5" authorId="0" shapeId="0" xr:uid="{4E1888CB-6D12-47C8-8921-2A29952DBE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5" authorId="0" shapeId="0" xr:uid="{967FBF31-6DA5-4C12-A529-DEC01FF542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5" authorId="0" shapeId="0" xr:uid="{EAB059E3-8AC2-4F27-8077-4389366356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5" authorId="0" shapeId="0" xr:uid="{268D0D29-DFD7-4FA3-8240-3D69C68190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5" authorId="0" shapeId="0" xr:uid="{027A8E31-0120-41DE-AC30-9B75D012AE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6" authorId="0" shapeId="0" xr:uid="{2F3E4FC1-12E0-44F8-A43D-79328F45B0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6" authorId="0" shapeId="0" xr:uid="{82F4A015-0C80-43B8-A99F-B5154BCFF2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6" authorId="0" shapeId="0" xr:uid="{AE47497B-CC49-43F8-A2DA-FC2D911D58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6" authorId="0" shapeId="0" xr:uid="{65748807-E180-490B-9B69-5051878B35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6" authorId="0" shapeId="0" xr:uid="{0738DBAF-4156-439E-8A39-C3E38FD48A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6" authorId="0" shapeId="0" xr:uid="{144FA75F-251C-472D-8C6D-DCE57CE561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6" authorId="0" shapeId="0" xr:uid="{BE9F2EDA-12FF-4EB5-A0A3-17B7107342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6" authorId="0" shapeId="0" xr:uid="{5F9D1CA5-4733-45EB-8C20-1EF229787D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6" authorId="0" shapeId="0" xr:uid="{90E0044D-EF52-4841-8735-FCBB2E2E2C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6" authorId="0" shapeId="0" xr:uid="{ED3DD92A-9751-447A-94AB-A61DAE1B9F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6" authorId="0" shapeId="0" xr:uid="{3E14B62C-29B6-4385-AF18-59DB48D35B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6" authorId="0" shapeId="0" xr:uid="{4CDEDFFA-4F0A-41A3-B5D0-A6FE5BF920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6" authorId="0" shapeId="0" xr:uid="{BB024FE7-E926-4E7C-9546-67A96B446A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6" authorId="0" shapeId="0" xr:uid="{2582CAE5-13D5-45A7-B5DE-A265A8EF0A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6" authorId="0" shapeId="0" xr:uid="{78C5F11B-3F64-415C-AC6A-3AE6753DA9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6" authorId="0" shapeId="0" xr:uid="{76D90C78-8E35-4116-AA0A-86476A1132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6" authorId="0" shapeId="0" xr:uid="{6442CB32-624C-4F78-B400-3C6BECB729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6" authorId="0" shapeId="0" xr:uid="{CC8EFBCC-94FC-42A8-A888-BA618F0D7A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6" authorId="0" shapeId="0" xr:uid="{26BED5D3-C2D3-42AE-89CD-B4E02A570B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6" authorId="0" shapeId="0" xr:uid="{07636315-B01C-46F8-8A72-9B4597C961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6" authorId="0" shapeId="0" xr:uid="{665C7D55-160E-474E-8D2C-20E8DCED95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6" authorId="0" shapeId="0" xr:uid="{37A68BBB-384A-4D10-8DFA-00DA3F538E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76" authorId="0" shapeId="0" xr:uid="{9DCA57B7-FEF7-49D1-8ACB-D97D6D2F5F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6" authorId="0" shapeId="0" xr:uid="{6C6BA666-64EA-43D9-86BE-F5AF6EDFBC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7" authorId="0" shapeId="0" xr:uid="{BC52B707-0464-4533-A0C9-EE64484565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7" authorId="0" shapeId="0" xr:uid="{2DF88A5B-1235-41B6-A0F0-0A70007D99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7" authorId="0" shapeId="0" xr:uid="{9A632869-4207-4203-8B8C-D1F076776A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7" authorId="0" shapeId="0" xr:uid="{9D4551F0-5B10-49E7-B593-E753B4C51C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7" authorId="0" shapeId="0" xr:uid="{44D8F437-1075-4BB1-A773-4E18CB257A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7" authorId="0" shapeId="0" xr:uid="{B955BB2B-ECBC-4372-BD6C-A0B145CC34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7" authorId="0" shapeId="0" xr:uid="{E024AC7E-A04C-4B16-84C3-83F02057E7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7" authorId="0" shapeId="0" xr:uid="{5A855D50-F3BA-4954-B023-D632415E4C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7" authorId="0" shapeId="0" xr:uid="{2C22B1B1-D092-41AC-9322-3828E508B6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7" authorId="0" shapeId="0" xr:uid="{1A1819E7-EEC8-4714-9F40-210AC91C6D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7" authorId="0" shapeId="0" xr:uid="{56A127C0-D4D3-44A9-8813-8FC997C689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7" authorId="0" shapeId="0" xr:uid="{65BF3F3E-9BF2-45E8-9216-EEC0E9949C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7" authorId="0" shapeId="0" xr:uid="{82F2671B-330E-40E4-9742-11700D021B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7" authorId="0" shapeId="0" xr:uid="{B29CC737-C1BF-4C8A-88CE-180FE63D84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7" authorId="0" shapeId="0" xr:uid="{7740E77C-D263-4681-BCD5-0C536AE073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7" authorId="0" shapeId="0" xr:uid="{3B756BF4-547C-44AE-AD66-6F27B0EA59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7" authorId="0" shapeId="0" xr:uid="{4EB3F83B-7C0D-4027-A344-3DC0E74D9E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7" authorId="0" shapeId="0" xr:uid="{FF8DF7F7-9114-46E8-AD04-14FDD439D2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7" authorId="0" shapeId="0" xr:uid="{E2431C72-CE9D-4D38-8697-8FF3F0059F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7" authorId="0" shapeId="0" xr:uid="{4CF3B9A9-7E56-4075-B17A-B5A7668EAF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7" authorId="0" shapeId="0" xr:uid="{BCB39E7F-8050-41CE-9B03-EA0FAF2318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8" authorId="0" shapeId="0" xr:uid="{98F76917-7C96-4028-B976-EF2784A24B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8" authorId="0" shapeId="0" xr:uid="{6E2743D1-81C2-4561-900E-FD5D45A5C4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8" authorId="0" shapeId="0" xr:uid="{7FA8FA64-DD39-48FB-B296-72CAB3041E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8" authorId="0" shapeId="0" xr:uid="{E47555A9-FDDC-4D05-BDAF-5D6C8D0C27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8" authorId="0" shapeId="0" xr:uid="{2391D37A-3CBE-44F5-AAB4-327846F5D6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8" authorId="0" shapeId="0" xr:uid="{29241689-1431-4B5A-B16A-F99F26A851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8" authorId="0" shapeId="0" xr:uid="{289345C1-0080-47AF-ABED-B5D197B1CB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8" authorId="0" shapeId="0" xr:uid="{670A8B74-DA9F-4CCD-A9A5-9BED31BE73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8" authorId="0" shapeId="0" xr:uid="{B62D5F21-9258-4214-A852-CB79B366A1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8" authorId="0" shapeId="0" xr:uid="{6D3EA2C2-26E9-4E8A-9F97-6F6CB87EA2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8" authorId="0" shapeId="0" xr:uid="{7545FCDB-4392-4855-BE6D-420DBFC847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8" authorId="0" shapeId="0" xr:uid="{5FD8CE3A-2786-4FEF-8812-D54B9C2015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8" authorId="0" shapeId="0" xr:uid="{943C9EFA-F8AD-44C1-B698-E98183A9AC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8" authorId="0" shapeId="0" xr:uid="{0AA0D08D-BE18-4652-8E45-BEB196AACE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8" authorId="0" shapeId="0" xr:uid="{4D25941E-7ACE-4018-9474-6033DEA456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8" authorId="0" shapeId="0" xr:uid="{21827E60-1E75-41F9-9FE2-ECC1A226AB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8" authorId="0" shapeId="0" xr:uid="{C0F0B0C4-3FF6-469F-891B-2918FA520C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8" authorId="0" shapeId="0" xr:uid="{32D13C7C-C529-4540-BB5E-E5BE7D884F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8" authorId="0" shapeId="0" xr:uid="{E7B087F2-05D6-425F-84DB-8A97198C14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8" authorId="0" shapeId="0" xr:uid="{E0F92DCF-4E44-4215-8D84-18B5F234EA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8" authorId="0" shapeId="0" xr:uid="{F597DD17-0CBB-4472-B145-713EA770E2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8" authorId="0" shapeId="0" xr:uid="{069BD2BB-7603-4D27-B260-879ECACE39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8" authorId="0" shapeId="0" xr:uid="{0EB52E7E-B61E-4527-9E09-9065D88FF5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8" authorId="0" shapeId="0" xr:uid="{8602B6B6-54C9-47BA-946A-B6D72031C2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8" authorId="0" shapeId="0" xr:uid="{B16EA88E-6BC0-4E18-ADB5-F0A8DCEBAF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9" authorId="0" shapeId="0" xr:uid="{CCCEBF54-5C7B-41FD-8DCA-D817F9F029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9" authorId="0" shapeId="0" xr:uid="{485029E8-595A-4751-BD7D-3AFCE748A9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9" authorId="0" shapeId="0" xr:uid="{05F41483-70E5-47D7-AA0C-D87550BD7E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9" authorId="0" shapeId="0" xr:uid="{2F281EBB-EFDD-411C-B923-C646556686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9" authorId="0" shapeId="0" xr:uid="{5C19220C-0D5A-43D6-98BB-C17C181C3D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9" authorId="0" shapeId="0" xr:uid="{0AE90951-ED8A-41F2-B6B9-20525447DE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9" authorId="0" shapeId="0" xr:uid="{CAAC8741-459D-41AE-917B-A214008677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9" authorId="0" shapeId="0" xr:uid="{F2075968-F898-41C6-AF6B-216F3FF032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9" authorId="0" shapeId="0" xr:uid="{C3368D92-8C05-4293-A11D-D4AD710654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9" authorId="0" shapeId="0" xr:uid="{460E9B63-F4E0-4A88-9B5F-A67EC1D545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9" authorId="0" shapeId="0" xr:uid="{DCFA70FF-18E0-4075-9933-1E951ED248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9" authorId="0" shapeId="0" xr:uid="{E9BD3DAB-9796-415D-A771-8828F53F65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9" authorId="0" shapeId="0" xr:uid="{F4CDB1DF-4EF2-475B-AFE0-158ECEC135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9" authorId="0" shapeId="0" xr:uid="{1CA5719F-2070-4F59-B174-2ECFFFF287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9" authorId="0" shapeId="0" xr:uid="{44B29212-6B73-4826-9F06-E9D5F88EF3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9" authorId="0" shapeId="0" xr:uid="{D53E670B-C1AC-4824-9D87-ACCAA13479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9" authorId="0" shapeId="0" xr:uid="{265FAC8B-AF56-4D0C-A769-B4E822BD9D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9" authorId="0" shapeId="0" xr:uid="{05089E57-B0FA-44A9-B99E-AE8F143844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9" authorId="0" shapeId="0" xr:uid="{C5568409-2DC2-4919-8CBF-5D9FB82764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9" authorId="0" shapeId="0" xr:uid="{39CD9B0A-CF6A-4C12-8519-F6511C87ED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9" authorId="0" shapeId="0" xr:uid="{B41EFB30-B1BF-4FA7-A45A-56466EAC63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9" authorId="0" shapeId="0" xr:uid="{48778976-FA99-42F5-A369-EAB60CEDB3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0" authorId="0" shapeId="0" xr:uid="{00EC814B-C463-4CDE-9D3B-74C21B0BBD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0" authorId="0" shapeId="0" xr:uid="{3AF27ECB-B28D-43CB-8795-FF0AA02D24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0" authorId="0" shapeId="0" xr:uid="{BEAC1F6A-CF2C-4EE8-B756-CB1B9005B5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0" authorId="0" shapeId="0" xr:uid="{E9F728DC-1CDF-48DE-B3E2-FBB3AEB964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0" authorId="0" shapeId="0" xr:uid="{98571CF1-8F4C-4927-AF4B-1F1303FA90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0" authorId="0" shapeId="0" xr:uid="{427E1E53-2188-45E9-AB9C-378D45150C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0" authorId="0" shapeId="0" xr:uid="{F88E24C0-48F8-4E36-9E18-E34583B81C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80" authorId="0" shapeId="0" xr:uid="{D4A81D0D-34F4-442A-A79F-5A7493E333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0" authorId="0" shapeId="0" xr:uid="{C065D1C7-3C3C-440B-ADD6-CB381EB51D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0" authorId="0" shapeId="0" xr:uid="{E74312F4-AE49-4134-82C9-C98572CD36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0" authorId="0" shapeId="0" xr:uid="{FEF7DA0F-A004-4003-BE4B-E9639F5D07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1" authorId="0" shapeId="0" xr:uid="{8AFFBAC4-6E1D-4C59-9257-7B15314CCD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1" authorId="0" shapeId="0" xr:uid="{45D18440-154E-4D00-AE48-F966E7917D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1" authorId="0" shapeId="0" xr:uid="{0CDC0451-A94B-4245-8ED2-46F0BD6E5E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1" authorId="0" shapeId="0" xr:uid="{463A390C-9258-4A38-9602-7411EA4278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1" authorId="0" shapeId="0" xr:uid="{351BB0DA-B092-4F17-AF5E-DC7519EEE9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1" authorId="0" shapeId="0" xr:uid="{B98E194B-60D0-467D-8DD4-D681656648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1" authorId="0" shapeId="0" xr:uid="{7BF84E7B-582C-4DA9-9357-84150DCFB0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1" authorId="0" shapeId="0" xr:uid="{9EA400A0-F284-4E7E-85C2-2ECA5C0362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1" authorId="0" shapeId="0" xr:uid="{F63BEE61-93E9-4E8F-92A7-EB9121BA09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1" authorId="0" shapeId="0" xr:uid="{6DB87C9F-B24C-4A39-825D-EE8CE2D5F4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2" authorId="0" shapeId="0" xr:uid="{1D1D6D07-448F-48C7-8F90-D61F747724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2" authorId="0" shapeId="0" xr:uid="{7CB8BAC6-811C-408A-BCD4-4724AED33A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2" authorId="0" shapeId="0" xr:uid="{2EAAC0D2-3E11-4113-A369-3481C4AC8C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2" authorId="0" shapeId="0" xr:uid="{B32DC9FB-390D-4D58-A01D-C6A576B14B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2" authorId="0" shapeId="0" xr:uid="{0625B46E-8C33-41B8-8192-678ADBAE42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2" authorId="0" shapeId="0" xr:uid="{C17F7249-A2CA-435E-BABC-0D65C24212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2" authorId="0" shapeId="0" xr:uid="{AE226E82-873E-4DA1-828C-C2D51A2499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2" authorId="0" shapeId="0" xr:uid="{5E0ECB29-1C09-4A61-98CD-837D62A881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2" authorId="0" shapeId="0" xr:uid="{58CA9361-B679-4993-ACAD-DE63A45079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2" authorId="0" shapeId="0" xr:uid="{3FBA6109-0E9F-4D34-B982-EBED35AFD9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2" authorId="0" shapeId="0" xr:uid="{ACF3A3F0-0F77-4B7C-8C76-DE858B1DB2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3" authorId="0" shapeId="0" xr:uid="{F2B7A281-D829-42DB-86B3-874CEAA5FB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3" authorId="0" shapeId="0" xr:uid="{30A99CC0-0AE0-4D94-A5B7-4AA2A9DFE1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3" authorId="0" shapeId="0" xr:uid="{C7AEDCCB-1212-42D3-84B0-C3BF58B784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3" authorId="0" shapeId="0" xr:uid="{CFB53F14-E852-4E78-8C0F-179DE65B4E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3" authorId="0" shapeId="0" xr:uid="{05991BB2-C49C-40EF-BFA3-B28E1CD676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3" authorId="0" shapeId="0" xr:uid="{71598F1D-AAF9-48DB-93A3-4558F24033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3" authorId="0" shapeId="0" xr:uid="{7665D81A-D543-4D4E-AC8B-4FC6FF9800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3" authorId="0" shapeId="0" xr:uid="{014BC064-6C94-4C43-9B64-2BA9BEA937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3" authorId="0" shapeId="0" xr:uid="{F3C27633-67D8-403C-8F29-161A4ECC16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3" authorId="0" shapeId="0" xr:uid="{C665CCBE-6A6B-467A-9F28-E8125F04B6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3" authorId="0" shapeId="0" xr:uid="{77EE2A47-E127-49AC-8567-0A54990B72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4" authorId="0" shapeId="0" xr:uid="{9B5B83DD-C5E7-4C25-A65D-ADDCB4B3C9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4" authorId="0" shapeId="0" xr:uid="{90EEE978-AB55-4D3B-BB77-FECEC034A2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4" authorId="0" shapeId="0" xr:uid="{4DED802B-47D7-4542-BA95-2668638842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4" authorId="0" shapeId="0" xr:uid="{F821DCD9-15D5-4EA6-9447-07F7C9EB01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4" authorId="0" shapeId="0" xr:uid="{F20D1411-3896-44C1-9931-B9E252CF96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4" authorId="0" shapeId="0" xr:uid="{B3981CCD-1BB7-492E-B261-0B377E158A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4" authorId="0" shapeId="0" xr:uid="{CE029667-E3C1-4DB2-9667-F16CFE3491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4" authorId="0" shapeId="0" xr:uid="{D63DB5F0-93FC-4849-BC14-CD6566A63D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4" authorId="0" shapeId="0" xr:uid="{1CD3ADF3-5F6E-49F2-9F1F-D43C31100B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4" authorId="0" shapeId="0" xr:uid="{4B7E0498-EA8C-49E7-9847-1853206F54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5" authorId="0" shapeId="0" xr:uid="{2C624623-36A3-4C37-854A-AED55AB759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5" authorId="0" shapeId="0" xr:uid="{62BF8B89-A703-417F-8BBA-8BFF718645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5" authorId="0" shapeId="0" xr:uid="{BA78469D-D1EF-457A-9865-614FA05D80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5" authorId="0" shapeId="0" xr:uid="{AC0081CD-D960-43E6-8177-2995F2CBB8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5" authorId="0" shapeId="0" xr:uid="{0D3B1C90-F156-4F0F-978E-53F69CE1CE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5" authorId="0" shapeId="0" xr:uid="{0D224981-902E-4E72-8058-952E00BFEF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5" authorId="0" shapeId="0" xr:uid="{0A51E5FE-8C32-4557-8DC1-533A2F600F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5" authorId="0" shapeId="0" xr:uid="{EEF912DD-3981-48FE-BBB0-FFDF208E0C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5" authorId="0" shapeId="0" xr:uid="{BD920D7F-D55E-4790-95CD-E5C001178A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5" authorId="0" shapeId="0" xr:uid="{D5BEEB6A-00C2-4E74-9D41-06F557BCD3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6" authorId="0" shapeId="0" xr:uid="{89DCEF9B-9FE0-4DBA-B7BC-EDD4EE51FF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6" authorId="0" shapeId="0" xr:uid="{38051F0C-FBE9-4DE0-B839-8675CF3C2E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6" authorId="0" shapeId="0" xr:uid="{8361E3A9-E6C6-4F5A-B175-8CE3F0AD3B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6" authorId="0" shapeId="0" xr:uid="{740A9776-A6B2-492E-BF79-47151AE512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6" authorId="0" shapeId="0" xr:uid="{529F4C0B-D158-4EE1-B0C0-BFCCFF9619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6" authorId="0" shapeId="0" xr:uid="{61FFCE89-9015-4D67-B287-0DA4DFA4DA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6" authorId="0" shapeId="0" xr:uid="{0160FB30-14A9-4C7D-9820-2E9D0CAB39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6" authorId="0" shapeId="0" xr:uid="{4802569C-0013-44A2-8985-2B5CA690EE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6" authorId="0" shapeId="0" xr:uid="{07671646-0102-46D7-AA73-5A5E8198D1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6" authorId="0" shapeId="0" xr:uid="{E850B8F6-0278-403B-A9D8-54958C798F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6" authorId="0" shapeId="0" xr:uid="{98D719C9-C062-4550-8C2A-B45D6E427A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7" authorId="0" shapeId="0" xr:uid="{D7683265-912C-4D8B-BF47-C6350FEFC5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7" authorId="0" shapeId="0" xr:uid="{7C1EC8FC-4B57-4FF9-888A-0480B3B565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7" authorId="0" shapeId="0" xr:uid="{B4D9AA67-C41F-404D-BB39-76177453FF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7" authorId="0" shapeId="0" xr:uid="{9A990E98-170C-41D0-AA90-48A3F01474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7" authorId="0" shapeId="0" xr:uid="{C8237A56-A928-478D-A984-EB2FB05627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7" authorId="0" shapeId="0" xr:uid="{587277C0-055F-4E1B-AED7-DAD64C4C08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7" authorId="0" shapeId="0" xr:uid="{1C17D634-648A-43DD-9C3F-68976CDB6A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7" authorId="0" shapeId="0" xr:uid="{34D33762-E232-43F4-AF89-74559E5345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7" authorId="0" shapeId="0" xr:uid="{C6966640-68E8-4314-AC30-21AE654B45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7" authorId="0" shapeId="0" xr:uid="{7891A899-CE6A-4164-A5B6-C70511871D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7" authorId="0" shapeId="0" xr:uid="{927676EF-C8C4-4A11-98D7-78EBF8BD74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7" authorId="0" shapeId="0" xr:uid="{F7AFC721-7CE7-4A5C-BB36-5B0D4AF8B8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8" authorId="0" shapeId="0" xr:uid="{8FCC1799-4572-46ED-BC1F-2A26E132D3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8" authorId="0" shapeId="0" xr:uid="{5708B48A-0B3D-48BE-BA2E-C651FFEA9A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8" authorId="0" shapeId="0" xr:uid="{8B355761-E08C-450F-B542-2238FFC736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8" authorId="0" shapeId="0" xr:uid="{54F44EBF-1819-4B7D-9221-820B96A1CE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8" authorId="0" shapeId="0" xr:uid="{A7017C2D-2FD7-4052-947B-89DF7EF6C7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88" authorId="0" shapeId="0" xr:uid="{7712B29E-FA44-4837-80A5-1627D6545C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8" authorId="0" shapeId="0" xr:uid="{21A4D728-D37A-4B6B-B29E-C56AC18A98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8" authorId="0" shapeId="0" xr:uid="{623FF224-9D56-4CE3-8DE6-437D9CC827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8" authorId="0" shapeId="0" xr:uid="{85A4975F-CFBC-487A-9326-5395D4DE7E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8" authorId="0" shapeId="0" xr:uid="{99E9A7C1-CF77-4564-9A21-B41BF9FB20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8" authorId="0" shapeId="0" xr:uid="{7ABF4602-7384-4680-BA96-554B1522EB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8" authorId="0" shapeId="0" xr:uid="{351797FE-8CC9-4DFB-8160-870A05544A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8" authorId="0" shapeId="0" xr:uid="{57A3AFE9-D372-4D1C-A47C-028D4F86E3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8" authorId="0" shapeId="0" xr:uid="{6C4FBC8C-7FF2-436C-9BEB-04A9B93CE9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9" authorId="0" shapeId="0" xr:uid="{6C00AB97-B0AA-47ED-A7B9-619D5A949B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9" authorId="0" shapeId="0" xr:uid="{E67BB199-EB73-4E78-A609-F74A6944E0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9" authorId="0" shapeId="0" xr:uid="{E6A73849-4625-45A5-84FF-6BACDA1DDD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9" authorId="0" shapeId="0" xr:uid="{F98BCB97-18CD-450B-A007-86F649B810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89" authorId="0" shapeId="0" xr:uid="{A94536CE-CA07-4C4A-9F8F-718C99CC70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9" authorId="0" shapeId="0" xr:uid="{0310A809-9879-407F-9B96-C90DDE28FF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89" authorId="0" shapeId="0" xr:uid="{581C0E5A-8BF4-4464-9F70-8F5568EAD4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9" authorId="0" shapeId="0" xr:uid="{656EAAA5-0D8F-4595-B89D-06DD8A9F2F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9" authorId="0" shapeId="0" xr:uid="{A7C28F7E-AF84-4A22-978D-E6AA1445CD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9" authorId="0" shapeId="0" xr:uid="{68E1CE72-7408-4F4C-B69F-85E3D82E58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9" authorId="0" shapeId="0" xr:uid="{60A8A8DC-9B8B-485B-ACAF-BD2A1F80B2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9" authorId="0" shapeId="0" xr:uid="{A5F04646-4E47-4D02-8ACB-3DB40CEFDA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89" authorId="0" shapeId="0" xr:uid="{419ED08A-1962-456C-B0A5-DD2FE2F254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9" authorId="0" shapeId="0" xr:uid="{A12F2F63-6765-4D9D-AAD7-0829556331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9" authorId="0" shapeId="0" xr:uid="{CA00DD5D-1BED-4BE2-B900-F4E7A3861A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0" authorId="0" shapeId="0" xr:uid="{498083B8-9338-4B42-AA8F-CD17184C03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0" authorId="0" shapeId="0" xr:uid="{52DFD177-BBDA-4DC9-B577-A0586BF4DD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0" authorId="0" shapeId="0" xr:uid="{3EF5DA64-7D4C-4A96-9A67-7FD4A74CBD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0" authorId="0" shapeId="0" xr:uid="{C2E03349-7067-43E4-A2F1-A6240B4081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0" authorId="0" shapeId="0" xr:uid="{5A162FBF-373C-40BA-B041-53C902D128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0" authorId="0" shapeId="0" xr:uid="{483359F8-33F8-40BF-87F3-61CEFBC81E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0" authorId="0" shapeId="0" xr:uid="{95CDC133-C314-43D9-9DA6-84BA538AEF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0" authorId="0" shapeId="0" xr:uid="{486E6D85-FA6F-460C-B272-2E2E8D602C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0" authorId="0" shapeId="0" xr:uid="{9C314EDD-2664-4CEB-A753-50C121EF5F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0" authorId="0" shapeId="0" xr:uid="{3B020BE7-FA49-4D08-A03C-F16E39BB3A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0" authorId="0" shapeId="0" xr:uid="{8E9C7EED-15B2-48CC-BF67-7094961AD6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0" authorId="0" shapeId="0" xr:uid="{2C92524F-8E3A-4478-AA6C-FF15A3274B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0" authorId="0" shapeId="0" xr:uid="{751A50FF-6875-4527-B239-C6ACF86EFB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0" authorId="0" shapeId="0" xr:uid="{85A85157-12D2-420C-A0DF-3A4C427A34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1" authorId="0" shapeId="0" xr:uid="{4ADEC73C-547C-485B-A364-02FC782015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1" authorId="0" shapeId="0" xr:uid="{594D58E0-CBAE-4E83-8531-3B7BEABB2B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91" authorId="0" shapeId="0" xr:uid="{D505A72E-C893-467C-B5D2-13AC729683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1" authorId="0" shapeId="0" xr:uid="{E1B22B2C-A6BD-44DF-A619-B6D16D4096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1" authorId="0" shapeId="0" xr:uid="{6C6909CF-3C16-48F6-88AC-13DDC1AEE2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1" authorId="0" shapeId="0" xr:uid="{E1A5C9CE-9C18-43A1-BFA9-9520074757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1" authorId="0" shapeId="0" xr:uid="{68B622A4-10F8-4995-826D-54FAC9FD39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1" authorId="0" shapeId="0" xr:uid="{434E0A3B-3CAD-42E7-B834-82DB0B84E5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1" authorId="0" shapeId="0" xr:uid="{7878F5E8-91D8-4086-BDFC-B9230A418D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1" authorId="0" shapeId="0" xr:uid="{CDFF2557-88DF-4567-ACAB-52B9B4E444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1" authorId="0" shapeId="0" xr:uid="{BF165740-DB9C-4B81-8F5D-A73660E881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1" authorId="0" shapeId="0" xr:uid="{09F3DC10-E94D-46AA-AC09-FB1B965F5B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1" authorId="0" shapeId="0" xr:uid="{01EF9A48-C1B6-45B1-BE07-6C95907670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1" authorId="0" shapeId="0" xr:uid="{6A9C4857-5A75-436C-8551-F2E04C23BE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1" authorId="0" shapeId="0" xr:uid="{357CD5B1-3282-49F5-BD32-04BAE97196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1" authorId="0" shapeId="0" xr:uid="{DB480150-C1DA-4395-AE22-217C2435CB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1" authorId="0" shapeId="0" xr:uid="{57A4A599-E899-46E6-AB74-8A233052A2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1" authorId="0" shapeId="0" xr:uid="{CBDFB486-ABE9-42C6-AFD4-98F0952267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1" authorId="0" shapeId="0" xr:uid="{78F36530-958B-40C6-9A12-C32A216BCB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1" authorId="0" shapeId="0" xr:uid="{E7A277D6-59B9-4052-9F32-33058DD5BA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1" authorId="0" shapeId="0" xr:uid="{44756660-10FE-4A45-BE1C-60B8D654EB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2" authorId="0" shapeId="0" xr:uid="{38EE1233-04F7-4859-8954-34F6688AFC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2" authorId="0" shapeId="0" xr:uid="{82326B13-7789-485F-81C1-0B2C4B02EF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92" authorId="0" shapeId="0" xr:uid="{691548EE-1AE4-440E-8C9C-D2349A698F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2" authorId="0" shapeId="0" xr:uid="{2D75B651-90FF-48C6-B19D-B0B9EB64F6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92" authorId="0" shapeId="0" xr:uid="{35B019B3-C0CB-4345-897C-EF2231F288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2" authorId="0" shapeId="0" xr:uid="{679091A4-2C16-4A19-9186-6B77DA9D5B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2" authorId="0" shapeId="0" xr:uid="{F0ECFC30-CA06-47DB-B76D-7B4AA36897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2" authorId="0" shapeId="0" xr:uid="{9A151C1F-1DA8-40FB-B5D2-DDE527C5B6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92" authorId="0" shapeId="0" xr:uid="{9527D27B-D551-42F8-92CE-E868B461F0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2" authorId="0" shapeId="0" xr:uid="{DE980199-DBFE-4FBF-8265-AD66A00D3E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2" authorId="0" shapeId="0" xr:uid="{C07BF826-2509-414F-B01B-A67D4C0FCE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92" authorId="0" shapeId="0" xr:uid="{E53A7DC2-5F95-454B-8DED-A45AFE15D1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92" authorId="0" shapeId="0" xr:uid="{AB92D395-AAB2-4D6A-8DFB-262295103E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2" authorId="0" shapeId="0" xr:uid="{4E7F0CEC-A20E-4D32-AA1A-7EB721ACC3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2" authorId="0" shapeId="0" xr:uid="{FD9C89F2-CB60-48B2-844E-C94CCFDA81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2" authorId="0" shapeId="0" xr:uid="{B20ED576-BE90-47D6-B566-9D9F13A93D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2" authorId="0" shapeId="0" xr:uid="{A97352E5-3FCC-42FE-BC3F-69434F06D0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2" authorId="0" shapeId="0" xr:uid="{E53F2495-D578-43A2-84CC-63E7DF6ED9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2" authorId="0" shapeId="0" xr:uid="{0024A59C-8720-46C5-AA53-BBE95BFDA9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2" authorId="0" shapeId="0" xr:uid="{B7870ED1-8EA3-4D9C-9B33-E77676669C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2" authorId="0" shapeId="0" xr:uid="{984F0071-0E68-44B4-AB44-A00BA38B24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92" authorId="0" shapeId="0" xr:uid="{527B1502-9121-4F0B-B0FD-7F7161EA0D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92" authorId="0" shapeId="0" xr:uid="{5CB983FA-1AD5-41EF-B3E4-A9705A4897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92" authorId="0" shapeId="0" xr:uid="{F0E676CD-3BF4-44EF-B2D9-ACE24BA5A2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2" authorId="0" shapeId="0" xr:uid="{8D06DCD1-9378-4A3E-A193-7982362AE9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2" authorId="0" shapeId="0" xr:uid="{51A9E4BC-590F-46EE-8A87-C8DF27D663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3" authorId="0" shapeId="0" xr:uid="{87A477BB-369F-4360-BF46-769F1C644F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3" authorId="0" shapeId="0" xr:uid="{11F6649D-4A42-43DF-A871-04F96B75BC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3" authorId="0" shapeId="0" xr:uid="{44383651-A7AC-4D4E-9073-F9666DF9A4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3" authorId="0" shapeId="0" xr:uid="{6DFF76E0-C3AA-49F6-8892-15D2D9689F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93" authorId="0" shapeId="0" xr:uid="{968FD204-BD85-44B6-8CD0-7858F16305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3" authorId="0" shapeId="0" xr:uid="{72422EFF-A7F5-4C08-8083-B5AF54CEC6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93" authorId="0" shapeId="0" xr:uid="{466EBD02-85BE-4D75-B974-C1EFF60E2B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3" authorId="0" shapeId="0" xr:uid="{362C8474-DBC3-4DBA-843D-42A1D4CCE6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3" authorId="0" shapeId="0" xr:uid="{77A848D6-4904-4C77-A6FE-CA2D053E07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3" authorId="0" shapeId="0" xr:uid="{A92C2729-5AA3-4003-9995-F8D9BBD51F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3" authorId="0" shapeId="0" xr:uid="{2C7C98DE-0C87-4310-A8EC-DD7E873AA8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3" authorId="0" shapeId="0" xr:uid="{4384A983-838B-4010-A703-8180218D82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93" authorId="0" shapeId="0" xr:uid="{F7E5928E-CB52-46B1-918E-3657753164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3" authorId="0" shapeId="0" xr:uid="{DB8AEE19-1290-490F-ADEC-3CDC65BDF4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3" authorId="0" shapeId="0" xr:uid="{90790269-2228-469A-B065-107F69FA8F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3" authorId="0" shapeId="0" xr:uid="{D94B5CC8-DEAB-4B6D-80C4-465F21995B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3" authorId="0" shapeId="0" xr:uid="{9C5EFCC5-7B93-49F8-8A5A-EB4DD4630C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3" authorId="0" shapeId="0" xr:uid="{C37B73F1-8E47-4C8B-B106-0263F4508D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3" authorId="0" shapeId="0" xr:uid="{F714CAA1-92B2-45DA-9EED-839D2C8FA3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3" authorId="0" shapeId="0" xr:uid="{178E0CDB-2B1A-4B39-BCED-078708EABD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3" authorId="0" shapeId="0" xr:uid="{95D18721-13F2-4931-8F06-BEBB384201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3" authorId="0" shapeId="0" xr:uid="{B5303EEA-DFDA-49A5-B68B-50659817BC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3" authorId="0" shapeId="0" xr:uid="{27D47646-0F8D-4D69-AB80-9A4882B4D3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4" authorId="0" shapeId="0" xr:uid="{C9EFBDEE-BC0A-4AC1-9592-383601779E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4" authorId="0" shapeId="0" xr:uid="{268EB7C0-3B97-49E7-A701-7D9DC34DC7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4" authorId="0" shapeId="0" xr:uid="{E76A296A-72F4-48BD-B6B6-601FC6B79B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4" authorId="0" shapeId="0" xr:uid="{25265888-0FC2-4909-8E8A-E9F4D95AE0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4" authorId="0" shapeId="0" xr:uid="{27695492-051F-4147-82C3-49B695E5A2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4" authorId="0" shapeId="0" xr:uid="{12CDFFDB-EC82-4845-AD12-6564BCF9A5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4" authorId="0" shapeId="0" xr:uid="{58F9F7A8-AFB7-4E93-B062-E73EE10FC7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4" authorId="0" shapeId="0" xr:uid="{224661B0-A4A3-4C7A-B608-8BCC66FA2A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4" authorId="0" shapeId="0" xr:uid="{3F044B44-8258-4F88-A4A4-FCA6E4A0F7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4" authorId="0" shapeId="0" xr:uid="{4B884D79-D2C7-4C17-B36F-C21F85D641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4" authorId="0" shapeId="0" xr:uid="{43B365C9-62A4-47C8-A22A-8C4F9AF8C4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4" authorId="0" shapeId="0" xr:uid="{BFFD8D84-F9BE-4FCF-9CCE-5410412B26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94" authorId="0" shapeId="0" xr:uid="{8F9E7CB6-CCA2-4EA2-9D97-C86DF3D9CA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4" authorId="0" shapeId="0" xr:uid="{1F71FC9D-F807-4F19-BE3B-B94D51CD54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4" authorId="0" shapeId="0" xr:uid="{FE99F47D-56F6-4520-96B8-629E00142E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5" authorId="0" shapeId="0" xr:uid="{AF6C55C7-CC73-4E8D-98F8-2FF3CC9671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5" authorId="0" shapeId="0" xr:uid="{8589F355-BA20-42B6-88A1-613BFA690D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5" authorId="0" shapeId="0" xr:uid="{45D1A9D9-AC38-47BF-86A6-DEACF5E33A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5" authorId="0" shapeId="0" xr:uid="{806D1707-79E0-48CE-B98A-E9C9B041E5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5" authorId="0" shapeId="0" xr:uid="{9990D2DE-7745-4E5C-8F45-2B785A4EF9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5" authorId="0" shapeId="0" xr:uid="{AF4B70D1-9EC9-4791-BF26-18F300F723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5" authorId="0" shapeId="0" xr:uid="{60280315-BAF4-4073-A04F-1FC962B96B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5" authorId="0" shapeId="0" xr:uid="{7420F403-6351-4321-BEBA-297AF47E2D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5" authorId="0" shapeId="0" xr:uid="{EA233029-3E6A-41E4-AD12-59EC442A65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5" authorId="0" shapeId="0" xr:uid="{381BB81F-3094-4ED6-BD9D-97DF2B40C8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5" authorId="0" shapeId="0" xr:uid="{B97B91C4-084E-4C6B-832E-18D62ED883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5" authorId="0" shapeId="0" xr:uid="{C399BF43-41D5-4023-AB48-09171D22ED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5" authorId="0" shapeId="0" xr:uid="{99B9BA86-38D4-4975-8B77-183D44F30F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5" authorId="0" shapeId="0" xr:uid="{6F39C577-8270-41E8-A050-1C2A2B958D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6" authorId="0" shapeId="0" xr:uid="{927CDCCE-EAA5-4625-950F-0FC1A343B2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6" authorId="0" shapeId="0" xr:uid="{90D0B26E-6318-4D6F-BBBF-31E71FF765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6" authorId="0" shapeId="0" xr:uid="{D307868E-824E-4DDD-B35B-3ECCAFBFF3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6" authorId="0" shapeId="0" xr:uid="{9F12D294-B9D6-494A-BD08-D506AA2FCB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6" authorId="0" shapeId="0" xr:uid="{5E168718-94AB-4B3C-A13E-2740D45C5A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6" authorId="0" shapeId="0" xr:uid="{D0F89034-8587-4422-939D-30ED9F6FD1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6" authorId="0" shapeId="0" xr:uid="{6F8D3FD2-637A-48A6-8B83-7B4E66F8DB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6" authorId="0" shapeId="0" xr:uid="{F4FEB8A7-A96A-4E92-AB44-BF562462D0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6" authorId="0" shapeId="0" xr:uid="{1DE9D537-A37B-4953-877B-7344B4414F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6" authorId="0" shapeId="0" xr:uid="{64C6DE67-43AD-40E0-9F01-0439ED2F8D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6" authorId="0" shapeId="0" xr:uid="{6D67AFCE-1448-410F-9DB1-1AB1206B03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7" authorId="0" shapeId="0" xr:uid="{73B34FDA-ECAA-4639-A35A-68BCA7BCC2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7" authorId="0" shapeId="0" xr:uid="{693706DE-7F56-4096-9F93-AC0D3DC5DA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7" authorId="0" shapeId="0" xr:uid="{4B056AD4-B74E-4B6C-926C-69F1C7A215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7" authorId="0" shapeId="0" xr:uid="{2B230AF7-751B-4204-8654-4684A1EA65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7" authorId="0" shapeId="0" xr:uid="{65422BEF-31C8-4A34-9D0F-B3FC7371D7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7" authorId="0" shapeId="0" xr:uid="{563D6CB0-78CB-4069-9857-F8FD10E95D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7" authorId="0" shapeId="0" xr:uid="{BC388DCD-622E-4639-B04B-17DBF2A268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7" authorId="0" shapeId="0" xr:uid="{701B3BE4-DBD4-471C-8841-57AA8B5691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7" authorId="0" shapeId="0" xr:uid="{F1FC2082-A7E2-498F-9EB9-D9184D3C40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7" authorId="0" shapeId="0" xr:uid="{6802C89D-A074-4C1F-8E38-8AE8C5BA9E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7" authorId="0" shapeId="0" xr:uid="{94BE43F6-9148-4A23-B365-06D4DE8CEC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8" authorId="0" shapeId="0" xr:uid="{D843A49C-C002-4A39-9E47-B5B9FEDD48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8" authorId="0" shapeId="0" xr:uid="{FCD530A9-7B65-4151-A20D-89489EE747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8" authorId="0" shapeId="0" xr:uid="{887B0FFD-C996-40B4-B120-DA2073DA86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8" authorId="0" shapeId="0" xr:uid="{1D2B0078-DF49-43DF-921F-71AF95F00B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8" authorId="0" shapeId="0" xr:uid="{24926870-87A7-40DE-8F71-FA7F1A99ED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8" authorId="0" shapeId="0" xr:uid="{642DCDC7-C63A-454C-A96D-19BB09D53B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8" authorId="0" shapeId="0" xr:uid="{1D5DEFC2-A175-4BD9-BADE-5D08734389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8" authorId="0" shapeId="0" xr:uid="{11F43D12-857F-471E-AC71-35D5790AC5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8" authorId="0" shapeId="0" xr:uid="{1EC97F04-D4B6-45C8-A545-AE099BB8B9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8" authorId="0" shapeId="0" xr:uid="{401EFC78-FDDF-4FE4-B988-D224CE3066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8" authorId="0" shapeId="0" xr:uid="{5413C5FC-DBDF-4D77-87B9-4B24C8AE1E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9" authorId="0" shapeId="0" xr:uid="{43DC84CC-B3AB-42B7-8321-E111E0A539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9" authorId="0" shapeId="0" xr:uid="{0786349E-CFBF-49BC-842E-16A3B20FE5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9" authorId="0" shapeId="0" xr:uid="{9D660715-8D80-4C3A-9BEE-D6540DA1D5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9" authorId="0" shapeId="0" xr:uid="{CE7F5692-2175-4A8D-ADCB-2133ACF218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9" authorId="0" shapeId="0" xr:uid="{004CCA6B-D054-4D8A-8B58-B6DD83A1DF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9" authorId="0" shapeId="0" xr:uid="{1CDE749D-A4A8-406B-B5E4-E2E724A612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9" authorId="0" shapeId="0" xr:uid="{F98C2D85-EEF9-4BC5-84F9-EB317DFD5F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9" authorId="0" shapeId="0" xr:uid="{10D5407F-FAE6-4DE8-909D-85A4D2CD48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9" authorId="0" shapeId="0" xr:uid="{B8D81290-6FAB-47A1-9FF5-1CDAF3B550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9" authorId="0" shapeId="0" xr:uid="{50F0E6BA-EB4A-4C35-AB95-2A7FF09849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9" authorId="0" shapeId="0" xr:uid="{B1F91DB3-DD5F-4249-B765-26897AA7CC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9" authorId="0" shapeId="0" xr:uid="{73F4305C-3A40-4E8B-9D54-6A1A123F04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9" authorId="0" shapeId="0" xr:uid="{9F8EFDFE-F1E9-43FC-AED0-4AB6855B5D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9" authorId="0" shapeId="0" xr:uid="{E8678D77-1021-4BA7-A25B-53DCD3908D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9" authorId="0" shapeId="0" xr:uid="{693BEF00-5759-47C5-8665-614287DAE4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9" authorId="0" shapeId="0" xr:uid="{BBB7D0EC-D19F-4D50-884E-202E6123CA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0" authorId="0" shapeId="0" xr:uid="{1FD1C10D-992C-40F2-AE43-F4D2142071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0" authorId="0" shapeId="0" xr:uid="{53A1BAD2-E2AA-4E2A-8F74-AB4ED1D6C7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0" authorId="0" shapeId="0" xr:uid="{6C1B116D-083D-46EA-B1AA-45EE39D879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0" authorId="0" shapeId="0" xr:uid="{41E6ACEB-A6F2-40F6-B666-36F6DA2426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0" authorId="0" shapeId="0" xr:uid="{BA52D2A4-0F01-4F1C-A26C-671203A5BE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00" authorId="0" shapeId="0" xr:uid="{A7EF3D2B-445A-47C8-ABE1-B8E878A647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0" authorId="0" shapeId="0" xr:uid="{65BB1CC7-50D7-447E-9518-4ECE670830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0" authorId="0" shapeId="0" xr:uid="{A240C462-E2D6-4243-8428-7FF38319D8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0" authorId="0" shapeId="0" xr:uid="{7926B376-A0A7-4A83-9275-630C3120CE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00" authorId="0" shapeId="0" xr:uid="{C336B003-F178-462F-AA60-C5EA27CC3A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0" authorId="0" shapeId="0" xr:uid="{65A7E020-378E-48EB-8B2C-386EA32A02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0" authorId="0" shapeId="0" xr:uid="{6E038E34-DF36-470A-A8C2-44315DBC3C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0" authorId="0" shapeId="0" xr:uid="{E4551E28-7E34-4A06-9C53-83F8FC2EE8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0" authorId="0" shapeId="0" xr:uid="{B8FB186B-DC06-4E7D-9E2D-3BC2093170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0" authorId="0" shapeId="0" xr:uid="{737E80BE-4808-4B16-9402-C7082CC678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0" authorId="0" shapeId="0" xr:uid="{7C6A0BFB-1EBC-4E77-A55C-481A55E3F1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0" authorId="0" shapeId="0" xr:uid="{E3A628C2-0968-4007-B738-DD437194BA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00" authorId="0" shapeId="0" xr:uid="{61F8BEDC-5888-4A87-A813-0A222D80EE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0" authorId="0" shapeId="0" xr:uid="{BEC88BAA-5546-462E-B28A-FEAA6EB59E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0" authorId="0" shapeId="0" xr:uid="{AC0C57F3-067F-4AA5-8387-36939CE40B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0" authorId="0" shapeId="0" xr:uid="{FB0C7D59-C047-46F0-AC63-233F96FFA2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1" authorId="0" shapeId="0" xr:uid="{4AEFB7DB-A069-486C-8834-1EAC1AFD99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1" authorId="0" shapeId="0" xr:uid="{923D3005-3A2F-46CC-A282-6657DA6387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1" authorId="0" shapeId="0" xr:uid="{8F2A1BA6-A2EC-4C01-BAA9-AC49C3F301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1" authorId="0" shapeId="0" xr:uid="{1716DF4A-AD68-49BF-AFCB-DC8909669B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1" authorId="0" shapeId="0" xr:uid="{6CD44B6A-322D-44D0-9AB6-6388112069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01" authorId="0" shapeId="0" xr:uid="{AFAB8CB6-8DDA-4418-AB2E-6647159D3E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1" authorId="0" shapeId="0" xr:uid="{3E100EF1-F75F-49CE-B91B-8BC986B3F4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101" authorId="0" shapeId="0" xr:uid="{A1D37D47-54AB-4EFF-AE47-A8DE683342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01" authorId="0" shapeId="0" xr:uid="{8E1F684F-7E41-42BA-9B98-BF34170F65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1" authorId="0" shapeId="0" xr:uid="{8E4D0E53-3258-46A0-AAC1-2DA205772C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1" authorId="0" shapeId="0" xr:uid="{F7618931-3902-40D1-8D29-D970C05552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1" authorId="0" shapeId="0" xr:uid="{4FC90765-67B1-45F6-942F-03DF834E31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01" authorId="0" shapeId="0" xr:uid="{A14C9C1C-7012-472E-84E0-40002652AA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01" authorId="0" shapeId="0" xr:uid="{53388217-C12E-45CB-B8E1-45487E1D16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1" authorId="0" shapeId="0" xr:uid="{53C7CBCE-786B-493D-B922-9F3F4EC80D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01" authorId="0" shapeId="0" xr:uid="{0ED1CB2D-681B-4931-828A-56C4DF4E6C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01" authorId="0" shapeId="0" xr:uid="{433FE47B-B54B-429C-8DBB-F535211B30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1" authorId="0" shapeId="0" xr:uid="{F6280971-B01D-47DC-941D-AB7CDAA19B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01" authorId="0" shapeId="0" xr:uid="{E6554FE5-7AC6-4C73-9141-C3FFFD5B83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1" authorId="0" shapeId="0" xr:uid="{97AAF43D-65A1-489B-A914-2A5FAC1D0C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1" authorId="0" shapeId="0" xr:uid="{51E84AB4-CC86-49BF-BE10-186B4B583D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1" authorId="0" shapeId="0" xr:uid="{DAD8FA1E-B77E-4D12-B487-C75277131E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1" authorId="0" shapeId="0" xr:uid="{E6BEFFE9-4487-4DD5-888A-AA7F817B4F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1" authorId="0" shapeId="0" xr:uid="{48A9FF09-0E6B-4AEC-A84D-80BB952669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01" authorId="0" shapeId="0" xr:uid="{13AFC014-5AC6-4EC9-A716-6D51947430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1" authorId="0" shapeId="0" xr:uid="{277B2008-BD13-442A-9828-C193E5AFE0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1" authorId="0" shapeId="0" xr:uid="{817C6FF4-5DEA-455D-A58E-D3F59A36B3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1" authorId="0" shapeId="0" xr:uid="{0C2CAF86-86E7-46A1-97C2-F368244345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2" authorId="0" shapeId="0" xr:uid="{3A99C746-8119-4EAC-AD86-97D5FECD46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2" authorId="0" shapeId="0" xr:uid="{7CBBB89B-2DAC-49ED-A780-AAC536FD6E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2" authorId="0" shapeId="0" xr:uid="{01D681D2-E8B7-4B92-AE19-DDEAABA970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2" authorId="0" shapeId="0" xr:uid="{4A1C9CC0-E655-46ED-B3B3-60F77FB2ED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2" authorId="0" shapeId="0" xr:uid="{237CA63D-218D-42CE-B1D0-5EE851102C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2" authorId="0" shapeId="0" xr:uid="{F17BC3CF-0169-4AD7-924D-B3B703EA81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2" authorId="0" shapeId="0" xr:uid="{E0F29230-A5C3-4117-9259-D058B615EF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2" authorId="0" shapeId="0" xr:uid="{61D8D83A-3758-4575-8674-2245647DE4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2" authorId="0" shapeId="0" xr:uid="{BB8A8E04-4E96-4571-A2CF-3BB70D8FE9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02" authorId="0" shapeId="0" xr:uid="{9D2AEFA0-9028-46A9-98AB-3EE02B77C7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02" authorId="0" shapeId="0" xr:uid="{E0B76075-4F24-4E68-8880-9169586518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2" authorId="0" shapeId="0" xr:uid="{42C0C770-10BA-4AAD-96AF-6754285CC5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02" authorId="0" shapeId="0" xr:uid="{46A42572-9A65-4DC3-A2CB-3EEFAE36D8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2" authorId="0" shapeId="0" xr:uid="{7A22FFB3-785B-4C90-AA53-AB4961B06D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2" authorId="0" shapeId="0" xr:uid="{56BA1A97-D786-46EE-B6D7-49796A6025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2" authorId="0" shapeId="0" xr:uid="{78CE8EE6-DC9C-46AC-9613-B9772CF56C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2" authorId="0" shapeId="0" xr:uid="{25599D02-8EEE-4357-82CC-E017A7F05D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2" authorId="0" shapeId="0" xr:uid="{3B310FBB-5EFC-4D4E-8790-112FE1B8DA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02" authorId="0" shapeId="0" xr:uid="{449F42C1-A87E-48A3-B3C8-C64F793C0B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2" authorId="0" shapeId="0" xr:uid="{B111B58A-B61A-4B63-93FF-CEDB268DA1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2" authorId="0" shapeId="0" xr:uid="{263892B7-BF15-44F9-AB2A-332C02D9F6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02" authorId="0" shapeId="0" xr:uid="{C3C9BEE4-9AE8-410E-AC77-A58A0A1866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2" authorId="0" shapeId="0" xr:uid="{37996336-A7CB-4D6E-A716-2B1F240C3E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DFCECC36-5D96-4ECF-83A2-A87F32D621C8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Q11" authorId="0" shapeId="0" xr:uid="{262F0846-24CF-4D6F-9A19-DD75F280F0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1" authorId="0" shapeId="0" xr:uid="{202FF849-B88E-4AC7-97F6-297318F388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1" authorId="0" shapeId="0" xr:uid="{1EBBC3EF-1324-4BAE-9566-8E1807A345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1" authorId="0" shapeId="0" xr:uid="{FA475D93-7C14-4F7A-B232-7FA7995520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1" authorId="0" shapeId="0" xr:uid="{815726CD-B2A5-4637-9439-9BAAF42D57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1" authorId="0" shapeId="0" xr:uid="{32764123-6E52-4001-830E-CA71045A7F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1" authorId="0" shapeId="0" xr:uid="{1422C96A-821E-489D-BE88-572D3CD367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T11" authorId="0" shapeId="0" xr:uid="{3C37ECD9-DFD2-447E-89E2-0A6AABCE5F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1" authorId="0" shapeId="0" xr:uid="{6A408752-432F-44A3-91F3-E201EE6488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1" authorId="0" shapeId="0" xr:uid="{B89F1A18-1238-4CA7-ACA2-EC28DDA938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1" authorId="0" shapeId="0" xr:uid="{61FB1F97-2F33-4280-8B44-0946073F79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1" authorId="0" shapeId="0" xr:uid="{A675186D-2CB8-4A2E-A345-7314EE9C9F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1" authorId="0" shapeId="0" xr:uid="{53390C0F-3D10-4433-AC28-0FF8697B31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1" authorId="0" shapeId="0" xr:uid="{2145282D-C1D6-4C97-B82D-0D399D4BC6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1" authorId="0" shapeId="0" xr:uid="{BEC9CFFD-5C78-426D-955E-6A5EA67D4F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1" authorId="0" shapeId="0" xr:uid="{1EC03941-AB2B-4CF7-B811-B5D2F4E0B1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1" authorId="0" shapeId="0" xr:uid="{31B6A148-51AA-48A4-94FE-263DD96B42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1" authorId="0" shapeId="0" xr:uid="{8ADE6909-2BE3-47CE-842E-332752D311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12" authorId="0" shapeId="0" xr:uid="{DEF52639-11E0-4332-8074-8E799F55D0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2" authorId="0" shapeId="0" xr:uid="{DCF4C7AE-3E5D-4281-A923-22742C68E2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2" authorId="0" shapeId="0" xr:uid="{A3C2A7E2-1A11-45F1-A7DB-A9CBC00915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2" authorId="0" shapeId="0" xr:uid="{35268FE5-554F-4D13-A933-0339997F96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2" authorId="0" shapeId="0" xr:uid="{50209372-E11D-479C-8D68-C5B7A6F8D9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2" authorId="0" shapeId="0" xr:uid="{D24B6D1A-C2E7-48CB-8523-3EACA88E74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2" authorId="0" shapeId="0" xr:uid="{B40B8B2A-A445-41DE-A3EA-CFF99C49C4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2" authorId="0" shapeId="0" xr:uid="{2C64BA8E-FA93-45BA-9FCD-BEF0DD0F5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2" authorId="0" shapeId="0" xr:uid="{817D716D-1A19-4FCF-BB7C-03645734F7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2" authorId="0" shapeId="0" xr:uid="{3B34AA2A-A22A-40FD-B2D7-E4A541F082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2" authorId="0" shapeId="0" xr:uid="{38F09367-E7E9-4EDD-ACFC-98A4C477BE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2" authorId="0" shapeId="0" xr:uid="{9D744BD0-E7F9-4824-B353-1DF90E4F29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2" authorId="0" shapeId="0" xr:uid="{91911F69-2D60-426F-BC6E-04A128D17E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2" authorId="0" shapeId="0" xr:uid="{8FC82DEA-5190-46FF-B1F4-3AF3900A2C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2" authorId="0" shapeId="0" xr:uid="{64055431-00BA-40CA-82FB-CC2DED52F2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2" authorId="0" shapeId="0" xr:uid="{B7F53BEC-00DC-4F8E-A552-FEDCA48826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2" authorId="0" shapeId="0" xr:uid="{13BB172B-C592-47B4-A33F-B5396F8D96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2" authorId="0" shapeId="0" xr:uid="{E27E8254-6589-4FE1-B2C1-07D20A4782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2" authorId="0" shapeId="0" xr:uid="{20AFDB6E-3AAD-41F0-BE61-1A72275D39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3" authorId="0" shapeId="0" xr:uid="{FAB9F7C2-FF53-4A90-84C2-BE0C4DF27A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3" authorId="0" shapeId="0" xr:uid="{38C73104-96F3-4F5F-8AEE-1A885CE617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3" authorId="0" shapeId="0" xr:uid="{179EE663-0B52-4AF2-89BA-5B685D0BEF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3" authorId="0" shapeId="0" xr:uid="{E9F09F70-3C54-4ED9-B3CB-EA505CBC2E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3" authorId="0" shapeId="0" xr:uid="{DC58C14B-A3CF-4CBD-8737-62E4EFBB9E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3" authorId="0" shapeId="0" xr:uid="{9B7F55FE-8D89-48E7-A105-89BABDBB3C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3" authorId="0" shapeId="0" xr:uid="{6B631AEE-A405-44F9-BD2C-E87D694E6E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3" authorId="0" shapeId="0" xr:uid="{096758F5-2B47-43DD-AC3F-C80953604E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3" authorId="0" shapeId="0" xr:uid="{3A2F5434-CB93-485F-AA0F-9FB700D762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3" authorId="0" shapeId="0" xr:uid="{358D1511-6817-498E-B6D8-5CC825B52C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3" authorId="0" shapeId="0" xr:uid="{FE0240FE-1F6E-4A5B-B453-49180E3D74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3" authorId="0" shapeId="0" xr:uid="{31C4F18C-1825-435B-AB9A-41CF259F26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3" authorId="0" shapeId="0" xr:uid="{CC4DBFCF-9A56-49D8-A6F1-E0B200C1CA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3" authorId="0" shapeId="0" xr:uid="{C2C6121B-BFD1-4E81-9237-5BC21B273C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14" authorId="0" shapeId="0" xr:uid="{F6FB2B99-B5C4-4425-9FCB-0099660DE6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4" authorId="0" shapeId="0" xr:uid="{575B39A2-D421-40DB-A4C4-4EE1E3D510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4" authorId="0" shapeId="0" xr:uid="{9FD24825-0349-4622-8EAA-F0B65DC66B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4" authorId="0" shapeId="0" xr:uid="{1011D792-E7D6-4A0C-903A-9A1AC2BAE1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4" authorId="0" shapeId="0" xr:uid="{C4EDEFBC-0851-472A-9FEB-DB8DF5D196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4" authorId="0" shapeId="0" xr:uid="{173B215C-F749-4670-ACB0-751837D98C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4" authorId="0" shapeId="0" xr:uid="{6B1FB011-F85E-4923-9287-0DA16B9AA6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4" authorId="0" shapeId="0" xr:uid="{4637C8B2-718D-4460-BBD7-8A1D958A7A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4" authorId="0" shapeId="0" xr:uid="{56289EFC-0502-4CD4-B0F3-2CD94713B6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4" authorId="0" shapeId="0" xr:uid="{74DA18D5-5A7E-43EC-B540-1DE2B205C4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4" authorId="0" shapeId="0" xr:uid="{9FDFA08A-8E29-46D6-A4F4-C02A2496E9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4" authorId="0" shapeId="0" xr:uid="{6CB0613C-6823-4472-A629-CE04DB6230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N14" authorId="0" shapeId="0" xr:uid="{CA002AA6-C256-4504-8329-8F29C183EB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4" authorId="0" shapeId="0" xr:uid="{AE81C367-5078-41BB-8CB3-F37D5FC6D4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4" authorId="0" shapeId="0" xr:uid="{83BB43C4-29FF-4E97-AB3C-FDEA5115B9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4" authorId="0" shapeId="0" xr:uid="{943BEA80-2BA6-4502-B095-E0251BEE1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4" authorId="0" shapeId="0" xr:uid="{8038409B-9353-427D-BF26-99C1A8BBDB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4" authorId="0" shapeId="0" xr:uid="{8A1AE81A-97F2-4363-ABE8-01AD6E8D30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4" authorId="0" shapeId="0" xr:uid="{A1E041CF-FC3F-46A7-9627-6D375F3CED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4" authorId="0" shapeId="0" xr:uid="{35236319-CCDF-4EC1-93C4-EB8304D351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4" authorId="0" shapeId="0" xr:uid="{ADA76783-6452-4DEF-AC5B-2530DF36C3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4" authorId="0" shapeId="0" xr:uid="{163D1EC6-12F9-4554-9659-85289A3AED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5" authorId="0" shapeId="0" xr:uid="{70D497E5-44EF-4155-87DF-0322B31976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5" authorId="0" shapeId="0" xr:uid="{64046036-16FB-4106-A516-B705F129E5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5" authorId="0" shapeId="0" xr:uid="{66FE0FA1-9A2A-4B90-8FD3-7A1B4A0856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5" authorId="0" shapeId="0" xr:uid="{AE920394-490E-4871-92F3-F775303AF2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5" authorId="0" shapeId="0" xr:uid="{C7451D33-28A0-4CD9-9F15-F1962E2569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5" authorId="0" shapeId="0" xr:uid="{575EF38A-EF6F-43C3-9978-11763994A2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5" authorId="0" shapeId="0" xr:uid="{E480DE3F-F0E5-42FB-B720-F919FEA943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5" authorId="0" shapeId="0" xr:uid="{43C00383-8256-4B0A-BB9E-EB17A03341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5" authorId="0" shapeId="0" xr:uid="{9567A509-0F69-4133-A01E-BB943893F2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5" authorId="0" shapeId="0" xr:uid="{E784E53C-DA4B-488F-9475-CE8AF5DCFA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5" authorId="0" shapeId="0" xr:uid="{9B98AA91-623B-402A-88B6-0EDF276F75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5" authorId="0" shapeId="0" xr:uid="{A62E297A-BCB8-42D0-A205-22AB9F6B5F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5" authorId="0" shapeId="0" xr:uid="{3F0BD5B5-9913-4FB8-9B8B-5EC882CCB2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5" authorId="0" shapeId="0" xr:uid="{2EEBD733-1813-4ED8-92C6-866301CA6A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5" authorId="0" shapeId="0" xr:uid="{A53A2FC8-DC2F-4113-859F-7FA7745069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5" authorId="0" shapeId="0" xr:uid="{B3E62193-CCC5-4557-A595-A26AB98D39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5" authorId="0" shapeId="0" xr:uid="{B8295E28-BBE5-49A9-BEAF-453177DBA7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5" authorId="0" shapeId="0" xr:uid="{92516C87-192B-4AAD-BBBB-ACB4B8B511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5" authorId="0" shapeId="0" xr:uid="{1761341F-64A6-4F61-B6B5-97C9D2D678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5" authorId="0" shapeId="0" xr:uid="{3C0D6429-212C-4736-B9A0-454182CD77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5" authorId="0" shapeId="0" xr:uid="{6E1D26D1-7C08-4312-A533-A81EB54A75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5" authorId="0" shapeId="0" xr:uid="{ED996AB3-12B6-431A-B278-E041D4FEEC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5" authorId="0" shapeId="0" xr:uid="{1955B5B8-836E-4487-ADEE-13313B28D8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6" authorId="0" shapeId="0" xr:uid="{227B066B-4C4C-43B4-8095-A3B809B8B8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6" authorId="0" shapeId="0" xr:uid="{DCDCD663-78FD-434F-9BEE-E686D1C92F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6" authorId="0" shapeId="0" xr:uid="{EF9F0A98-A290-4142-8102-30A0EE79C7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6" authorId="0" shapeId="0" xr:uid="{E6D4D44B-3A38-4AFE-80ED-A907D9A353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6" authorId="0" shapeId="0" xr:uid="{59B52972-7568-472D-83BB-A4299B1708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6" authorId="0" shapeId="0" xr:uid="{83D7839E-584E-452A-A6B4-2BE09C9767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6" authorId="0" shapeId="0" xr:uid="{A1879EAF-620D-4F31-9142-1EEC7EBF9D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6" authorId="0" shapeId="0" xr:uid="{6C59AB78-468C-459E-B075-4631AF7DAF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6" authorId="0" shapeId="0" xr:uid="{121191CA-D9EC-44A0-A14D-5EAED9932B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6" authorId="0" shapeId="0" xr:uid="{BEFE29DA-BB24-4216-BDF5-B4D8021D79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6" authorId="0" shapeId="0" xr:uid="{C67EE3A9-19C4-4DF8-933B-CBC62E3F58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6" authorId="0" shapeId="0" xr:uid="{E3091BC9-F8A6-4EC4-95F9-5CF98E8C46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6" authorId="0" shapeId="0" xr:uid="{6C297C73-7AB4-437F-A792-28A8AC3967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6" authorId="0" shapeId="0" xr:uid="{70C02112-CD10-44E1-96D8-235AA9A727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6" authorId="0" shapeId="0" xr:uid="{5B594320-08B7-4670-9771-A77EF4F0BF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6" authorId="0" shapeId="0" xr:uid="{A5E3E308-13A6-44E0-942E-F19F6E5D99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6" authorId="0" shapeId="0" xr:uid="{3AC2FF18-5FC6-4257-91EC-8AA56A7201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6" authorId="0" shapeId="0" xr:uid="{BAE6D72D-34E9-4770-977B-0B1714BF6B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6" authorId="0" shapeId="0" xr:uid="{783A5DD4-88D3-4CE3-84E7-1D696C213A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7" authorId="0" shapeId="0" xr:uid="{50561010-0B53-4329-B29E-91608B3AC5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7" authorId="0" shapeId="0" xr:uid="{A47ECAD9-2988-4097-8939-4FB126C6F0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7" authorId="0" shapeId="0" xr:uid="{89BFA82A-C52A-4CAB-B05D-424C5044A8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7" authorId="0" shapeId="0" xr:uid="{A9E4EE47-DD2A-492F-9F55-6D5F81D87D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7" authorId="0" shapeId="0" xr:uid="{A87D6F72-DDFB-4CCB-9ED4-35A9FEAF37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7" authorId="0" shapeId="0" xr:uid="{FA2196F2-8E25-4BC9-B4D0-FF879AC13E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7" authorId="0" shapeId="0" xr:uid="{8BA26AC9-BE34-4154-BEA9-0D44C3D758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7" authorId="0" shapeId="0" xr:uid="{A238EB95-DC4D-4947-98AA-A0A91406B9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7" authorId="0" shapeId="0" xr:uid="{77B72294-3687-4F13-85A5-B54BD6571B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7" authorId="0" shapeId="0" xr:uid="{78CE3542-F2A3-4E4C-98A7-1CD3AD0554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7" authorId="0" shapeId="0" xr:uid="{981BFC6C-F547-493E-B42E-E7E903378A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7" authorId="0" shapeId="0" xr:uid="{34F9CB49-46B6-4376-9A3B-CF6438BC43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7" authorId="0" shapeId="0" xr:uid="{D237EDE3-4DA3-46E2-B8E6-964FAB914C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7" authorId="0" shapeId="0" xr:uid="{11C0BA0A-3F28-4F6B-B00F-D13CB095C8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8" authorId="0" shapeId="0" xr:uid="{7CEF92F3-9FEC-459C-AB66-4F213CF300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8" authorId="0" shapeId="0" xr:uid="{F30430F1-4F00-4362-9CD8-BC1F1423C8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8" authorId="0" shapeId="0" xr:uid="{AC4D5969-7F1A-4957-AF37-0861AAC337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8" authorId="0" shapeId="0" xr:uid="{69D6E074-EF0A-4292-B341-76E8BA5D3A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8" authorId="0" shapeId="0" xr:uid="{C0D8E22D-CF57-4C05-8239-A79F55829D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8" authorId="0" shapeId="0" xr:uid="{80F93F7B-67E3-4B79-BF05-D4C6A4B004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8" authorId="0" shapeId="0" xr:uid="{2147C94A-0AA6-4912-9AB8-9C47991C51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8" authorId="0" shapeId="0" xr:uid="{4A79566C-8C80-4475-A9B3-52572A6E15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8" authorId="0" shapeId="0" xr:uid="{F1E9711B-5124-413C-911E-11B47BF406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8" authorId="0" shapeId="0" xr:uid="{519D0FE9-2052-4AED-B8BF-03630D10F2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8" authorId="0" shapeId="0" xr:uid="{56D6920F-8774-49B0-9056-1BCEB589B5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8" authorId="0" shapeId="0" xr:uid="{8FBD9D6F-0571-427A-B536-BF9AF9B517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8" authorId="0" shapeId="0" xr:uid="{ED455126-39C0-4806-B415-F2154FE9EF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8" authorId="0" shapeId="0" xr:uid="{ACABB9B5-8B47-45F3-9C80-26BBAEBE05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8" authorId="0" shapeId="0" xr:uid="{9C8FDB05-8F59-48FF-8169-321075DDBC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8" authorId="0" shapeId="0" xr:uid="{9F84B065-8E91-451C-8632-2F457A2FC6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8" authorId="0" shapeId="0" xr:uid="{5D9B0D1D-0388-4E1E-ADE8-5ED28229AA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8" authorId="0" shapeId="0" xr:uid="{3B378DB7-138D-417B-AEDB-3B0A6C605C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9" authorId="0" shapeId="0" xr:uid="{ED6F5144-DDDA-4F05-968E-5B7E21786A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9" authorId="0" shapeId="0" xr:uid="{40C5EBE5-9412-4B0E-8903-927E114C51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9" authorId="0" shapeId="0" xr:uid="{584B3935-5D00-40A9-8D6E-82B756F716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9" authorId="0" shapeId="0" xr:uid="{AA12F1EE-DB24-416F-8413-6C5BEC8A57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9" authorId="0" shapeId="0" xr:uid="{9EEC9AEE-DBC3-43A9-8418-C5BFC15485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9" authorId="0" shapeId="0" xr:uid="{D40A5994-4543-4B39-BA78-660B2FAB8A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9" authorId="0" shapeId="0" xr:uid="{71209880-207D-456C-80E6-87B4AC235A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9" authorId="0" shapeId="0" xr:uid="{2C1852C7-D8C9-44DA-8313-7DB9B6AA32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9" authorId="0" shapeId="0" xr:uid="{7B86EC8E-7DD2-4582-A9F5-2EB1B7387B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9" authorId="0" shapeId="0" xr:uid="{2B452E1E-A10B-476D-87D9-4717CDDAE4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9" authorId="0" shapeId="0" xr:uid="{9D984527-99B1-472E-904F-7C45EA6ACF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9" authorId="0" shapeId="0" xr:uid="{3FB1812E-70D1-4347-B73E-C6EC519F2D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9" authorId="0" shapeId="0" xr:uid="{F4C23B2F-F1C3-4ABE-BB7E-F9CA44D58D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9" authorId="0" shapeId="0" xr:uid="{1B47E49A-15E6-4241-8814-F402DB1975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9" authorId="0" shapeId="0" xr:uid="{141F3CE9-DA39-4C5B-BEBB-B087B1C37D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9" authorId="0" shapeId="0" xr:uid="{75C3842D-CF2D-4989-BC5E-259F475B19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9" authorId="0" shapeId="0" xr:uid="{772E8C6A-83C8-4764-AE5C-E3496EC99F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20" authorId="0" shapeId="0" xr:uid="{8BE3463C-8ED4-485F-A343-B6B2A78000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0" authorId="0" shapeId="0" xr:uid="{DB069F9D-34FE-4C3E-9CD5-AC074740D3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R20" authorId="0" shapeId="0" xr:uid="{B5A034AD-F9E3-42AD-A161-4A51AEAF43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20" authorId="0" shapeId="0" xr:uid="{8CF8683C-C08F-4E89-ACD0-A0D46642D1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0" authorId="0" shapeId="0" xr:uid="{A99AB559-E7C2-4395-B4E0-64865E17B4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20" authorId="0" shapeId="0" xr:uid="{59A728C9-D695-4EA3-94DF-64E6FE0895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L20" authorId="0" shapeId="0" xr:uid="{F06CD77D-2735-41F7-A463-BB00E35CAD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0" authorId="0" shapeId="0" xr:uid="{241539E4-F571-40AB-B6A4-9263815DB2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0" authorId="0" shapeId="0" xr:uid="{1F4625CD-B03D-45CE-B860-3E9EC269F4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0" authorId="0" shapeId="0" xr:uid="{507BE834-2245-4D8F-9A41-F2CAEF5D28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0" authorId="0" shapeId="0" xr:uid="{59EA49C3-7315-4145-B4BA-5C1704710F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0" authorId="0" shapeId="0" xr:uid="{2353C473-1766-4796-BDC7-1E731FF668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R20" authorId="0" shapeId="0" xr:uid="{FD4CDB5E-A9D2-490A-98E9-AE764DB1B7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0" authorId="0" shapeId="0" xr:uid="{E398DAB7-6DDB-45A1-BD3E-ADFC0DAF6D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T20" authorId="0" shapeId="0" xr:uid="{5EDAAB10-D5A6-490F-BB60-D0D422A66D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0" authorId="0" shapeId="0" xr:uid="{0A788617-0350-4544-AB09-CF764F466D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0" authorId="0" shapeId="0" xr:uid="{B0FACF51-FC68-4B06-99AC-E5675631C3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0" authorId="0" shapeId="0" xr:uid="{537E6FFD-27D3-49FF-91C2-3697EE1FD4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0" authorId="0" shapeId="0" xr:uid="{698E329B-B3DA-4613-8709-94F8BAD029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0" authorId="0" shapeId="0" xr:uid="{DE4B8409-33A2-4A71-A4DB-0C5AE22358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0" authorId="0" shapeId="0" xr:uid="{DE8EA08C-F7E9-48C1-8716-5C02ABC9D5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0" authorId="0" shapeId="0" xr:uid="{DB729639-28D7-48F9-9B97-FA3BAE97A8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0" authorId="0" shapeId="0" xr:uid="{B872A0FA-6359-4949-8AC0-42F870F721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0" authorId="0" shapeId="0" xr:uid="{06C96032-2462-4354-94AC-55366CC7E0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0" authorId="0" shapeId="0" xr:uid="{AFEA0D23-A919-435D-8CC5-9037535BCB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0" authorId="0" shapeId="0" xr:uid="{2CCAEC8F-7F89-4B06-870A-0F95C0E604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0" authorId="0" shapeId="0" xr:uid="{4E4C385C-81C8-4181-B80A-5ACF80ED52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0" authorId="0" shapeId="0" xr:uid="{206FA173-87B4-4393-90A5-26536F0AE4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0" authorId="0" shapeId="0" xr:uid="{70277EA4-F04E-4630-AFB5-5B848BCEED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0" authorId="0" shapeId="0" xr:uid="{9D5CCA74-2AC8-4613-B303-29F4461EA8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0" authorId="0" shapeId="0" xr:uid="{A52363A6-B77F-4EF7-A371-528F636314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21" authorId="0" shapeId="0" xr:uid="{236FF36E-E208-4514-8148-3630A2B290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1" authorId="0" shapeId="0" xr:uid="{9EA00DF9-7E7E-41F4-8CB1-84B987055C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1" authorId="0" shapeId="0" xr:uid="{9C487C5D-1537-4D93-925A-7B5BE1096A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1" authorId="0" shapeId="0" xr:uid="{C0AEE3F7-9AA4-45CB-9237-0E637D4F68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1" authorId="0" shapeId="0" xr:uid="{8FB7CD08-55BC-42C6-A011-41DB63D079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1" authorId="0" shapeId="0" xr:uid="{F5F99021-9B4F-448E-8008-FDCFE99B43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1" authorId="0" shapeId="0" xr:uid="{9DB970FA-D1E4-49F7-9CCF-E19DABCB99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1" authorId="0" shapeId="0" xr:uid="{FCB4B570-61F6-435F-9675-B50ADB936D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1" authorId="0" shapeId="0" xr:uid="{D00BDBA9-6D7B-4C57-880C-882AEC3379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1" authorId="0" shapeId="0" xr:uid="{6D80DFD2-99B7-414F-80ED-3BEEB82382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1" authorId="0" shapeId="0" xr:uid="{F45D3466-7738-4F4D-AA7F-7F0066AB69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1" authorId="0" shapeId="0" xr:uid="{3697B645-BDAE-4F0D-AA5E-C3FEEC2A14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1" authorId="0" shapeId="0" xr:uid="{89936930-6408-4EBE-AB14-6C0BDF1F2B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1" authorId="0" shapeId="0" xr:uid="{AAC16C10-D3AF-4F68-92F1-5BBC6C41F4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1" authorId="0" shapeId="0" xr:uid="{69E5E94E-B358-4924-A7F0-1B60FAFD54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1" authorId="0" shapeId="0" xr:uid="{43C63558-A5D9-463E-BD69-D0024FD653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1" authorId="0" shapeId="0" xr:uid="{0C55BF2E-03DF-4514-A35E-7DA2ED818D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1" authorId="0" shapeId="0" xr:uid="{459569AB-7F35-4395-B361-A6080168E8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22" authorId="0" shapeId="0" xr:uid="{AC8E3231-9533-480F-B0F5-6902B6F4A0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2" authorId="0" shapeId="0" xr:uid="{3CCEAAEB-14D4-48E1-A19D-310CCD1697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2" authorId="0" shapeId="0" xr:uid="{BB9147E4-03EE-4082-B6E3-9BC32822A7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2" authorId="0" shapeId="0" xr:uid="{6D9CF36D-4D6D-4F52-B93F-C110805CD7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2" authorId="0" shapeId="0" xr:uid="{FEF9A999-D57F-4CAE-9F5A-B1A61C3FFE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2" authorId="0" shapeId="0" xr:uid="{1C0D3E5E-B7F4-4365-B748-D2E761D3D4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2" authorId="0" shapeId="0" xr:uid="{ECD0D5F8-D80D-4CB7-9C6B-948278BF01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2" authorId="0" shapeId="0" xr:uid="{8DE3119A-6439-4378-8D48-359B352A11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2" authorId="0" shapeId="0" xr:uid="{7E03EBE4-D139-40E4-A369-5DCFE1B12A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2" authorId="0" shapeId="0" xr:uid="{6C83B198-561A-4034-A47F-BB28B7F827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2" authorId="0" shapeId="0" xr:uid="{0C445C21-CB51-43E8-ACD2-0C4B1A2828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2" authorId="0" shapeId="0" xr:uid="{EAB3FD18-FDA3-42F4-8171-58638683FD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2" authorId="0" shapeId="0" xr:uid="{6006F9C5-1785-45EE-8B9C-F4B12BECEF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2" authorId="0" shapeId="0" xr:uid="{5D0260DB-19F7-42F6-AF8C-71BC5EB783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2" authorId="0" shapeId="0" xr:uid="{FBC750F1-9DC8-4677-BC45-6C0853A16D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2" authorId="0" shapeId="0" xr:uid="{B8F8881F-2A6D-4B1E-87B4-ACB17D3663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2" authorId="0" shapeId="0" xr:uid="{7D47D875-F0D7-44CB-80EF-637C4DBEEF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2" authorId="0" shapeId="0" xr:uid="{155F7D83-DD5B-4014-B30C-2667C2500D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2" authorId="0" shapeId="0" xr:uid="{95002F17-0D6E-4CB2-AF24-384221EFA2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2" authorId="0" shapeId="0" xr:uid="{3300B900-B17A-40A1-8CDB-2A77E00E9B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2" authorId="0" shapeId="0" xr:uid="{49A37A51-9EF1-41AF-B5B5-F05AE3202D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2" authorId="0" shapeId="0" xr:uid="{61AA9443-121D-40D0-82CC-A736FAC44A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3" authorId="0" shapeId="0" xr:uid="{18E3E773-8A74-4EE5-8538-754C358141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3" authorId="0" shapeId="0" xr:uid="{6459F21C-3B94-4398-8062-EFCEBC2835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3" authorId="0" shapeId="0" xr:uid="{985CC749-3514-419D-A923-819C0F9571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3" authorId="0" shapeId="0" xr:uid="{D4C71135-9A62-4AB4-8684-7A4AF94BF5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3" authorId="0" shapeId="0" xr:uid="{9D3C37F5-6C88-4610-A058-4B6A567768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3" authorId="0" shapeId="0" xr:uid="{EE55A637-21F7-40A1-B765-CDFED281B7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3" authorId="0" shapeId="0" xr:uid="{0833FC5B-ADC8-4104-B3D8-D352BD0324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3" authorId="0" shapeId="0" xr:uid="{35490AF7-0A05-4C74-905B-529AEC7B91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3" authorId="0" shapeId="0" xr:uid="{3D5C678B-6AD7-46CA-AF7B-DD5166E7D6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3" authorId="0" shapeId="0" xr:uid="{853961F0-DCA3-47E6-B313-663F3A9172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3" authorId="0" shapeId="0" xr:uid="{AC6F2A52-8C49-4263-9500-7C8F62931B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3" authorId="0" shapeId="0" xr:uid="{A42C14B0-C001-4128-BDFA-8B8B5449C1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3" authorId="0" shapeId="0" xr:uid="{22D52B8F-986E-415A-8B8B-FD3AACF4B1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3" authorId="0" shapeId="0" xr:uid="{511F3FA9-51B9-40F3-B217-8F479D1126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3" authorId="0" shapeId="0" xr:uid="{95695B2A-FC26-4C42-8D26-B2EEC10B6E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3" authorId="0" shapeId="0" xr:uid="{A17EB073-1B3B-4E61-A603-8F68DE7510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3" authorId="0" shapeId="0" xr:uid="{0A30B0BE-569C-4B7D-81A0-F475C9AB8E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3" authorId="0" shapeId="0" xr:uid="{7ACF985C-51F8-4FB9-868D-E51C854D61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24" authorId="0" shapeId="0" xr:uid="{75084A52-886A-476E-BB97-70423345F0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4" authorId="0" shapeId="0" xr:uid="{C3A72245-621C-4714-97D5-E27759D0AD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4" authorId="0" shapeId="0" xr:uid="{16B2C0B7-7B40-454B-A9C0-CDF58B58A2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G24" authorId="0" shapeId="0" xr:uid="{C4C83528-3279-4E7B-AE43-30BDEC1AB4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24" authorId="0" shapeId="0" xr:uid="{C61B3C63-20C4-401A-A090-52ECD04186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4" authorId="0" shapeId="0" xr:uid="{B9865EEF-88C6-4E3F-90C9-9EE1609CBB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4" authorId="0" shapeId="0" xr:uid="{25AC6E3D-79A5-4D2A-B085-7C018EB469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4" authorId="0" shapeId="0" xr:uid="{CCA3846E-F910-4B33-BAD4-D8A7371304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4" authorId="0" shapeId="0" xr:uid="{1B0BE4CC-97F1-4132-8C6A-B83ABF8502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4" authorId="0" shapeId="0" xr:uid="{396A8DA6-B100-4BFA-B790-D7F7521771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4" authorId="0" shapeId="0" xr:uid="{5923D9FD-13FF-47BC-9E82-995E171DD6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4" authorId="0" shapeId="0" xr:uid="{81936660-A3AF-4EA2-8B18-6479C39008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4" authorId="0" shapeId="0" xr:uid="{C0AE02DD-DC85-4ECE-B584-B5575BBE8B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4" authorId="0" shapeId="0" xr:uid="{C1C80DB7-3DFA-4261-9268-EABF803314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4" authorId="0" shapeId="0" xr:uid="{874B9282-9DD9-45C0-95F5-AF20E3B931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4" authorId="0" shapeId="0" xr:uid="{3CF51878-9C4B-478D-A14B-46CDF37CC9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4" authorId="0" shapeId="0" xr:uid="{E40E9476-2B72-4681-A5F0-62125A8851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4" authorId="0" shapeId="0" xr:uid="{DC8808E7-F40A-49DC-AB08-907B7E6FE5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4" authorId="0" shapeId="0" xr:uid="{2ECD0357-70C9-4B19-8856-E663BE6878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4" authorId="0" shapeId="0" xr:uid="{C2867C62-5497-41C5-9D1A-D99CD58200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4" authorId="0" shapeId="0" xr:uid="{473EF47A-2CA8-43CE-A8EE-2DC9043FD4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4" authorId="0" shapeId="0" xr:uid="{53684CBF-641C-49EB-8D18-9CE438A3F1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4" authorId="0" shapeId="0" xr:uid="{A9E57CBE-11D6-4B46-A06C-948A785631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4" authorId="0" shapeId="0" xr:uid="{9073E126-BAAA-4012-BB9F-7624B52C18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4" authorId="0" shapeId="0" xr:uid="{52A7E82F-FB56-4AEE-8B2D-96555CDCDD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P25" authorId="0" shapeId="0" xr:uid="{71A2276D-3E50-445F-B224-9F09949AC2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5" authorId="0" shapeId="0" xr:uid="{B03FFE8C-4B63-427E-81F0-A6CB374846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5" authorId="0" shapeId="0" xr:uid="{F47C37CA-BEF3-4F01-BE82-9442DC3B4C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5" authorId="0" shapeId="0" xr:uid="{CB087ABF-37C5-4A0F-9AC5-3B4C913180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5" authorId="0" shapeId="0" xr:uid="{19FBBE91-068A-4EBC-9546-AEEA5916A5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5" authorId="0" shapeId="0" xr:uid="{0379B33C-1383-474D-987A-EB9D6CF453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5" authorId="0" shapeId="0" xr:uid="{AA8E60D1-E51D-4D46-BA07-EA58DE9C19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5" authorId="0" shapeId="0" xr:uid="{38C9C58F-6685-4297-B466-F17BA9D17B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5" authorId="0" shapeId="0" xr:uid="{B9CCABEC-AD6D-4BEE-9B65-9BD70D3318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5" authorId="0" shapeId="0" xr:uid="{FB5E5A7F-3DD4-4933-8A53-E867444A8E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5" authorId="0" shapeId="0" xr:uid="{599F6EA2-7E0C-40FD-9218-901C1CB9CD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5" authorId="0" shapeId="0" xr:uid="{BF104993-7169-46EE-9D24-E79FD66A55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5" authorId="0" shapeId="0" xr:uid="{5309411A-1702-49C8-98AD-FD0C2F5756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5" authorId="0" shapeId="0" xr:uid="{F2ED6DFA-5F80-494E-8AC2-BCE050902D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5" authorId="0" shapeId="0" xr:uid="{BD1D4289-7BD2-4CC0-958A-31FA7EF095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5" authorId="0" shapeId="0" xr:uid="{50D24CDF-E709-4F70-BDF4-40F0754422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5" authorId="0" shapeId="0" xr:uid="{796353D8-F2E3-41E1-AB1C-9C3E345D08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5" authorId="0" shapeId="0" xr:uid="{01015AC6-426E-41B0-AE0C-E571B41073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5" authorId="0" shapeId="0" xr:uid="{AC98D911-1261-474E-88A4-C72EFD9A45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6" authorId="0" shapeId="0" xr:uid="{A842383F-206E-4DFA-B6DA-ECEFACE8B4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26" authorId="0" shapeId="0" xr:uid="{DCF993A5-6E24-4696-AE5B-4CF86C5945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6" authorId="0" shapeId="0" xr:uid="{D2DD7262-AB3C-434E-B474-46FD047219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6" authorId="0" shapeId="0" xr:uid="{09E940A5-68F2-4EA8-A14A-8754EE079F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6" authorId="0" shapeId="0" xr:uid="{67F0843A-266C-4B58-B131-B801C390AB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6" authorId="0" shapeId="0" xr:uid="{0C503445-5576-44F5-A05B-35DE82213B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6" authorId="0" shapeId="0" xr:uid="{5D97668E-6CFD-4DC0-B14F-E0F9FD5301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6" authorId="0" shapeId="0" xr:uid="{5E7869DF-5D41-4690-ADD4-A58C8AD939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6" authorId="0" shapeId="0" xr:uid="{8AC37185-EF84-43B1-92AF-028866262D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6" authorId="0" shapeId="0" xr:uid="{8EBFF476-EE9A-43DF-853E-94D7BFAE45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6" authorId="0" shapeId="0" xr:uid="{13830CF8-EFD8-473F-AF5D-5E80D4E5E6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6" authorId="0" shapeId="0" xr:uid="{A4A146B8-7147-4955-B4E2-B347C380BC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6" authorId="0" shapeId="0" xr:uid="{2DA86516-A50D-445F-A3D9-7289F5017A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6" authorId="0" shapeId="0" xr:uid="{FB0EE9F8-93B2-4857-A05E-9C2ED6B9A6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6" authorId="0" shapeId="0" xr:uid="{AA636A88-D7FE-4FC9-8745-BCC7F9484A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6" authorId="0" shapeId="0" xr:uid="{1E32A529-7267-48DA-9F5B-A89CF4BC76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6" authorId="0" shapeId="0" xr:uid="{47C389BA-BB12-4BA8-A983-9FF0FEE186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6" authorId="0" shapeId="0" xr:uid="{AD5AA9A4-122F-4CAF-AA1A-BC9D0E776C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6" authorId="0" shapeId="0" xr:uid="{C0B6A13A-4B52-4A92-B4E1-D78394ED11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6" authorId="0" shapeId="0" xr:uid="{7658E840-015D-4E58-8F21-4781DCF2C3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6" authorId="0" shapeId="0" xr:uid="{C0BBD256-0271-4C6F-8E71-2B1358DF2A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7" authorId="0" shapeId="0" xr:uid="{5F1BDDCC-59FB-4490-92C7-43A65B273E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7" authorId="0" shapeId="0" xr:uid="{7F5C4EC5-9C7B-44CB-8347-F129193308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7" authorId="0" shapeId="0" xr:uid="{18AFD84C-980C-4C20-A58E-CD7F3D82F4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7" authorId="0" shapeId="0" xr:uid="{9B2AF7A4-BFA9-41C9-9E56-80028E22DB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7" authorId="0" shapeId="0" xr:uid="{588B3B56-5A02-4526-BED6-4DE9D0879E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7" authorId="0" shapeId="0" xr:uid="{42911783-4776-4B49-8B23-EC05893DC9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7" authorId="0" shapeId="0" xr:uid="{15AE1C6C-14DE-4460-93EE-752FC55525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7" authorId="0" shapeId="0" xr:uid="{3088F3B5-370B-498E-8264-98E91148B9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7" authorId="0" shapeId="0" xr:uid="{B7AD0E1F-F7C1-4341-B6D2-7B6238387D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7" authorId="0" shapeId="0" xr:uid="{7C035439-61A4-46CD-87DA-0C18A6715C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7" authorId="0" shapeId="0" xr:uid="{66C8F359-476C-40A7-94D5-71C125F246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7" authorId="0" shapeId="0" xr:uid="{A70C6D95-CA60-42B9-8353-FBFD3B077E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7" authorId="0" shapeId="0" xr:uid="{B4E8D590-BE86-4469-817F-9A60AB1FFF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7" authorId="0" shapeId="0" xr:uid="{8B02EF0E-A6CC-4CE0-A00D-5D59E8B232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7" authorId="0" shapeId="0" xr:uid="{6EAA6B52-7BE6-43FC-ABE3-B5AD37B415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7" authorId="0" shapeId="0" xr:uid="{E225E7EE-C751-4B53-B373-9EB47FB5D5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7" authorId="0" shapeId="0" xr:uid="{496C1AAF-D9DB-4592-908C-CB55810BFF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7" authorId="0" shapeId="0" xr:uid="{8A6F94D3-00B4-4E9C-83C6-4CBD8998D0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7" authorId="0" shapeId="0" xr:uid="{2F779C73-742D-4A08-B6B6-57B7ACE6D8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28" authorId="0" shapeId="0" xr:uid="{89C04CAA-A94E-4867-8CEE-769EF7A429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8" authorId="0" shapeId="0" xr:uid="{F0A84CB3-9201-4C5A-9267-8E6363D689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8" authorId="0" shapeId="0" xr:uid="{0C169BAA-0BA8-49E7-B757-28126075C0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8" authorId="0" shapeId="0" xr:uid="{64258FFF-2182-4C44-8244-E093B2EF1F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8" authorId="0" shapeId="0" xr:uid="{CCCA245B-9D84-4299-B546-EEACA9718D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8" authorId="0" shapeId="0" xr:uid="{6796DE68-49E3-4D97-A92D-6A1CE4DFD2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8" authorId="0" shapeId="0" xr:uid="{EF45857D-BFD9-4937-BA3A-CA47B12ACA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8" authorId="0" shapeId="0" xr:uid="{56D7E718-D03D-466B-BD8B-F60F10BB4F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8" authorId="0" shapeId="0" xr:uid="{E29FB284-285B-4464-96B3-3F4E0DF356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8" authorId="0" shapeId="0" xr:uid="{B89EB8B4-3450-4B6D-BBEE-B30F5EB158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8" authorId="0" shapeId="0" xr:uid="{35C9AF20-5271-485E-891F-E99A1AF9CD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8" authorId="0" shapeId="0" xr:uid="{D4E55E1F-29DF-4785-B36F-C8A5B92339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8" authorId="0" shapeId="0" xr:uid="{4D6B6AFF-A030-4F85-B03B-A2C7C4A8B1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8" authorId="0" shapeId="0" xr:uid="{AD045C3C-180E-4E3E-AEE7-B644253F72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8" authorId="0" shapeId="0" xr:uid="{A60F22F1-E7E6-41D2-8A68-234394A2BE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8" authorId="0" shapeId="0" xr:uid="{B26749F0-5EFE-4212-8081-29B25A3E5B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8" authorId="0" shapeId="0" xr:uid="{753EE851-87A5-4950-95E9-8434777552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8" authorId="0" shapeId="0" xr:uid="{59B5913A-EA03-4923-87F7-B137775C68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8" authorId="0" shapeId="0" xr:uid="{EC74FBF1-647E-47C7-8BAC-778BE46C24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9" authorId="0" shapeId="0" xr:uid="{2093593B-4475-4800-95A7-95334C4166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9" authorId="0" shapeId="0" xr:uid="{7111D5EE-962E-4CF9-8AE2-095DAEF170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9" authorId="0" shapeId="0" xr:uid="{31501726-B4FF-43E3-8AA6-37A8EEC784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9" authorId="0" shapeId="0" xr:uid="{9298C714-55A0-4E0E-A5ED-51B241ECC5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9" authorId="0" shapeId="0" xr:uid="{D1EFB288-8D54-4BDA-AE2A-55AD6BADE3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9" authorId="0" shapeId="0" xr:uid="{6AACA9BB-320F-498C-8E6C-50A50B44E9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9" authorId="0" shapeId="0" xr:uid="{0448FCEA-76D7-4A25-8BC5-7A4B49C6BA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9" authorId="0" shapeId="0" xr:uid="{5181F06C-6EF7-44DF-A7D5-3C3A29881C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9" authorId="0" shapeId="0" xr:uid="{563DB0C3-C524-481C-A247-C69DFF6BF9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9" authorId="0" shapeId="0" xr:uid="{91AEDCD4-A01D-4567-AB95-0CECF6A514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9" authorId="0" shapeId="0" xr:uid="{ACABA7DB-D813-48A9-9888-5C0D8F0A78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9" authorId="0" shapeId="0" xr:uid="{0EAB7512-C4A0-4C05-807B-87C9A7DDF1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30" authorId="0" shapeId="0" xr:uid="{D59C0B2C-BDA6-41BA-8390-1B85A52229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0" authorId="0" shapeId="0" xr:uid="{B3998BBE-29BE-4CEF-8CF9-DF2B9C60F1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0" authorId="0" shapeId="0" xr:uid="{435BB21E-7706-4BD9-AD29-617E4CE01F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0" authorId="0" shapeId="0" xr:uid="{B4725A2F-562F-4E98-BDA5-3C1DA82F38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0" authorId="0" shapeId="0" xr:uid="{25D06791-3E61-4592-876B-0A6DF1FD6E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0" authorId="0" shapeId="0" xr:uid="{6501E2E3-0AE2-4852-9F1C-4BF2D4B3A4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0" authorId="0" shapeId="0" xr:uid="{51AACAE4-1387-4851-A825-9AE473B5B5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0" authorId="0" shapeId="0" xr:uid="{DCBF0E9F-5B30-4C0F-A84F-FF59FF4111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0" authorId="0" shapeId="0" xr:uid="{298D81A1-D39A-465A-B6CF-ED65901919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0" authorId="0" shapeId="0" xr:uid="{BB2304CC-FF18-4C74-80A3-04B93A10AC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0" authorId="0" shapeId="0" xr:uid="{A62370E6-278D-4E73-A32D-951B19694F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0" authorId="0" shapeId="0" xr:uid="{2EC1CF9D-D16C-44AF-9A88-4BCDE0AEF4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0" authorId="0" shapeId="0" xr:uid="{38E2D342-41C4-4C0F-8C6A-A5DABA8041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0" authorId="0" shapeId="0" xr:uid="{CD0D47FD-74C8-4D97-8615-236B78DCB5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0" authorId="0" shapeId="0" xr:uid="{A7C8CD3F-6C63-4DCC-BA80-6E162098D2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0" authorId="0" shapeId="0" xr:uid="{131EEDE9-7684-4768-8BC5-98515D7DFC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0" authorId="0" shapeId="0" xr:uid="{C0D6EFD1-F5D9-4C20-847B-5F09A123C0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0" authorId="0" shapeId="0" xr:uid="{A9BB88D8-F6F9-41D5-84F3-B5BE6C8CAF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1" authorId="0" shapeId="0" xr:uid="{BEAF9564-A5CE-4D52-B9A6-950EDC9267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1" authorId="0" shapeId="0" xr:uid="{6EAF0FB8-6CD7-402B-B598-B1A74A9AC5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1" authorId="0" shapeId="0" xr:uid="{25CC171F-7DEE-4F9A-AF63-77ED3E26E6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1" authorId="0" shapeId="0" xr:uid="{EDCAD44E-731F-4DAC-8A2D-B6C4B5ECC2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1" authorId="0" shapeId="0" xr:uid="{2512FE72-D942-4B4E-9DB9-F4F8CEC12E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1" authorId="0" shapeId="0" xr:uid="{80991198-5EBE-45D5-9597-FBA4A3ED26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1" authorId="0" shapeId="0" xr:uid="{7E613904-AA54-496E-B718-7FD0B8839B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1" authorId="0" shapeId="0" xr:uid="{45D625EF-61A6-46BF-A31E-A5371EB918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1" authorId="0" shapeId="0" xr:uid="{686B3502-3AB8-4EB9-BD64-2428C45CF5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1" authorId="0" shapeId="0" xr:uid="{689E821B-577D-4F3F-9215-B944467387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1" authorId="0" shapeId="0" xr:uid="{15B4048A-65DF-486B-97DD-71E3C30DA6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1" authorId="0" shapeId="0" xr:uid="{7D12369A-D907-4993-8668-F63E76B54E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1" authorId="0" shapeId="0" xr:uid="{7BCEF1E9-20CC-4960-B824-D46705D316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1" authorId="0" shapeId="0" xr:uid="{291F70E8-42D0-4CFB-87E9-36523AD1BD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1" authorId="0" shapeId="0" xr:uid="{F89E5F59-36FC-4A28-AA07-B9A87FEADF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1" authorId="0" shapeId="0" xr:uid="{E451CBCE-D79F-4434-86E0-DE12F002C9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1" authorId="0" shapeId="0" xr:uid="{B1A7E46B-0C70-4522-888E-94C826A847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2" authorId="0" shapeId="0" xr:uid="{702DE800-B32C-44CC-917E-FAC42C07C5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2" authorId="0" shapeId="0" xr:uid="{A50C30AD-D327-4C5B-BA63-182AFB8E00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2" authorId="0" shapeId="0" xr:uid="{C5372A57-7847-4D95-B373-81657962BE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2" authorId="0" shapeId="0" xr:uid="{12699B78-5DF3-4B3E-9094-A317F904B8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2" authorId="0" shapeId="0" xr:uid="{85AC9A5B-1262-4FF0-B87B-C102C58763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2" authorId="0" shapeId="0" xr:uid="{C2D02996-6B7A-40F8-89A0-22E7FFA3FF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2" authorId="0" shapeId="0" xr:uid="{A852B571-8253-4E14-A5CB-B1D054B3F7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2" authorId="0" shapeId="0" xr:uid="{44110676-D0B9-49B2-ABE1-C6BD4D15E9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2" authorId="0" shapeId="0" xr:uid="{F492491D-AE08-432C-BBF1-BBC569483B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2" authorId="0" shapeId="0" xr:uid="{A5D0FBCD-406C-4C15-86C4-24CF9B6202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2" authorId="0" shapeId="0" xr:uid="{00384DAC-9719-4C0E-9C1A-3B066B5D2E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2" authorId="0" shapeId="0" xr:uid="{D9CB4B47-9C7E-492E-8640-4D1F8F2A63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2" authorId="0" shapeId="0" xr:uid="{672E0887-AC60-4DED-9701-49D7700A4C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2" authorId="0" shapeId="0" xr:uid="{663C980A-3555-4545-8A3D-B00CA4F366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2" authorId="0" shapeId="0" xr:uid="{94F9F30F-5351-4817-B678-CF52F6958A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2" authorId="0" shapeId="0" xr:uid="{75F2E889-178D-43CD-9AFA-CD4CE4315E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2" authorId="0" shapeId="0" xr:uid="{BC585E81-1CA4-4538-87CE-AF3FC1B118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2" authorId="0" shapeId="0" xr:uid="{6071ADF2-9133-4A05-87DF-5085A4C0DA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2" authorId="0" shapeId="0" xr:uid="{E00C277B-4E80-4F54-B283-071BE985CD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3" authorId="0" shapeId="0" xr:uid="{82CE0FCA-2345-40CA-AE4B-279A6F33B6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3" authorId="0" shapeId="0" xr:uid="{AD493686-02AA-4FBF-9965-58C455E3AF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3" authorId="0" shapeId="0" xr:uid="{21AC5F0E-E1E9-47FC-B9FF-F97AB93F5C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3" authorId="0" shapeId="0" xr:uid="{175632E6-60B5-42D3-BF39-61AB3751F1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3" authorId="0" shapeId="0" xr:uid="{B7CC4614-DAD3-4D3A-877F-34C8BD8AFE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3" authorId="0" shapeId="0" xr:uid="{30B11F7A-44AA-47B7-9CDC-FA0B191DEF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3" authorId="0" shapeId="0" xr:uid="{EE161361-E599-4FDA-A18A-0ACEB18884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3" authorId="0" shapeId="0" xr:uid="{5C2BADA7-E0C5-40B3-B5C6-E5B44A2B1B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3" authorId="0" shapeId="0" xr:uid="{DA0B1833-A7C8-4C56-9948-3DAEFA4831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3" authorId="0" shapeId="0" xr:uid="{FA96853A-12AA-4EC9-B271-0EE8A95808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3" authorId="0" shapeId="0" xr:uid="{2CC26310-7BDD-4AF3-85AF-601620C085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3" authorId="0" shapeId="0" xr:uid="{13291DD1-64AD-4E01-B2F7-809F38E088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3" authorId="0" shapeId="0" xr:uid="{0C3A69FE-86FB-4676-8746-5C4515CD1C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3" authorId="0" shapeId="0" xr:uid="{8368A50F-930A-4D31-B08B-FF21DFD4E6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3" authorId="0" shapeId="0" xr:uid="{5D36C915-A973-4C28-8455-5C621823AD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4" authorId="0" shapeId="0" xr:uid="{34794492-D85F-4F9A-A3BA-1CBFEBF2DB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4" authorId="0" shapeId="0" xr:uid="{2BBDC642-AB0B-45D3-9DD7-67DB16EDF5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4" authorId="0" shapeId="0" xr:uid="{B7AFA0A9-1DD5-4D91-B017-0B4628AC28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4" authorId="0" shapeId="0" xr:uid="{8E4E80E3-4F47-492A-B76E-E99D6C07AD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34" authorId="0" shapeId="0" xr:uid="{2D889A7C-1160-455D-9299-F67C54D089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4" authorId="0" shapeId="0" xr:uid="{AE59D71D-BB51-4629-B268-CA04704A95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4" authorId="0" shapeId="0" xr:uid="{5FC81C6F-7BEB-4EF7-A829-F0AB1F0F25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4" authorId="0" shapeId="0" xr:uid="{B4972329-3740-4C8B-9A14-64190AA333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4" authorId="0" shapeId="0" xr:uid="{BD3C9965-6C32-4502-BC5A-1970E63286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4" authorId="0" shapeId="0" xr:uid="{ADCA9421-79EF-46C2-989F-C1CD7BE5E3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4" authorId="0" shapeId="0" xr:uid="{12613DA8-DD16-44BC-B208-177E159EAB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4" authorId="0" shapeId="0" xr:uid="{42B867FF-CCBD-4034-A5B5-037844BFED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4" authorId="0" shapeId="0" xr:uid="{19C9005E-793A-422C-B31F-F1C2408BDF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4" authorId="0" shapeId="0" xr:uid="{D835F839-AAB3-4B78-831D-6B6335EB48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4" authorId="0" shapeId="0" xr:uid="{F1D0A0F2-9C30-4FCB-B86B-2219F75C84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4" authorId="0" shapeId="0" xr:uid="{F1C7CDFD-4361-43F4-82D8-760B665C18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5" authorId="0" shapeId="0" xr:uid="{1978C6D8-2E75-40FD-87F5-F0AFFA43DE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5" authorId="0" shapeId="0" xr:uid="{695CB1D9-2B49-45F9-B4E6-30A6639868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5" authorId="0" shapeId="0" xr:uid="{FDC642D8-7A84-4AFF-A2FC-31F4614EBA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5" authorId="0" shapeId="0" xr:uid="{E27C0C13-831D-4F46-9BD5-8511983921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5" authorId="0" shapeId="0" xr:uid="{1521FF33-219B-4CDA-BD6E-1D8D37380A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5" authorId="0" shapeId="0" xr:uid="{8A90877A-B382-47B7-908C-3FBEBD708F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5" authorId="0" shapeId="0" xr:uid="{339C9855-BC97-4921-A3D6-7FA65DBB68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5" authorId="0" shapeId="0" xr:uid="{2BC29F34-D465-4655-8FAC-FE70A0B660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5" authorId="0" shapeId="0" xr:uid="{61263EF2-F70A-4703-86B5-F640A7EE89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5" authorId="0" shapeId="0" xr:uid="{8B293772-04CA-4AA8-B98C-6AD31EBB8E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5" authorId="0" shapeId="0" xr:uid="{FDB4565B-516B-4AD5-9674-F3BA0F4D69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5" authorId="0" shapeId="0" xr:uid="{222577AE-CF6E-4D85-BA53-19B1F54D19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5" authorId="0" shapeId="0" xr:uid="{8644E7A3-DF45-477B-9477-F5AC829762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36" authorId="0" shapeId="0" xr:uid="{A8E666B6-DD73-46E2-ABE1-A5EE14A4AB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6" authorId="0" shapeId="0" xr:uid="{A226D418-A910-4593-B122-2007E44A25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6" authorId="0" shapeId="0" xr:uid="{E6E9F620-B54C-4C4B-9A16-AD3CF9A582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6" authorId="0" shapeId="0" xr:uid="{76C15E12-DC22-45D8-A5F3-BCFCE48AF2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6" authorId="0" shapeId="0" xr:uid="{892F03A0-66D3-4ABF-AD7D-C8D115E560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6" authorId="0" shapeId="0" xr:uid="{F7B71534-CE6A-4352-B65B-19868909F0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6" authorId="0" shapeId="0" xr:uid="{DA4432D3-353F-463C-92A9-630D5781FE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6" authorId="0" shapeId="0" xr:uid="{AE243B15-D351-486E-865D-2B54B0E63A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6" authorId="0" shapeId="0" xr:uid="{A49B6758-73F2-4326-9726-21EB6CD813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6" authorId="0" shapeId="0" xr:uid="{FE151737-6184-4507-A273-690D0E1117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6" authorId="0" shapeId="0" xr:uid="{4C743A7D-AF70-47EC-83A3-9B434FADB6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6" authorId="0" shapeId="0" xr:uid="{B0727FBB-F50C-4F2C-9C68-68DD9190BB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6" authorId="0" shapeId="0" xr:uid="{2BFF7A55-8275-44FB-81F8-713AEEA17B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6" authorId="0" shapeId="0" xr:uid="{ACBFF9CB-97D9-4BBC-8343-9F4547865A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6" authorId="0" shapeId="0" xr:uid="{7D9CB8F1-59F3-4340-8297-D6966166B4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6" authorId="0" shapeId="0" xr:uid="{3ECBC662-0875-4B80-AB3F-A9802AFF16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6" authorId="0" shapeId="0" xr:uid="{F4F27D54-70AC-42A9-BA9D-095C5CFBBD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7" authorId="0" shapeId="0" xr:uid="{93ED819C-B98C-4A53-A90E-91D7D064E0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7" authorId="0" shapeId="0" xr:uid="{4D3A9E79-6168-48CB-AB71-5BACFB5662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7" authorId="0" shapeId="0" xr:uid="{4886F0D6-1DAE-453D-8BD8-99A230E39A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7" authorId="0" shapeId="0" xr:uid="{2EDC8618-0078-41D9-81EB-3E18EF2C72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7" authorId="0" shapeId="0" xr:uid="{F4EDC6D5-74C8-4C72-8714-8E04A5A110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7" authorId="0" shapeId="0" xr:uid="{FC128B63-31FD-4775-ACEF-5A97C29063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7" authorId="0" shapeId="0" xr:uid="{939E5087-3E67-4A8D-9C89-A1DAD630F3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7" authorId="0" shapeId="0" xr:uid="{BA8DB88F-90DB-49FC-AB47-3641874CB0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7" authorId="0" shapeId="0" xr:uid="{6F446929-8839-4DF7-9E84-5D1F2C0A79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7" authorId="0" shapeId="0" xr:uid="{07D41845-9F4A-4E8E-91AA-683904AE5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7" authorId="0" shapeId="0" xr:uid="{62D20B5E-0A5A-43AE-BA82-5921BE749C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7" authorId="0" shapeId="0" xr:uid="{2E431114-08F3-4370-BE81-1D1D35472E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7" authorId="0" shapeId="0" xr:uid="{2D4AC4E9-DB75-4B6A-B064-42DE437DA2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7" authorId="0" shapeId="0" xr:uid="{6234DF55-9E5F-47E8-9177-266EBE944D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7" authorId="0" shapeId="0" xr:uid="{3151D2BF-492E-4AD6-B8BE-5BDD65A0AB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7" authorId="0" shapeId="0" xr:uid="{AF21A67D-408E-4457-9628-1DFFB48F2F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7" authorId="0" shapeId="0" xr:uid="{6CB87D24-F7D5-49ED-B47E-CC54E1A121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38" authorId="0" shapeId="0" xr:uid="{B4B9EC50-A90D-48E8-B76C-79A6067460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8" authorId="0" shapeId="0" xr:uid="{A155D600-26CC-41DB-990E-4AFA11A16E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8" authorId="0" shapeId="0" xr:uid="{EDA904D7-8E80-41BF-84C3-E0D726F484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8" authorId="0" shapeId="0" xr:uid="{6AB48418-F10F-4527-9C7B-72B3A9952D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38" authorId="0" shapeId="0" xr:uid="{C8B35DDC-F7A8-4C5E-8B40-0EA1E0D517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8" authorId="0" shapeId="0" xr:uid="{6647A162-7DCA-40C7-92B2-111D2FE31C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8" authorId="0" shapeId="0" xr:uid="{FDC0C8F8-1278-46AE-BCBB-8FF6E2777D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8" authorId="0" shapeId="0" xr:uid="{0F341A7D-A35C-48C7-800A-1BF8319433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8" authorId="0" shapeId="0" xr:uid="{993237AA-3868-4B0E-AFFF-AFF4E8E117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8" authorId="0" shapeId="0" xr:uid="{B4D0145E-B941-4EF4-9ECA-521D1B6BD3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8" authorId="0" shapeId="0" xr:uid="{571BBFA6-FE60-439E-9EE6-BF052C65B9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8" authorId="0" shapeId="0" xr:uid="{2D4F0ABE-83A5-43B8-B3E9-0598F533C8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8" authorId="0" shapeId="0" xr:uid="{6A8D299A-D0A6-4046-B884-B07536BBC6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8" authorId="0" shapeId="0" xr:uid="{339077D3-6DE6-4844-8E96-8FAEE33E21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8" authorId="0" shapeId="0" xr:uid="{AA3775B9-B0FA-4051-9CE6-B8594F7915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8" authorId="0" shapeId="0" xr:uid="{09CFFE38-DFC5-45BA-B86E-9C7FD24D81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8" authorId="0" shapeId="0" xr:uid="{378F3794-FA86-4168-91BF-5D0496C6E8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8" authorId="0" shapeId="0" xr:uid="{15AE3B55-C987-4E7E-B7E6-A047B3480A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8" authorId="0" shapeId="0" xr:uid="{63ED8406-B3DB-45DD-AA42-5CA3B35F32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8" authorId="0" shapeId="0" xr:uid="{092D3B05-C389-4BA3-9F4F-20E4AF4F8C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39" authorId="0" shapeId="0" xr:uid="{E09DB384-47A4-4B94-AEE5-14FF4DEBF9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9" authorId="0" shapeId="0" xr:uid="{4AB80128-044B-4539-A291-DE5140AAB6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9" authorId="0" shapeId="0" xr:uid="{B872BDDD-E17B-41D0-B483-63902F4759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9" authorId="0" shapeId="0" xr:uid="{E275404B-28E1-4E6B-B790-E252E5C25C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39" authorId="0" shapeId="0" xr:uid="{56737A5F-83EF-441F-A44D-CECE8280CC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9" authorId="0" shapeId="0" xr:uid="{5759A800-23EE-49D7-B61A-7BD264BCC2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9" authorId="0" shapeId="0" xr:uid="{F0BA02EA-14EE-4570-A513-865BC7979F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9" authorId="0" shapeId="0" xr:uid="{EF825F9B-2359-4971-8662-9D088C79A8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9" authorId="0" shapeId="0" xr:uid="{7794D979-2C4C-48AB-8C34-3171BC29AC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9" authorId="0" shapeId="0" xr:uid="{F7359ABC-8ED6-4C73-84DA-1908F88C6D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9" authorId="0" shapeId="0" xr:uid="{9E8C6AF8-3932-4423-982A-0B8B150538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9" authorId="0" shapeId="0" xr:uid="{AC6347E0-775D-4398-BE76-5D22217549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9" authorId="0" shapeId="0" xr:uid="{5981FF95-D327-4FA3-9365-4D510451A3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9" authorId="0" shapeId="0" xr:uid="{8351FAE6-EEB7-4F14-8943-A94DBB1E3B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9" authorId="0" shapeId="0" xr:uid="{89F0D123-6210-418A-B285-64062510B1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9" authorId="0" shapeId="0" xr:uid="{191AB9C4-80CD-4F71-B2C0-6ED0F3D614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9" authorId="0" shapeId="0" xr:uid="{B153FC65-8411-4EC7-80CA-EDE0E71469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9" authorId="0" shapeId="0" xr:uid="{EEA899E4-66EC-4E3E-83B5-78E6BEB861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0" authorId="0" shapeId="0" xr:uid="{1CB53575-580D-415D-B944-D204612868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0" authorId="0" shapeId="0" xr:uid="{1D38E9C6-18BF-4437-97C7-969BB6F394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0" authorId="0" shapeId="0" xr:uid="{9073FAE2-AB6D-4946-8884-83FCAFE88B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40" authorId="0" shapeId="0" xr:uid="{A01C2FE6-883E-41F2-9E65-F32A71D1FE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0" authorId="0" shapeId="0" xr:uid="{AA2BA84E-07D0-4262-82C7-84D788979C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0" authorId="0" shapeId="0" xr:uid="{504325BE-97D4-4D4D-A7A0-70E8714A7C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40" authorId="0" shapeId="0" xr:uid="{4BFB3100-3A03-473D-9E9E-6F0A1914EA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0" authorId="0" shapeId="0" xr:uid="{05AA5CCD-9596-4982-A440-D5926EC784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0" authorId="0" shapeId="0" xr:uid="{9B681A34-B56A-4299-BC71-0894CA62F8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0" authorId="0" shapeId="0" xr:uid="{572264C4-E76B-4511-A79E-386EB974CB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0" authorId="0" shapeId="0" xr:uid="{7DF4428E-75D2-47C0-B9CE-83AE94D7F5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0" authorId="0" shapeId="0" xr:uid="{782CE041-A567-43FE-AD8E-2BB7D9005E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0" authorId="0" shapeId="0" xr:uid="{226F0FDF-B2BA-4E48-ABE2-BDEA781FF9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0" authorId="0" shapeId="0" xr:uid="{A6C8C48E-7C17-41AB-8DCA-E1671F4505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0" authorId="0" shapeId="0" xr:uid="{431D1BC7-2ED0-46C0-A56E-1563084A61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0" authorId="0" shapeId="0" xr:uid="{AB4E13AC-C531-4293-AE52-90EE38A3B6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0" authorId="0" shapeId="0" xr:uid="{DA933C94-CB34-4139-A524-BA1FC7EA39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0" authorId="0" shapeId="0" xr:uid="{19873A5F-8953-4F95-B98D-5C29770279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0" authorId="0" shapeId="0" xr:uid="{A7A169F9-FF83-44C5-A3B1-985744593E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0" authorId="0" shapeId="0" xr:uid="{0C7C1D7F-15D0-44EF-B404-56712677CC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0" authorId="0" shapeId="0" xr:uid="{D1D9AB09-CD9C-4C4F-ABA2-1BC4727531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1" authorId="0" shapeId="0" xr:uid="{15ABE747-517B-4984-89A5-39310C6755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1" authorId="0" shapeId="0" xr:uid="{A59F054F-9242-4429-8089-26F6016072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1" authorId="0" shapeId="0" xr:uid="{CE8D7BE1-C1C3-4504-AAB9-F74A87D885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1" authorId="0" shapeId="0" xr:uid="{919FE2EF-9E88-4F4C-B59A-CDDBEA720B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1" authorId="0" shapeId="0" xr:uid="{7F7A94A7-39ED-4168-9219-64C550BE44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1" authorId="0" shapeId="0" xr:uid="{BDE06A65-7DF4-49AE-8C43-50D56C7471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1" authorId="0" shapeId="0" xr:uid="{283E3D96-EA3A-4AE3-B372-8FED284045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1" authorId="0" shapeId="0" xr:uid="{BA14445E-D166-4AA0-B548-B9AAE6AF3E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1" authorId="0" shapeId="0" xr:uid="{91E29507-C90E-40CB-A8C0-2CF81CD534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1" authorId="0" shapeId="0" xr:uid="{153C5121-1146-4856-AE6E-85B672C2A7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1" authorId="0" shapeId="0" xr:uid="{5609AC6D-D210-40D4-BD10-BBFD25E094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1" authorId="0" shapeId="0" xr:uid="{2DB2917E-9241-4D9D-936A-DA0CEF446F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1" authorId="0" shapeId="0" xr:uid="{E04076DA-B596-4BB7-92A9-97F1638E1D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1" authorId="0" shapeId="0" xr:uid="{3487C4E9-6BCA-463C-989A-41A7881B3B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1" authorId="0" shapeId="0" xr:uid="{E690FD1F-A88F-4BED-B368-8D5065F96E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1" authorId="0" shapeId="0" xr:uid="{404ACFE7-1F2E-4EA5-B77B-FDA998ADD7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1" authorId="0" shapeId="0" xr:uid="{9FE6ABD2-EE2E-4F52-98C3-C8D7D29459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1" authorId="0" shapeId="0" xr:uid="{97198DFD-B743-4A39-9737-19006A0684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2" authorId="0" shapeId="0" xr:uid="{8D776675-74A9-493A-BF5C-C8A2B74E85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2" authorId="0" shapeId="0" xr:uid="{3BBB2FEB-4D3A-47F4-8341-959EB4EE54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2" authorId="0" shapeId="0" xr:uid="{D25685CD-819E-40FC-83FB-34DCEEED27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2" authorId="0" shapeId="0" xr:uid="{E8ABA70C-D7C8-427F-8C9E-2C8B946469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2" authorId="0" shapeId="0" xr:uid="{E9E55DE5-E662-4438-80A6-26CA9B101A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2" authorId="0" shapeId="0" xr:uid="{F8C0683A-21A6-4047-BA6C-2F3B1342A6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2" authorId="0" shapeId="0" xr:uid="{192AB0A4-A79F-4FD4-A85B-36F8079283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2" authorId="0" shapeId="0" xr:uid="{9B35B0C4-6B9C-4FC2-92E0-873D9ADF5F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2" authorId="0" shapeId="0" xr:uid="{297945A7-7B7D-4D90-AF7B-A53F3313BB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2" authorId="0" shapeId="0" xr:uid="{3D331CB1-350D-4686-9434-C2DB938094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2" authorId="0" shapeId="0" xr:uid="{5199FDC4-7ADC-4887-AF55-CA4F29D7B0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2" authorId="0" shapeId="0" xr:uid="{47B241A2-5BFA-46B3-BE79-7EC491F88D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2" authorId="0" shapeId="0" xr:uid="{C0AFBF6B-51C4-46A1-97DB-C943899EFA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2" authorId="0" shapeId="0" xr:uid="{6B9235C4-82E4-4838-93AF-5BEB3986DD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43" authorId="0" shapeId="0" xr:uid="{93C57A89-09A7-4793-89FE-CB08C1E5D8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3" authorId="0" shapeId="0" xr:uid="{AC17A4FB-1F97-4107-AD26-BE1B0D84EF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3" authorId="0" shapeId="0" xr:uid="{8B8BB218-7CDE-442E-98DB-14813C36F9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3" authorId="0" shapeId="0" xr:uid="{EDE6ECFB-6428-4EFC-98A8-0E07855246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3" authorId="0" shapeId="0" xr:uid="{F93D3CD0-D52F-4AEB-9400-A4DEFF09C8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3" authorId="0" shapeId="0" xr:uid="{173311B8-D32C-4A1B-AB5B-F0F5F14DA5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3" authorId="0" shapeId="0" xr:uid="{3D4CA24F-98AE-4141-ADF5-9C7B45D334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3" authorId="0" shapeId="0" xr:uid="{3FE2350F-0875-4063-85E8-43E357038E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3" authorId="0" shapeId="0" xr:uid="{7949AC4D-39B8-4325-8724-96CDAA5265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3" authorId="0" shapeId="0" xr:uid="{2432EF14-89B4-44BB-92DA-6BABC636FB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3" authorId="0" shapeId="0" xr:uid="{BF9AD457-1B8D-47F2-B167-B95DBEAA2B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3" authorId="0" shapeId="0" xr:uid="{5BD4A27B-3A29-4EBA-8796-D347566C80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3" authorId="0" shapeId="0" xr:uid="{39AB6C24-E1EC-4BC2-A637-5A01B7B0CA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3" authorId="0" shapeId="0" xr:uid="{39408FC3-5F65-4D18-BBF3-C057094383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3" authorId="0" shapeId="0" xr:uid="{5943661E-EBA6-453F-A6F3-C2564FAF5A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3" authorId="0" shapeId="0" xr:uid="{3CCA681D-B777-4453-9F0A-AE6CFCB07C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3" authorId="0" shapeId="0" xr:uid="{1D3B48E4-D4EB-414F-8A34-1E8134644E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3" authorId="0" shapeId="0" xr:uid="{4EF12712-994B-4416-AB3A-789011F99C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3" authorId="0" shapeId="0" xr:uid="{B7F13A02-99E7-469C-8634-57ED632F1B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3" authorId="0" shapeId="0" xr:uid="{23E13E9E-7D11-4021-9669-430400249A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44" authorId="0" shapeId="0" xr:uid="{D4798CAF-F908-47F5-9ACE-F9889F6F9A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4" authorId="0" shapeId="0" xr:uid="{243ECF0B-B637-4FA1-A416-2C6C82F8F5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44" authorId="0" shapeId="0" xr:uid="{2483B958-D3CA-4D68-90A0-F614B6558B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4" authorId="0" shapeId="0" xr:uid="{4A364A27-6CD1-4A14-9750-BCB7516890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4" authorId="0" shapeId="0" xr:uid="{2E6FEE43-4F24-4C39-BCA7-80C19B8D2F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4" authorId="0" shapeId="0" xr:uid="{2D217A39-4E74-4385-929A-A0968F4DE5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4" authorId="0" shapeId="0" xr:uid="{FC7A0104-D4DD-4B5F-B3F0-D98E0AC8F7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4" authorId="0" shapeId="0" xr:uid="{369F1502-277F-4A49-99E4-CFA07DC4AE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4" authorId="0" shapeId="0" xr:uid="{AB59DCD2-C26E-47EB-9F5A-90A8117547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4" authorId="0" shapeId="0" xr:uid="{717E5F7D-237B-419D-9E08-A2DF60360A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4" authorId="0" shapeId="0" xr:uid="{BBAD1DAA-098A-467F-8EF3-3DEC99A931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4" authorId="0" shapeId="0" xr:uid="{955F0152-9F23-4639-B26D-AFD1FA7B94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4" authorId="0" shapeId="0" xr:uid="{83A15E03-3DA2-41D8-8659-9C22521924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4" authorId="0" shapeId="0" xr:uid="{AD7BCDFA-6917-4665-9407-8F9035EB34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4" authorId="0" shapeId="0" xr:uid="{F8BAB27A-0D2B-450E-BA29-FC8C55447A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4" authorId="0" shapeId="0" xr:uid="{A69CE2FA-E470-4AED-B76F-500D38ECD1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4" authorId="0" shapeId="0" xr:uid="{FBD421D3-AC6B-4EC3-AF65-272D021A33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4" authorId="0" shapeId="0" xr:uid="{8B32B345-C1D2-41C0-A8FD-B33E44D47A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4" authorId="0" shapeId="0" xr:uid="{BBD33C5D-C2B7-40A8-A422-115632D802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4" authorId="0" shapeId="0" xr:uid="{3C38B9EC-220A-432F-879E-AD532FE97C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4" authorId="0" shapeId="0" xr:uid="{0DA76800-7E88-4987-9032-0DAC6A95D9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4" authorId="0" shapeId="0" xr:uid="{1ED10E21-8290-446D-B796-E4838F0D01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5" authorId="0" shapeId="0" xr:uid="{7B180253-79E3-45D4-ACF5-B872DCFBA0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5" authorId="0" shapeId="0" xr:uid="{337401FF-D649-43AF-9E9F-723BC4CF72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5" authorId="0" shapeId="0" xr:uid="{A41B569E-51AE-4426-8C59-00DC8EFC64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5" authorId="0" shapeId="0" xr:uid="{5955B761-AB97-43DE-B82F-DBF8143971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5" authorId="0" shapeId="0" xr:uid="{A085F6F3-2AE9-4518-97E2-729CD69738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45" authorId="0" shapeId="0" xr:uid="{359631D6-CF15-4906-B09E-EE0A474FA2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5" authorId="0" shapeId="0" xr:uid="{0DB53779-F503-4D77-A5DF-64FDA8DEEF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5" authorId="0" shapeId="0" xr:uid="{FB34D4B1-C62C-4EC7-A1BE-EB727CA1D2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5" authorId="0" shapeId="0" xr:uid="{973E8A83-BCD5-41B6-BE14-77FE0ADD14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45" authorId="0" shapeId="0" xr:uid="{A4DB7592-89A0-4D54-9E07-42FB5E5FEE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5" authorId="0" shapeId="0" xr:uid="{FAD737C8-1CEB-4C24-B58F-B5828FC94A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5" authorId="0" shapeId="0" xr:uid="{E26FB9B3-C37A-4EFF-B53C-21B59DDF52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5" authorId="0" shapeId="0" xr:uid="{4EE43506-FA5E-4DFF-A871-E4D38487C7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5" authorId="0" shapeId="0" xr:uid="{2AA4A25C-4CE2-41F1-9F3F-3338159DD0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5" authorId="0" shapeId="0" xr:uid="{82C5AC97-9154-4201-BA06-ED9D8F4548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5" authorId="0" shapeId="0" xr:uid="{F7C988E6-C530-4226-AEE8-C5BCC92375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5" authorId="0" shapeId="0" xr:uid="{B92B4C6A-387B-436E-9BC7-32449FCCAB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5" authorId="0" shapeId="0" xr:uid="{83C7040C-7218-4881-8D60-BE80141FF8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5" authorId="0" shapeId="0" xr:uid="{EE27EFDF-55C2-4194-BB12-A2C1B9EE5B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5" authorId="0" shapeId="0" xr:uid="{77844F78-DAA5-4297-B2DC-B3BE9DBB86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5" authorId="0" shapeId="0" xr:uid="{CC4D6311-13A9-40E7-98BC-CE630050E7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5" authorId="0" shapeId="0" xr:uid="{B4A6D700-7E50-4FF5-87B5-C878FA6FF8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6" authorId="0" shapeId="0" xr:uid="{FEC2AC4A-646D-461B-97FE-5BDBFA3724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6" authorId="0" shapeId="0" xr:uid="{78A91DC6-31B8-4856-8ED0-FA29E9B17D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6" authorId="0" shapeId="0" xr:uid="{E77B7A43-31F5-4F05-AC03-A87C83E5CD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6" authorId="0" shapeId="0" xr:uid="{0347B9F9-645D-4CAD-91AD-3A2B75EA8B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6" authorId="0" shapeId="0" xr:uid="{17D89AC2-9849-4478-AA37-ECF6F45315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6" authorId="0" shapeId="0" xr:uid="{6F0B77D6-84A2-40B5-8D18-64303120C6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6" authorId="0" shapeId="0" xr:uid="{F73C111B-7296-4B9D-A8BC-27938F3390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6" authorId="0" shapeId="0" xr:uid="{6657248E-A37C-4290-9DB2-B7D44D118E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6" authorId="0" shapeId="0" xr:uid="{D46910C9-E015-4D48-92DF-682FCDCF0F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6" authorId="0" shapeId="0" xr:uid="{819AEDDD-7866-4DB3-8107-636814F432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6" authorId="0" shapeId="0" xr:uid="{6EE49530-0F87-4AB2-BC94-CA3CFD81FB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6" authorId="0" shapeId="0" xr:uid="{C4D62DC7-7830-4909-9788-6CBAD406D8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6" authorId="0" shapeId="0" xr:uid="{606EFB12-4F88-4A50-9EF0-EC8B0C366D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6" authorId="0" shapeId="0" xr:uid="{F0898AB8-7882-4770-93FF-A0B7240825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6" authorId="0" shapeId="0" xr:uid="{9137538D-0762-445F-8D21-94EDB299EB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6" authorId="0" shapeId="0" xr:uid="{DD1AB426-DAB5-44A0-AD1E-C0018E674A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6" authorId="0" shapeId="0" xr:uid="{CC9ADB0C-BD91-48CD-9C76-08752784C3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7" authorId="0" shapeId="0" xr:uid="{C07BFE38-8E78-4587-B531-9B90C2F133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7" authorId="0" shapeId="0" xr:uid="{049697A3-FD74-4593-9260-6DCA01996F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7" authorId="0" shapeId="0" xr:uid="{9B8A740F-2CD3-4DD8-A533-F889E33079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7" authorId="0" shapeId="0" xr:uid="{F94D0805-5738-488E-8BF8-9CF4CD3353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7" authorId="0" shapeId="0" xr:uid="{63507761-8746-4F6B-9B74-C5BA77CABE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7" authorId="0" shapeId="0" xr:uid="{41D40715-A93F-40D1-BEF5-541C9184F7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7" authorId="0" shapeId="0" xr:uid="{1C0D275A-B170-450E-8F83-9B5A377099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7" authorId="0" shapeId="0" xr:uid="{DF9BCBE4-684E-4823-8BC9-00A85EDA8E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7" authorId="0" shapeId="0" xr:uid="{713C91E7-8419-46BC-A303-47DAB7630A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7" authorId="0" shapeId="0" xr:uid="{53EC0CBF-12C4-4800-AC90-58AE3FF424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7" authorId="0" shapeId="0" xr:uid="{5CC4FEED-A42D-4E1C-B561-475500BD75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7" authorId="0" shapeId="0" xr:uid="{E605C1EA-30C2-4E20-9DDA-C09903242D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7" authorId="0" shapeId="0" xr:uid="{DD8D4049-8D54-41FE-9A07-B33F6E17FA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7" authorId="0" shapeId="0" xr:uid="{1947F771-BAAB-4F19-AFEE-35FAE15E3B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7" authorId="0" shapeId="0" xr:uid="{E43AF013-E6AD-4275-8EB1-E31BC8FEF5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7" authorId="0" shapeId="0" xr:uid="{98A1160E-CEB6-49FE-95F7-58FC2BF3E4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8" authorId="0" shapeId="0" xr:uid="{FCF6C177-4670-474D-B4C5-62B74DF144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48" authorId="0" shapeId="0" xr:uid="{9E87EA5C-67A4-4400-8581-18C2A5C3A1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8" authorId="0" shapeId="0" xr:uid="{964C6058-54EF-4DF1-BE38-91E1F036C2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8" authorId="0" shapeId="0" xr:uid="{05E4D68F-0A35-4F33-A333-221FD96B9C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8" authorId="0" shapeId="0" xr:uid="{AADDF0CE-2C76-404C-BC3C-ED48A31D73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8" authorId="0" shapeId="0" xr:uid="{A2F2E3D9-2AE9-44C0-B58E-58AEF8A7B3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T48" authorId="0" shapeId="0" xr:uid="{B4D8FC7D-95A5-4137-BF26-4255033980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48" authorId="0" shapeId="0" xr:uid="{A0C8A86F-0027-4FC0-AB64-BA3F2EF727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8" authorId="0" shapeId="0" xr:uid="{544EFDE5-9CEF-44CB-8464-2FF91C57B1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8" authorId="0" shapeId="0" xr:uid="{1AFA4856-3B2A-46EE-8A03-C544F8A4E5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8" authorId="0" shapeId="0" xr:uid="{4FA17E12-1FB1-47E2-85AC-C633EB9037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8" authorId="0" shapeId="0" xr:uid="{B2591281-2DD7-49CF-9DAA-26DB4B6501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8" authorId="0" shapeId="0" xr:uid="{BA918216-5017-4B9B-8A74-73B623CFF4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8" authorId="0" shapeId="0" xr:uid="{2790DDDA-DA65-42DB-A3BF-29E9A179BD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8" authorId="0" shapeId="0" xr:uid="{F011A774-D4E9-4AA2-8CD2-F5528EA4FE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8" authorId="0" shapeId="0" xr:uid="{5C1FD12F-E0B5-482B-9C1F-FA82EEAF13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8" authorId="0" shapeId="0" xr:uid="{77851A88-6083-45E8-A717-3F1F7C9D1B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9" authorId="0" shapeId="0" xr:uid="{0CD54433-64BC-4E21-9A3A-B93BDA5580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9" authorId="0" shapeId="0" xr:uid="{19966840-43AC-481E-B773-4BA3CD4699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9" authorId="0" shapeId="0" xr:uid="{36C024DB-0FDB-43B3-89A1-8C41C7E648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9" authorId="0" shapeId="0" xr:uid="{DFDDF475-8010-4072-A916-FD1DCAA735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9" authorId="0" shapeId="0" xr:uid="{993DA240-B228-4E8C-9A04-5595B8DBA7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9" authorId="0" shapeId="0" xr:uid="{084FA8CE-900E-444A-A263-E6FAA5A426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9" authorId="0" shapeId="0" xr:uid="{C225C81C-0D7A-4EAB-ABF9-24EE1567B9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9" authorId="0" shapeId="0" xr:uid="{07AF1F56-1127-49F8-8B17-30292F11FD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9" authorId="0" shapeId="0" xr:uid="{1DC52AAB-933C-4429-AF5A-68BEF4BAA5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9" authorId="0" shapeId="0" xr:uid="{9302D762-9ECE-4EC2-B3DC-64269A5236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9" authorId="0" shapeId="0" xr:uid="{388265AA-6ABF-473F-BF39-0A04D77133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9" authorId="0" shapeId="0" xr:uid="{01CA86BB-93A9-4B51-82D6-EF83618692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9" authorId="0" shapeId="0" xr:uid="{E3B29F3E-AB35-4777-A46D-194B8E92BD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9" authorId="0" shapeId="0" xr:uid="{4E652539-1826-42BB-91AD-F106745405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9" authorId="0" shapeId="0" xr:uid="{779F2000-C31A-4340-A0DF-9726927511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50" authorId="0" shapeId="0" xr:uid="{7C29E55D-8DFC-4E9C-9C0B-416763FA9C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0" authorId="0" shapeId="0" xr:uid="{C391556A-273E-43DD-8CC1-C3DDB6E354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0" authorId="0" shapeId="0" xr:uid="{528A10C8-E8AD-4E9A-84A8-58586EF354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0" authorId="0" shapeId="0" xr:uid="{81B48DA1-3434-4C93-855D-3F46922769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0" authorId="0" shapeId="0" xr:uid="{601B3B65-9A81-492F-B71F-1F5EFD890D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0" authorId="0" shapeId="0" xr:uid="{108AB792-00B1-47BB-BEE7-976D00ECF6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0" authorId="0" shapeId="0" xr:uid="{21FB3E41-F14C-406A-AA74-D0CA83B741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0" authorId="0" shapeId="0" xr:uid="{88CDA655-F586-484C-9F21-4D3E37DAFB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0" authorId="0" shapeId="0" xr:uid="{E070A477-AC59-4E8F-A8BF-1314F794CF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0" authorId="0" shapeId="0" xr:uid="{6EB3A166-0501-4900-BD60-1394A21379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0" authorId="0" shapeId="0" xr:uid="{3D499C3E-8963-49BF-B873-A54478ED15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0" authorId="0" shapeId="0" xr:uid="{CB445A36-2534-43D1-8D6E-5CE173837C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0" authorId="0" shapeId="0" xr:uid="{E86CD641-2A6D-459C-A2A5-46CFB801B8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0" authorId="0" shapeId="0" xr:uid="{F44987F7-2B32-4A2D-8D1B-30F7C830F0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0" authorId="0" shapeId="0" xr:uid="{CAEF8C12-C404-4CFE-8476-545E2EC51B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0" authorId="0" shapeId="0" xr:uid="{14B04EF1-8B49-41AB-B883-C726D02976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0" authorId="0" shapeId="0" xr:uid="{A6B01E24-88F0-42C5-8EC1-D1AFDFD9A7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0" authorId="0" shapeId="0" xr:uid="{B3A67DB3-DB3C-4603-81AF-4FF6B2D3DE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0" authorId="0" shapeId="0" xr:uid="{BAB1C463-F5D7-44CE-AEF4-8CDF26011E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0" authorId="0" shapeId="0" xr:uid="{A2B5D6E3-979D-400D-9533-FD6458F481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0" authorId="0" shapeId="0" xr:uid="{AF69C27B-1682-47C3-86CA-9262B24887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0" authorId="0" shapeId="0" xr:uid="{B4A26EC1-B688-49FF-9D5C-CBE432A5F0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0" authorId="0" shapeId="0" xr:uid="{A1AA431F-EE25-4CFA-8070-72C4CE83B9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0" authorId="0" shapeId="0" xr:uid="{64264D9A-F357-4334-ADF1-2E5275A8FD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51" authorId="0" shapeId="0" xr:uid="{3C16AEB6-5846-4AE8-A86F-A9EC687EAE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1" authorId="0" shapeId="0" xr:uid="{FB0E6400-B285-4B85-9EEA-BB897E1959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1" authorId="0" shapeId="0" xr:uid="{F968B6A6-5D99-47FA-B4EA-97414A0D16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1" authorId="0" shapeId="0" xr:uid="{FD447989-5432-4C7E-AA06-9BDA67C0CF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1" authorId="0" shapeId="0" xr:uid="{90CE20B2-A5C7-45D0-89BE-71A50B8C8A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1" authorId="0" shapeId="0" xr:uid="{9772A0FE-81C1-47BB-9ED2-37ED8E3A1E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1" authorId="0" shapeId="0" xr:uid="{288AF936-F0FA-4635-8665-3940F61B59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T51" authorId="0" shapeId="0" xr:uid="{F05103A7-25B7-434A-A866-8ECD27ED20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1" authorId="0" shapeId="0" xr:uid="{9930B0D9-832F-43F2-A839-8C27BF0FCF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1" authorId="0" shapeId="0" xr:uid="{30E4CE88-738F-44C3-A6C1-C6D13D517A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1" authorId="0" shapeId="0" xr:uid="{476F2771-5865-4931-8FAF-8815A5A44B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1" authorId="0" shapeId="0" xr:uid="{DA9D2EE5-4F1F-4ABF-8A71-64D104FE9B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1" authorId="0" shapeId="0" xr:uid="{8863DBB5-9DDE-4856-AA3F-9D44445DF0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1" authorId="0" shapeId="0" xr:uid="{53F020B7-8A64-47CE-8065-2F80A5A10B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1" authorId="0" shapeId="0" xr:uid="{EAA70A53-4414-4142-88CB-6C71558313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1" authorId="0" shapeId="0" xr:uid="{9D7966F5-6BAC-4FE9-A28D-E06821AA66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1" authorId="0" shapeId="0" xr:uid="{6B651F86-395B-4A96-8DD5-F16CF68530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1" authorId="0" shapeId="0" xr:uid="{053D6C04-9C5F-47A5-A099-24D5CD4ECA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1" authorId="0" shapeId="0" xr:uid="{EE01B305-A171-4706-9FE1-924721455E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1" authorId="0" shapeId="0" xr:uid="{D4334572-0003-4F98-B4D9-41A55E5F32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1" authorId="0" shapeId="0" xr:uid="{81D67117-DF82-4CA6-8D17-11A6E39722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2" authorId="0" shapeId="0" xr:uid="{227598D7-3864-426A-8A7E-51EDD07156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2" authorId="0" shapeId="0" xr:uid="{C02B6B05-8200-45AF-A695-6A21415FB0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2" authorId="0" shapeId="0" xr:uid="{B74E9D12-1575-4419-B65F-D5567FD72B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2" authorId="0" shapeId="0" xr:uid="{B8D58B6F-E07F-46C2-868F-81A8120E22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2" authorId="0" shapeId="0" xr:uid="{3740E68B-9AA8-40CC-A9F0-FD98389B0D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2" authorId="0" shapeId="0" xr:uid="{3BFFC998-408A-489E-83E9-3D4D9CAD4C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2" authorId="0" shapeId="0" xr:uid="{CB7EA7BB-8CE6-4BCE-B17C-7BDA2A5F74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2" authorId="0" shapeId="0" xr:uid="{E8FA4DDC-15B5-4D65-99CF-13D3CDDDD7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2" authorId="0" shapeId="0" xr:uid="{8CFDF70E-4494-4711-B771-489A26382C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2" authorId="0" shapeId="0" xr:uid="{D7A1BEE5-433B-42E1-949B-369338141C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2" authorId="0" shapeId="0" xr:uid="{5957A711-C6C7-42A1-A454-CAF0FC01B6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2" authorId="0" shapeId="0" xr:uid="{690DC943-9A36-4C41-9274-C3DA70BD22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2" authorId="0" shapeId="0" xr:uid="{C3E3CCFF-DBCA-4D75-9C80-DA5FF7B1F8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2" authorId="0" shapeId="0" xr:uid="{59F0F4DE-D0ED-4FCE-AE05-462875D738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2" authorId="0" shapeId="0" xr:uid="{22A77A47-8ACB-40C8-9A78-785C296F62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2" authorId="0" shapeId="0" xr:uid="{4347E52B-CC3D-43CF-9FFF-1DB3360EEB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2" authorId="0" shapeId="0" xr:uid="{FFC364E6-20DC-4013-884A-0DAD8F4CA7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3" authorId="0" shapeId="0" xr:uid="{2CFC3A1C-8CC2-43B5-9DA3-FC8201E8A1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3" authorId="0" shapeId="0" xr:uid="{E4A726B7-6D0A-4F9D-AE97-52789572C6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3" authorId="0" shapeId="0" xr:uid="{39E07462-50CA-484D-89FB-943CA96E0B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3" authorId="0" shapeId="0" xr:uid="{F6A13B63-D531-4719-AE6E-7907B1FCDA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3" authorId="0" shapeId="0" xr:uid="{AFF53BC7-597F-4BC1-87DF-2E942571A1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3" authorId="0" shapeId="0" xr:uid="{C8052773-AA51-4E4C-B673-C22BF9EA2D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3" authorId="0" shapeId="0" xr:uid="{364B3CD8-3B57-4ADF-BA90-AF101B836E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3" authorId="0" shapeId="0" xr:uid="{61E92AA1-8C70-48D9-9679-DB3C07FF6A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3" authorId="0" shapeId="0" xr:uid="{CF60E96E-4587-4AE7-A189-0AAE4615B7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3" authorId="0" shapeId="0" xr:uid="{2B728AEE-6B5E-44DF-8A27-C6E8058A37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3" authorId="0" shapeId="0" xr:uid="{3FBF88B9-2648-4939-A1ED-BDC1CD6B84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3" authorId="0" shapeId="0" xr:uid="{C5281ED9-32E4-4174-B565-0E0A3DF85E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3" authorId="0" shapeId="0" xr:uid="{FA04A7E0-9F64-43E7-8771-07155313CE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3" authorId="0" shapeId="0" xr:uid="{9A148BEA-DC4A-4523-ABD9-6A3369CEF2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3" authorId="0" shapeId="0" xr:uid="{5252EE41-2433-487C-B953-912191F47E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3" authorId="0" shapeId="0" xr:uid="{6B5E1F6C-A29B-4CE0-A033-AD2CD01F06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4" authorId="0" shapeId="0" xr:uid="{2AEE2F6C-19F6-4F1B-9789-C380699B82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4" authorId="0" shapeId="0" xr:uid="{1B54F021-A52A-4BFF-9315-2E5E9FB6FB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54" authorId="0" shapeId="0" xr:uid="{79405453-6549-4F43-8FB8-85A64FFC8A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4" authorId="0" shapeId="0" xr:uid="{B403402B-D297-4913-8898-69BF36DCF8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4" authorId="0" shapeId="0" xr:uid="{6374AA83-C392-457B-97AF-2483BADD69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4" authorId="0" shapeId="0" xr:uid="{E81B1B49-6E87-42BA-8428-32CC1FA1E7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4" authorId="0" shapeId="0" xr:uid="{236EA70B-A886-4847-870D-F5B4767C25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4" authorId="0" shapeId="0" xr:uid="{BD7B0F0B-A947-4F98-B607-E732FD423B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4" authorId="0" shapeId="0" xr:uid="{219CA0ED-C2A1-4AB3-9EB8-1AA9C324F6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4" authorId="0" shapeId="0" xr:uid="{EFC04A1F-0CA1-402B-B248-EB0DDA7A32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4" authorId="0" shapeId="0" xr:uid="{7B1E655F-1AF4-492B-9EB3-ABCBCDE5E6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4" authorId="0" shapeId="0" xr:uid="{5C46A9CE-964C-487E-B741-0584155869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4" authorId="0" shapeId="0" xr:uid="{C32C0340-E933-4653-9F2B-37F943D57E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4" authorId="0" shapeId="0" xr:uid="{EC6C8B6C-7D47-43ED-8E67-A30CBC84E3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4" authorId="0" shapeId="0" xr:uid="{0AC872F2-3910-436D-9755-38DD7AA924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4" authorId="0" shapeId="0" xr:uid="{A3E72448-5704-4FE9-B05A-EB362025DC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4" authorId="0" shapeId="0" xr:uid="{E6243755-F205-43A7-BDE4-862BA68BB6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4" authorId="0" shapeId="0" xr:uid="{229FEDC4-9BE9-4A25-A8B8-456D6CD35B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4" authorId="0" shapeId="0" xr:uid="{DFEA05D0-C1F2-4357-91A2-299C15C205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5" authorId="0" shapeId="0" xr:uid="{929EFD22-2664-4FF8-AB4F-F737E1A791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5" authorId="0" shapeId="0" xr:uid="{C32945AB-5793-4EDC-95B4-E91A77B3E0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5" authorId="0" shapeId="0" xr:uid="{844B1872-F40F-40DA-8255-A59815FFEE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5" authorId="0" shapeId="0" xr:uid="{14A3DB8E-1642-448E-B16C-45AF5CB0BB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5" authorId="0" shapeId="0" xr:uid="{A42C583C-8302-4DE5-B4E2-E3E41A9D3A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5" authorId="0" shapeId="0" xr:uid="{2FA9182F-B364-4F01-8FB3-A352E3093A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5" authorId="0" shapeId="0" xr:uid="{76EB2AAB-5F2F-43ED-8007-1E1F3CE1E4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5" authorId="0" shapeId="0" xr:uid="{6683F066-37CC-4F43-A697-F6F408523C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5" authorId="0" shapeId="0" xr:uid="{7861B1AC-8077-45FE-BE69-013B94A257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5" authorId="0" shapeId="0" xr:uid="{FECD8F5E-5EED-42AE-9FD3-22E9BBF598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5" authorId="0" shapeId="0" xr:uid="{32A60B8F-74CC-4938-8E57-EEC7FD9C07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5" authorId="0" shapeId="0" xr:uid="{6ECF0144-7FEC-497E-B5D3-F7945DA291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5" authorId="0" shapeId="0" xr:uid="{4092F8FE-CA44-4F74-85DC-2E92DB9E01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5" authorId="0" shapeId="0" xr:uid="{09B520F7-C7C6-48A5-A3C2-2A93B06E8A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5" authorId="0" shapeId="0" xr:uid="{39A115BE-787E-4686-9D44-14B9BE984C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5" authorId="0" shapeId="0" xr:uid="{03FADC76-E5B2-486E-BA69-5A9E7AF0D3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6" authorId="0" shapeId="0" xr:uid="{C46874F6-C713-4E61-B71F-049EE3F0EF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6" authorId="0" shapeId="0" xr:uid="{3F39E84D-8EF2-40C3-BC9F-A58E3A17E7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56" authorId="0" shapeId="0" xr:uid="{012E58DB-3471-46A7-9949-58B16C05BD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6" authorId="0" shapeId="0" xr:uid="{38B42F1B-D65E-4DBA-82D1-C3E854D06A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6" authorId="0" shapeId="0" xr:uid="{7454FDEC-A2B2-4A40-BCF4-A55A088E66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6" authorId="0" shapeId="0" xr:uid="{DDC63552-D282-4D47-A075-761009F917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6" authorId="0" shapeId="0" xr:uid="{91924611-4C7D-4A3C-9553-DF75315676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6" authorId="0" shapeId="0" xr:uid="{8EE0B1E9-0D69-4098-85F8-6ED89A6857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6" authorId="0" shapeId="0" xr:uid="{B6D10EB6-2498-4627-BAA3-E0F4BCC8C7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6" authorId="0" shapeId="0" xr:uid="{C631E18A-8469-49C5-AF73-61722507AB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6" authorId="0" shapeId="0" xr:uid="{6DE01F34-203C-45D2-BAC9-C8FB3B837A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6" authorId="0" shapeId="0" xr:uid="{593EAECA-4090-4E29-A2E9-1B35A50787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6" authorId="0" shapeId="0" xr:uid="{FB65F92F-708A-489B-B3B0-1D360635F2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6" authorId="0" shapeId="0" xr:uid="{D3023F92-9C26-4C2D-BA4A-FD1B3C4C2A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6" authorId="0" shapeId="0" xr:uid="{6B1FF408-C187-4E68-A1B0-699FCB239C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6" authorId="0" shapeId="0" xr:uid="{D57B3945-E94E-41CE-9489-890C0BBAC3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6" authorId="0" shapeId="0" xr:uid="{C263973D-1058-4A0D-BFB3-71773450F2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6" authorId="0" shapeId="0" xr:uid="{3496CA65-54F1-4B51-BAAC-0516360A8D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6" authorId="0" shapeId="0" xr:uid="{4697B9BC-B800-4B86-9798-4079AAB573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6" authorId="0" shapeId="0" xr:uid="{149007BA-AD7A-4C06-A581-05378FFF8C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6" authorId="0" shapeId="0" xr:uid="{9316089D-84B3-48FE-8027-23A99EBA7C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6" authorId="0" shapeId="0" xr:uid="{C09420CE-B863-4D47-AEE7-A1636DCE89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6" authorId="0" shapeId="0" xr:uid="{8F474449-DD8A-4FC7-AFA2-BC6154289C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6" authorId="0" shapeId="0" xr:uid="{BBC6A9FE-3DDE-45DC-ADB3-9601355BD4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7" authorId="0" shapeId="0" xr:uid="{205D73DD-3D09-4220-AB5D-DD09262AB9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7" authorId="0" shapeId="0" xr:uid="{456FAC45-8191-47F2-A148-B04ACF6C51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7" authorId="0" shapeId="0" xr:uid="{955B95DE-4F58-40E4-BBF9-A7AE6C0532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7" authorId="0" shapeId="0" xr:uid="{2A94A7A0-A59B-4921-B990-368AD8914B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7" authorId="0" shapeId="0" xr:uid="{32838B01-CF75-49AE-A657-6410C060FA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7" authorId="0" shapeId="0" xr:uid="{4AFF4D66-1B09-44D7-81D7-7997669568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7" authorId="0" shapeId="0" xr:uid="{740E7CA2-6D0E-4D3F-8B35-35749D84B2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7" authorId="0" shapeId="0" xr:uid="{9FE98874-D136-4B09-841D-007D24A94E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7" authorId="0" shapeId="0" xr:uid="{BF348AC2-6FB7-41E7-A06E-3980371548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7" authorId="0" shapeId="0" xr:uid="{BC5565C9-D188-40C5-9527-D961F74949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7" authorId="0" shapeId="0" xr:uid="{36220F81-4966-43DA-8FDF-3A7202CAAF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7" authorId="0" shapeId="0" xr:uid="{81947D30-65F1-4320-ADD1-EBD7A2E95B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7" authorId="0" shapeId="0" xr:uid="{31D900FB-1000-49CC-8E90-BBA1706F36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7" authorId="0" shapeId="0" xr:uid="{F8281C29-57D8-4433-B2F2-E9CD083C72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7" authorId="0" shapeId="0" xr:uid="{B43183E2-671F-49D7-A3AB-017614E35D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7" authorId="0" shapeId="0" xr:uid="{03E06E66-75C7-43B3-B1BC-02F2168AA1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7" authorId="0" shapeId="0" xr:uid="{451AD267-D971-4763-AD5D-FB0E323AF7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7" authorId="0" shapeId="0" xr:uid="{872CE94D-589B-4E85-B747-8DCCB6869A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58" authorId="0" shapeId="0" xr:uid="{AFC29759-6CE1-4D7D-8F59-F6BD03FD58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8" authorId="0" shapeId="0" xr:uid="{9B00BEE9-0EE1-4E06-9356-44C7470549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R58" authorId="0" shapeId="0" xr:uid="{CF5616AB-E062-4015-A730-85BB427CD9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58" authorId="0" shapeId="0" xr:uid="{9978E14B-9C9F-4FE4-9F95-8E596F1F75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8" authorId="0" shapeId="0" xr:uid="{D1BC4F97-4997-4DA6-8FF7-1FE295D08C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8" authorId="0" shapeId="0" xr:uid="{D7AF87E3-752F-43B2-8384-7CC2115D54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8" authorId="0" shapeId="0" xr:uid="{8EE4085F-F5C8-4079-965A-0D0D17AB60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8" authorId="0" shapeId="0" xr:uid="{8ED56D1E-E11F-48B0-A8F6-F4512D31B1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8" authorId="0" shapeId="0" xr:uid="{818F188F-3BC4-4823-8AD0-4706C77EDE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8" authorId="0" shapeId="0" xr:uid="{DFC2924D-08B1-4C27-A900-4CE0358D95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8" authorId="0" shapeId="0" xr:uid="{DAA41756-D083-4758-B73A-549A3F191A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8" authorId="0" shapeId="0" xr:uid="{0860E8A8-4B00-47AF-B4B8-61165D5399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8" authorId="0" shapeId="0" xr:uid="{90CB4240-7ED1-4DF7-90BF-7E89538A62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8" authorId="0" shapeId="0" xr:uid="{6A718B14-F6FA-464E-8D0C-246D1312C0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8" authorId="0" shapeId="0" xr:uid="{90D1C48C-1B8D-4A96-8F5E-CDE1732418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8" authorId="0" shapeId="0" xr:uid="{C74A474A-D64A-449A-ABF6-6E52E8B5EF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8" authorId="0" shapeId="0" xr:uid="{A6FCC290-AE5E-4381-9C8E-BC015B37CB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8" authorId="0" shapeId="0" xr:uid="{FBEE50A2-D0FB-41B3-B24A-6E720DE2C5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8" authorId="0" shapeId="0" xr:uid="{ECA22A35-CAC5-4437-A75B-12FC1BFBA4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9" authorId="0" shapeId="0" xr:uid="{AB112A68-E648-4AA8-8B4F-183159A3F4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9" authorId="0" shapeId="0" xr:uid="{98C0AC57-5630-4674-A74B-F568DD8641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9" authorId="0" shapeId="0" xr:uid="{FFA9B161-6EBC-4D0A-B85E-CF5D0E3426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9" authorId="0" shapeId="0" xr:uid="{46C80E01-1167-457E-9BAF-2485ECE286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9" authorId="0" shapeId="0" xr:uid="{0010703D-DAD8-4E5C-A85B-4B7DB333C1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9" authorId="0" shapeId="0" xr:uid="{5EE28800-4099-495F-890B-0FAA670EFA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9" authorId="0" shapeId="0" xr:uid="{0A4EB8A9-207C-4FD8-A7AA-A8C0A3413C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9" authorId="0" shapeId="0" xr:uid="{E9AD6C72-CF0E-4158-8B5B-391E615B30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9" authorId="0" shapeId="0" xr:uid="{8DB6ABFD-7FC4-4E30-8FEF-6DA30947BF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9" authorId="0" shapeId="0" xr:uid="{6FCF8276-1A70-4C9B-89A2-F38DC0572C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9" authorId="0" shapeId="0" xr:uid="{341580F1-C76D-4EAE-8739-53651ACEC6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9" authorId="0" shapeId="0" xr:uid="{3BD275DD-03CF-4EA1-9393-6423268B9B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9" authorId="0" shapeId="0" xr:uid="{017C4CD0-EB1F-4C5C-A910-80AC41B2DA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9" authorId="0" shapeId="0" xr:uid="{B572A529-AC97-4753-9B0E-139742C5D3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9" authorId="0" shapeId="0" xr:uid="{4B874F48-2D9F-40EC-8821-3989730A98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9" authorId="0" shapeId="0" xr:uid="{E1AB920E-0673-4144-9FCD-94F5042429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60" authorId="0" shapeId="0" xr:uid="{BA8E014C-60E5-43BE-A8A3-0EB8362D75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0" authorId="0" shapeId="0" xr:uid="{2BDD8D7C-7F0D-444B-A74F-0F4F518DF3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0" authorId="0" shapeId="0" xr:uid="{FF428766-2833-46B1-A447-844C21BB0A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60" authorId="0" shapeId="0" xr:uid="{44309460-B1E6-4C61-B26B-C5A4B75DAD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0" authorId="0" shapeId="0" xr:uid="{8D8CB806-EA29-4DA2-A426-B58F6157F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0" authorId="0" shapeId="0" xr:uid="{0601B9ED-E850-43A6-A5A5-865059E607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0" authorId="0" shapeId="0" xr:uid="{1EF3A806-49AD-46FE-AD5D-2AF4D3D47B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0" authorId="0" shapeId="0" xr:uid="{2D61A7C1-AB32-4D0B-9A6B-1DBBA4B325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0" authorId="0" shapeId="0" xr:uid="{6670DC84-9A96-409B-BFC4-0615A71FF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0" authorId="0" shapeId="0" xr:uid="{5DFD4142-FAE2-4A6A-ADE1-B4030F490C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0" authorId="0" shapeId="0" xr:uid="{3BE07DF6-A365-440D-A13D-B88505B657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0" authorId="0" shapeId="0" xr:uid="{B5198C85-FDAA-4194-BBC2-1455A092EA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0" authorId="0" shapeId="0" xr:uid="{3A16FAB0-8321-4463-ACFA-0E4318B731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0" authorId="0" shapeId="0" xr:uid="{E440C3BA-B69A-429D-AE81-FF2D3A9AC6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0" authorId="0" shapeId="0" xr:uid="{25EF4580-2FAA-4D98-BC4D-CE5F77CEB7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0" authorId="0" shapeId="0" xr:uid="{0318876D-F6D4-4541-97CB-A5E894F134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0" authorId="0" shapeId="0" xr:uid="{584457BB-F617-4BA4-ABB9-21A67B28E7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1" authorId="0" shapeId="0" xr:uid="{2D0F1A00-6922-4A55-8610-D8E1AF45DF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1" authorId="0" shapeId="0" xr:uid="{5525A337-E1C0-43D2-A6EF-011099A4F5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1" authorId="0" shapeId="0" xr:uid="{48B7B710-725C-4A93-B995-45209BBD6E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1" authorId="0" shapeId="0" xr:uid="{B4107052-7E38-4352-9441-E3B218D35E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1" authorId="0" shapeId="0" xr:uid="{A91DF01F-E97D-4280-AE4A-FFF6822465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1" authorId="0" shapeId="0" xr:uid="{1453C681-EE4F-4AE2-AD98-CB630BF140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T61" authorId="0" shapeId="0" xr:uid="{6574B5DE-B9D3-46B7-BB45-A69EABF917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1" authorId="0" shapeId="0" xr:uid="{853C9EF3-327D-430A-8B46-7126C4C828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1" authorId="0" shapeId="0" xr:uid="{B2566595-AACF-4242-89D5-E2DF8A6ECD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1" authorId="0" shapeId="0" xr:uid="{C75931A7-66DE-4F4C-92DD-25B2D9642C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1" authorId="0" shapeId="0" xr:uid="{CC00AE87-5ED0-4404-9607-0CD7635439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1" authorId="0" shapeId="0" xr:uid="{C6DE297B-5C62-4F25-BB0E-30814B2B11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1" authorId="0" shapeId="0" xr:uid="{AB398024-6DA2-46E0-B92F-FC5E885105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1" authorId="0" shapeId="0" xr:uid="{F0E20B5A-E8A4-4BC4-B9F1-4D78AA01FF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1" authorId="0" shapeId="0" xr:uid="{C74EBCC7-874F-420F-B1FF-0D6224C6A2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1" authorId="0" shapeId="0" xr:uid="{BD42A4CB-09A3-425E-90E6-D060FD3DE7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1" authorId="0" shapeId="0" xr:uid="{650C398C-222F-40F7-9034-F00286774D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1" authorId="0" shapeId="0" xr:uid="{1215FB36-BED4-48A9-BA6F-D0C1D0B0E6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1" authorId="0" shapeId="0" xr:uid="{91CE6281-A341-4AE3-B69E-7036DF5221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1" authorId="0" shapeId="0" xr:uid="{282BA80F-8A29-47A3-8DD3-13B9694EBF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2" authorId="0" shapeId="0" xr:uid="{D3D00235-FA60-4314-A834-45DD25C13E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62" authorId="0" shapeId="0" xr:uid="{013FC724-CD3F-4D40-AE77-FB525C5F66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2" authorId="0" shapeId="0" xr:uid="{00755C4F-9C10-4365-B6A5-C36A8F8926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62" authorId="0" shapeId="0" xr:uid="{9638CF08-375D-4017-8E62-962C6B0B16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2" authorId="0" shapeId="0" xr:uid="{1D0E80D5-6A47-410F-8BCB-6039A89A39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62" authorId="0" shapeId="0" xr:uid="{4BF88AE3-A48C-4F34-8294-1D6C0717A8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2" authorId="0" shapeId="0" xr:uid="{53F25207-5568-4066-82A4-091597A828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2" authorId="0" shapeId="0" xr:uid="{C1A4B552-DB66-437B-8BE3-9144EB70E7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2" authorId="0" shapeId="0" xr:uid="{021F4AB6-7204-444A-9350-A098C5D6E2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2" authorId="0" shapeId="0" xr:uid="{2DF2A793-A408-4B87-A2A3-EEB5CEEEC5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2" authorId="0" shapeId="0" xr:uid="{131810FC-266E-4C42-8B12-AB492E0104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2" authorId="0" shapeId="0" xr:uid="{105D56C0-6F84-4A98-A268-CDB1FCD48A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2" authorId="0" shapeId="0" xr:uid="{0ADFC42F-B73D-4450-9E84-2DCCD1B410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2" authorId="0" shapeId="0" xr:uid="{2A334605-075E-4335-BE77-1FFBDB794D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2" authorId="0" shapeId="0" xr:uid="{040AFB60-05F6-4BA0-98BD-A9E9EC0144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2" authorId="0" shapeId="0" xr:uid="{614C518D-D2D9-449F-8385-046210089B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2" authorId="0" shapeId="0" xr:uid="{18C6B263-C235-4055-B493-26AFFC8DF0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2" authorId="0" shapeId="0" xr:uid="{EAA066B2-B303-4A46-AA55-CBD41DF530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2" authorId="0" shapeId="0" xr:uid="{7C2FFE89-68B5-4904-B5E1-FE43783C55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2" authorId="0" shapeId="0" xr:uid="{628BE4E5-B949-466E-89BB-1F0B20ECCD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2" authorId="0" shapeId="0" xr:uid="{433C78CA-A48F-4B82-9864-8A7553C5A9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2" authorId="0" shapeId="0" xr:uid="{ED48CD1F-5BA2-465F-AB01-AD07B17CAE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3" authorId="0" shapeId="0" xr:uid="{402711E9-73B2-4A0E-90D0-A8C65B75F8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3" authorId="0" shapeId="0" xr:uid="{288BBB25-11A7-463F-8342-8784E3A3B5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3" authorId="0" shapeId="0" xr:uid="{8F1DC1A4-2CD9-40AC-934B-6CBA460447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3" authorId="0" shapeId="0" xr:uid="{6D8A0CA6-0F7D-4F39-9469-82A0D7DAC3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3" authorId="0" shapeId="0" xr:uid="{EF94A97A-093B-4F11-96D4-1A5A91CEF0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3" authorId="0" shapeId="0" xr:uid="{A42F68EF-0F75-461E-B341-37B80F1F29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3" authorId="0" shapeId="0" xr:uid="{A3DDF2CE-BD55-4AB5-B388-14DBB14831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3" authorId="0" shapeId="0" xr:uid="{A04FAA28-DA82-4DAE-977D-F1F383B5B4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3" authorId="0" shapeId="0" xr:uid="{D71486C4-315A-45B6-920B-FEA39C7E17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3" authorId="0" shapeId="0" xr:uid="{A9BC42B2-CEDB-4B12-B07D-3F17C5B2D0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3" authorId="0" shapeId="0" xr:uid="{24270183-ED44-454A-9303-D06B3519FD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3" authorId="0" shapeId="0" xr:uid="{7A1414B1-5726-4BCC-B064-354285265E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3" authorId="0" shapeId="0" xr:uid="{C7FF6BD7-7421-4A19-AE03-BABDEE1B1E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3" authorId="0" shapeId="0" xr:uid="{09F540AE-FF02-4B82-873F-02E4FCDE34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3" authorId="0" shapeId="0" xr:uid="{81DF775B-177B-457B-B44E-42475745EE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3" authorId="0" shapeId="0" xr:uid="{01F1F79D-5B53-4B8B-9E7E-D08BC8C823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3" authorId="0" shapeId="0" xr:uid="{D2F92126-C703-4F24-BEA6-0A831EA4E4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3" authorId="0" shapeId="0" xr:uid="{EEBE89BA-AD18-4239-A908-D1DBBF8C54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4" authorId="0" shapeId="0" xr:uid="{4EC340B9-7921-4ADD-B1D4-ADD76C92A6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4" authorId="0" shapeId="0" xr:uid="{BF5340F0-C79D-411B-BCB3-82F965BCE4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4" authorId="0" shapeId="0" xr:uid="{E345FC82-444D-45DB-AFA6-2765E5D7A0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4" authorId="0" shapeId="0" xr:uid="{AE7A0E06-2121-466B-B60D-54161F9364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4" authorId="0" shapeId="0" xr:uid="{0C26539D-88F2-446B-B904-A7D978FB45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4" authorId="0" shapeId="0" xr:uid="{FACCE582-53F8-4CC7-94ED-DC1C90E7A4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4" authorId="0" shapeId="0" xr:uid="{7474C2CD-9FC7-4D0A-A175-976240425A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4" authorId="0" shapeId="0" xr:uid="{25682B3A-AB66-4576-B3E6-A053157C3B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4" authorId="0" shapeId="0" xr:uid="{045D501E-FA2C-4A18-8657-AFF43931DC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4" authorId="0" shapeId="0" xr:uid="{79672B09-172E-472B-8794-6C7EB30DC2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4" authorId="0" shapeId="0" xr:uid="{8DCF0E71-C767-4663-8886-AE16BDC857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4" authorId="0" shapeId="0" xr:uid="{A81CCC65-0A98-4296-B516-F8F0B016C6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4" authorId="0" shapeId="0" xr:uid="{FE98482F-5995-4BD3-82DD-329A0A2151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4" authorId="0" shapeId="0" xr:uid="{E2B2C3DC-3833-48B4-8E35-6FDDA8F10E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4" authorId="0" shapeId="0" xr:uid="{A0DE5C37-D324-4A19-A1F2-0BD589512C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4" authorId="0" shapeId="0" xr:uid="{F40F86E9-D350-4F7E-B3A3-EEB9AB73D9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4" authorId="0" shapeId="0" xr:uid="{98BC9D4B-239E-48C4-94CB-75601189DF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5" authorId="0" shapeId="0" xr:uid="{0B59DBE4-73F3-4F26-BE8A-2801C0221E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5" authorId="0" shapeId="0" xr:uid="{984A2032-C180-4C9B-8FAF-9E3839246E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5" authorId="0" shapeId="0" xr:uid="{4A7239EC-A6F4-45B3-B366-150620CC32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5" authorId="0" shapeId="0" xr:uid="{48509DBC-25DA-479D-B392-6C8E9494EB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5" authorId="0" shapeId="0" xr:uid="{F51B89F8-B6FE-4BCE-917E-C942A65DDB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5" authorId="0" shapeId="0" xr:uid="{F4F85F06-19B3-4382-8BEA-99DC7FDDA5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5" authorId="0" shapeId="0" xr:uid="{E97C8078-4795-450D-847C-882E49A1D2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5" authorId="0" shapeId="0" xr:uid="{495E83C4-F0A3-4A32-8E29-F3D53862BC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5" authorId="0" shapeId="0" xr:uid="{D613CA46-388E-4703-B52C-BA937717F7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5" authorId="0" shapeId="0" xr:uid="{608FE24D-8378-45A2-BFBF-200DB02DFE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5" authorId="0" shapeId="0" xr:uid="{587E362A-229D-49F2-A828-A61B676ABA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5" authorId="0" shapeId="0" xr:uid="{2550FF69-ADFE-4231-92EA-F7C84B568F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5" authorId="0" shapeId="0" xr:uid="{49F71BA2-9459-40FC-AD38-E18E041D9C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5" authorId="0" shapeId="0" xr:uid="{CE8346E9-7C9E-4985-94C5-FE2CC261FB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5" authorId="0" shapeId="0" xr:uid="{E680E7DB-F216-43D7-9AA6-F496FCFC80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5" authorId="0" shapeId="0" xr:uid="{64725F79-DB5A-4E13-A65A-3585FECD8C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6" authorId="0" shapeId="0" xr:uid="{288DC38F-CCB1-41A0-BEAF-C469C6D24E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6" authorId="0" shapeId="0" xr:uid="{ABBD27C9-3FA9-41A0-9F37-E3D2ADDA79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6" authorId="0" shapeId="0" xr:uid="{1BAB7D79-6769-4748-A589-4C81892D6C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6" authorId="0" shapeId="0" xr:uid="{29F6D7FE-0CB4-47B9-9612-D361354023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6" authorId="0" shapeId="0" xr:uid="{0F989315-3B98-4C9B-A28C-4BBAE56A9E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6" authorId="0" shapeId="0" xr:uid="{D7AC8D52-176B-48FA-BB36-7E01167856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6" authorId="0" shapeId="0" xr:uid="{837C907C-5076-4549-BE55-34BF46D0C6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6" authorId="0" shapeId="0" xr:uid="{CB33ABA1-6DDD-4C8D-BA31-80668DFECA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6" authorId="0" shapeId="0" xr:uid="{ECD573E9-77A3-4735-9BC6-6C6A706ED6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6" authorId="0" shapeId="0" xr:uid="{DDC77C65-2036-4922-97D7-DDC60C7FC9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6" authorId="0" shapeId="0" xr:uid="{F6C8A5BD-F7EB-4525-8884-79BD11B0FE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6" authorId="0" shapeId="0" xr:uid="{5877B873-7AE9-4652-9834-9CADDC03F1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6" authorId="0" shapeId="0" xr:uid="{1D69BA5F-9FF4-4175-BDDB-78102D9C32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6" authorId="0" shapeId="0" xr:uid="{F7D51481-7E99-4576-BEA1-05C603F50F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6" authorId="0" shapeId="0" xr:uid="{5FA04801-73D5-4E7A-9340-229775407A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7" authorId="0" shapeId="0" xr:uid="{AD22EB35-79CD-4082-AB83-C2AB145FC0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7" authorId="0" shapeId="0" xr:uid="{D40F3868-84A7-4850-80D2-6FC7EDA1A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7" authorId="0" shapeId="0" xr:uid="{2426FDAC-08CF-416A-8E12-8F62B7CED6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7" authorId="0" shapeId="0" xr:uid="{3FDC30E1-5F5C-4E33-AB3A-80AA76444B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7" authorId="0" shapeId="0" xr:uid="{6613D8D4-0C56-4EF0-B2FC-48C053C750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7" authorId="0" shapeId="0" xr:uid="{44A81984-2B29-44B6-AB39-FC7B5E046B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7" authorId="0" shapeId="0" xr:uid="{DCBCBE7A-5775-4C60-9B3C-0F5220DBBB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7" authorId="0" shapeId="0" xr:uid="{D94C1A45-7D14-43DD-B1CE-5F811D04A2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7" authorId="0" shapeId="0" xr:uid="{61FD6E64-74DC-4538-8420-0E775FBAF9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7" authorId="0" shapeId="0" xr:uid="{85095FDB-CF62-4188-9B10-894B5B185F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7" authorId="0" shapeId="0" xr:uid="{01A3D2C1-C603-41DD-864B-AA63C690D4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7" authorId="0" shapeId="0" xr:uid="{0232A44E-A13B-4C95-8610-B24BA288F5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7" authorId="0" shapeId="0" xr:uid="{5FD50311-B634-4B0B-9BF0-FE50A5AFAB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7" authorId="0" shapeId="0" xr:uid="{AF502904-3098-4038-94A2-8118AB918E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7" authorId="0" shapeId="0" xr:uid="{BEBDC2FC-61E1-406B-B1D1-7F3F305A95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7" authorId="0" shapeId="0" xr:uid="{5901FA16-0EAF-40D4-BB8E-8A58EE0EE1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7" authorId="0" shapeId="0" xr:uid="{9E1D2B59-165D-4167-9953-DF505F3F65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7" authorId="0" shapeId="0" xr:uid="{9EAF4C99-67B8-4A81-918A-0BE5CD220E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7" authorId="0" shapeId="0" xr:uid="{79A1FECC-8249-479B-923F-574B1AD40C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7" authorId="0" shapeId="0" xr:uid="{921E803A-5DE2-4B52-8EF0-5C69BF4348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7" authorId="0" shapeId="0" xr:uid="{EBA4032A-99EB-4004-9A8C-B43BA7FEEB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7" authorId="0" shapeId="0" xr:uid="{A345030B-24FC-4F8B-B13D-BC21F05539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68" authorId="0" shapeId="0" xr:uid="{B2E72B74-06A5-4DF5-8BD4-D45B38E1D6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8" authorId="0" shapeId="0" xr:uid="{9F896A67-5768-413B-B295-E0DB94A70A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8" authorId="0" shapeId="0" xr:uid="{A56FF879-6BD5-405C-A504-EA0D188E3B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8" authorId="0" shapeId="0" xr:uid="{C88B2FD5-7116-47D3-8398-0C60014E95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8" authorId="0" shapeId="0" xr:uid="{9F924AA1-E564-4758-8EED-0E531E0F17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8" authorId="0" shapeId="0" xr:uid="{F91BAD57-7C74-4BDA-B1EA-833DA4BE7F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8" authorId="0" shapeId="0" xr:uid="{AFDE4CC9-6A27-4DEC-880B-7B98F78CC6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8" authorId="0" shapeId="0" xr:uid="{E41ECB11-317A-4305-A35A-F1F4C7F523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8" authorId="0" shapeId="0" xr:uid="{A4A32E7E-C537-4FA4-B0AD-009B0F15BB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8" authorId="0" shapeId="0" xr:uid="{8969A779-2D49-4AE8-8D08-5B7DEC01FD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8" authorId="0" shapeId="0" xr:uid="{0BEC3719-2029-448B-B9F5-545C2C07CF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8" authorId="0" shapeId="0" xr:uid="{3C82C1AC-30E7-4037-8C73-5C20BA15CA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8" authorId="0" shapeId="0" xr:uid="{9275DF0B-D7E3-4497-820B-BB0320044C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8" authorId="0" shapeId="0" xr:uid="{E49EC5CD-3A94-40F1-BA94-6667A3B6AC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8" authorId="0" shapeId="0" xr:uid="{0742AF54-ECD4-4468-9AED-1B4C445184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8" authorId="0" shapeId="0" xr:uid="{E4434BE0-BE47-4457-AE83-4397FFD9F4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8" authorId="0" shapeId="0" xr:uid="{1FAF3847-3559-42C3-9A3C-5334865FC0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8" authorId="0" shapeId="0" xr:uid="{68699144-6CCD-4D41-8F77-4E4DF20D74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9" authorId="0" shapeId="0" xr:uid="{F0A77068-316F-43D6-94CD-0008CD95A5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9" authorId="0" shapeId="0" xr:uid="{66BFBBA5-A4CB-424B-9D4D-CF7CF8787B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9" authorId="0" shapeId="0" xr:uid="{AAF18131-67D6-4E9C-A7B9-5E924A8870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69" authorId="0" shapeId="0" xr:uid="{A6A79BFC-994F-4C7D-A559-30AEBF7996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9" authorId="0" shapeId="0" xr:uid="{3DE026FD-F462-4E58-8024-BF2D0F873A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9" authorId="0" shapeId="0" xr:uid="{BBCB96D8-0EBF-488B-A14A-609A94FB05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9" authorId="0" shapeId="0" xr:uid="{1C2BADE1-6A78-467F-B6B2-6A5AF8D4DA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9" authorId="0" shapeId="0" xr:uid="{E673C941-BE6C-4826-A620-4EE54C646E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9" authorId="0" shapeId="0" xr:uid="{F42BB612-FA31-4426-84FD-27E66B3626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9" authorId="0" shapeId="0" xr:uid="{A91BA4EF-0FDF-40DD-BD76-B3FAE3C6B0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9" authorId="0" shapeId="0" xr:uid="{B3660038-10A4-456F-AA87-83629898D2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9" authorId="0" shapeId="0" xr:uid="{2359AF3D-7FA8-4360-83C5-3A78E9678D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9" authorId="0" shapeId="0" xr:uid="{D529467A-5D33-4046-B157-A90A58F235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9" authorId="0" shapeId="0" xr:uid="{D4A3B7AE-F118-4B45-9F78-87C1E165C1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9" authorId="0" shapeId="0" xr:uid="{44A57B3E-3F58-4203-8591-5360E47262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9" authorId="0" shapeId="0" xr:uid="{672E9ED7-B90A-47C2-9A0C-48D3A0651A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9" authorId="0" shapeId="0" xr:uid="{DDB84141-002D-4C07-87FC-6A66E7ADE1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9" authorId="0" shapeId="0" xr:uid="{615C41C8-A66F-4176-BE5D-4DA7F69091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9" authorId="0" shapeId="0" xr:uid="{83678B4A-D801-4411-BF17-191E352A35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0" authorId="0" shapeId="0" xr:uid="{BED9BF73-806A-47CC-B407-D1B60369A4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0" authorId="0" shapeId="0" xr:uid="{DBB11371-269D-49CF-8A28-149233D8CE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0" authorId="0" shapeId="0" xr:uid="{1D6BA1F7-DA49-4BC7-823C-CA50AF357F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0" authorId="0" shapeId="0" xr:uid="{7A541D79-CD44-45DC-8CF0-9E324B461B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0" authorId="0" shapeId="0" xr:uid="{EF73E3FF-BD86-4373-BCDD-F175A1A83D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0" authorId="0" shapeId="0" xr:uid="{E5A39B71-3858-49C9-93E1-DB3C48542F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0" authorId="0" shapeId="0" xr:uid="{D69E671B-64B3-4AC2-BE81-1299406166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0" authorId="0" shapeId="0" xr:uid="{983B9FA7-74A1-4563-BBFD-613A27E753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0" authorId="0" shapeId="0" xr:uid="{9640A2AB-784F-4AAB-9025-7E32455748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0" authorId="0" shapeId="0" xr:uid="{20B94F60-CFE9-472E-889F-B38568BB5B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0" authorId="0" shapeId="0" xr:uid="{A49BA582-5F13-4B64-8A6C-347976D0BC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0" authorId="0" shapeId="0" xr:uid="{8BA5A727-F38C-4AA6-A307-F79D0BE3F1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0" authorId="0" shapeId="0" xr:uid="{34CE6A19-730C-4F9A-A70D-0C2BF5BA79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0" authorId="0" shapeId="0" xr:uid="{3047B522-32FC-4B6D-BEF0-F90504F120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0" authorId="0" shapeId="0" xr:uid="{E986E900-1481-4782-B8B1-41FBBCE6CD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0" authorId="0" shapeId="0" xr:uid="{F16FCE75-BEB6-4012-AFB6-E6D909C8A4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0" authorId="0" shapeId="0" xr:uid="{DA1C8DC9-2E5C-4266-845B-5F89E5A618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1" authorId="0" shapeId="0" xr:uid="{621481C4-BD21-471C-AF3A-E9EF0E3C5C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1" authorId="0" shapeId="0" xr:uid="{EF9EE2B6-C858-4A3A-B9CD-3C6773B29B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1" authorId="0" shapeId="0" xr:uid="{3DC78C34-EF61-4625-A5A1-4374EC51EE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1" authorId="0" shapeId="0" xr:uid="{8F8F1734-62D9-4BE1-8362-B1976C7ABE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1" authorId="0" shapeId="0" xr:uid="{7C7C3FC9-5E2D-4255-9E22-1442F8BC1B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1" authorId="0" shapeId="0" xr:uid="{A738820A-4C9D-4751-A556-3471603D93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1" authorId="0" shapeId="0" xr:uid="{4D6390BF-E316-405A-8578-83A04A6ABA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1" authorId="0" shapeId="0" xr:uid="{48FE95F9-202E-4106-A68A-06C65C277B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1" authorId="0" shapeId="0" xr:uid="{CC27BFCA-336F-4596-94E9-E5DD0F2E8C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1" authorId="0" shapeId="0" xr:uid="{CF7B07BA-8DB2-471C-A429-6477F07330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1" authorId="0" shapeId="0" xr:uid="{D15BA17F-B07D-4BFA-AB61-6E1A21D9A6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1" authorId="0" shapeId="0" xr:uid="{5396A332-7069-4EE6-ADE9-2E4A31E3C6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1" authorId="0" shapeId="0" xr:uid="{5CCAE4A6-EE45-490B-9BB1-8B0737FD93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2" authorId="0" shapeId="0" xr:uid="{45E51235-8162-4A57-B3D9-1A4FE6C969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2" authorId="0" shapeId="0" xr:uid="{D2921491-05EC-4E0C-B08A-ACB0ED62D4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2" authorId="0" shapeId="0" xr:uid="{D4CF9AF0-E4D6-4EF1-B14C-21A72BD575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2" authorId="0" shapeId="0" xr:uid="{97F4449E-A30D-42DB-89B2-3B6D2D81D4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2" authorId="0" shapeId="0" xr:uid="{491DBE45-124C-416D-9DEA-2242CEC7AD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2" authorId="0" shapeId="0" xr:uid="{9A5C6365-930B-4F25-95F9-4CF351D98B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2" authorId="0" shapeId="0" xr:uid="{5A753B39-A3DC-4363-8A84-6B9F52DF00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2" authorId="0" shapeId="0" xr:uid="{F59202AD-BBD1-408F-A41E-29E441BA03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2" authorId="0" shapeId="0" xr:uid="{C37BE420-D08C-4A36-99C0-C33990F3CE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2" authorId="0" shapeId="0" xr:uid="{4D84FF64-BE2E-4BA6-B658-CAF7E837AD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2" authorId="0" shapeId="0" xr:uid="{20F75F6F-F36E-4DE9-87AC-D44490A869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2" authorId="0" shapeId="0" xr:uid="{2E24FC43-5E5B-42BB-8B7A-9E47FC0665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2" authorId="0" shapeId="0" xr:uid="{4E45FE42-2513-4CC7-B2C8-6D47D4DA3A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2" authorId="0" shapeId="0" xr:uid="{09BC73D9-58EE-4B29-A770-4FE1403CE1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2" authorId="0" shapeId="0" xr:uid="{CF85CBF6-2164-4504-8709-5854A537F9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2" authorId="0" shapeId="0" xr:uid="{1B8F9A50-DBF1-479B-86C2-ADB40B8601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2" authorId="0" shapeId="0" xr:uid="{331A88B4-23E1-4212-9989-9A7FD190D1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2" authorId="0" shapeId="0" xr:uid="{81D28679-4C7E-43E1-A3CD-9940D48F04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3" authorId="0" shapeId="0" xr:uid="{5A2766FE-4588-4B1E-8CD9-6A705FD072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73" authorId="0" shapeId="0" xr:uid="{2D54838A-2A6F-4C14-86B8-8C4F954274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3" authorId="0" shapeId="0" xr:uid="{C95AEDDB-EB02-4050-8E9C-59EB3AB361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3" authorId="0" shapeId="0" xr:uid="{6A0C0003-92E9-4A46-A9B0-2D81ADBCDF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3" authorId="0" shapeId="0" xr:uid="{E78CE851-8AEC-4BBC-B8B9-55B3C747DD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3" authorId="0" shapeId="0" xr:uid="{709372D5-F0DC-4CEC-9E5E-2D429B0019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3" authorId="0" shapeId="0" xr:uid="{C1F2EC30-933F-4157-A14B-32969B537C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3" authorId="0" shapeId="0" xr:uid="{01B495AD-0C6B-4AFC-993B-FF103AE5E2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3" authorId="0" shapeId="0" xr:uid="{9BD27D8A-37A3-4279-A681-9A69F66591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3" authorId="0" shapeId="0" xr:uid="{D73B35CC-E55E-4E13-A604-1D57699DE6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3" authorId="0" shapeId="0" xr:uid="{669F65E8-4BF0-4C7D-8B79-3D3691132B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3" authorId="0" shapeId="0" xr:uid="{7C157429-A4CE-4E05-9191-AA6EC3001B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3" authorId="0" shapeId="0" xr:uid="{9CD6EFE6-9650-4CB8-8018-8B23FDA7E8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3" authorId="0" shapeId="0" xr:uid="{401B7045-AF99-4CE8-9DF4-A90291C93E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3" authorId="0" shapeId="0" xr:uid="{152DF8AE-2D63-470A-A670-639E4FAC32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3" authorId="0" shapeId="0" xr:uid="{179C2169-FD14-49B0-A7E4-57F392183D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3" authorId="0" shapeId="0" xr:uid="{F0F5230F-5823-4A32-B17A-3388AA0565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74" authorId="0" shapeId="0" xr:uid="{DC06573D-063F-44C9-A62D-C164F70602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4" authorId="0" shapeId="0" xr:uid="{F049A36F-706B-4719-99A0-C1AEBCA5F0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4" authorId="0" shapeId="0" xr:uid="{E78DDD93-86BC-4ADD-9959-49B3D2FFF4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4" authorId="0" shapeId="0" xr:uid="{67953451-2E10-4EDF-921C-AEE31FA138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4" authorId="0" shapeId="0" xr:uid="{170621FB-0531-441D-8CF1-C42893C82A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4" authorId="0" shapeId="0" xr:uid="{1CBDB120-374A-4F2B-8C56-7EC07C9C21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4" authorId="0" shapeId="0" xr:uid="{67C1E6F9-D812-4577-983F-C08022D561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4" authorId="0" shapeId="0" xr:uid="{B30E4005-506E-449C-8741-3BC4F48BA9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4" authorId="0" shapeId="0" xr:uid="{8A1106DB-FD71-49EA-8E10-2D62873872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4" authorId="0" shapeId="0" xr:uid="{86EC7B05-F56A-41EC-85D3-40DAF9D23B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4" authorId="0" shapeId="0" xr:uid="{91D53D5D-95AB-4487-9232-96D0AB710E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4" authorId="0" shapeId="0" xr:uid="{09A4C000-94DB-4AAB-91DB-90A9867BD6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4" authorId="0" shapeId="0" xr:uid="{3A9F6B19-CEEC-4D55-8E74-6AD3F2F175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4" authorId="0" shapeId="0" xr:uid="{C85747F2-C270-4BC1-9EAA-55CF0FA6A6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4" authorId="0" shapeId="0" xr:uid="{1DF38231-68F1-42F8-8ACB-C35E9D0766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4" authorId="0" shapeId="0" xr:uid="{0B688C15-E261-48D9-BBDD-27B0FD6F88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4" authorId="0" shapeId="0" xr:uid="{CD559887-8AD6-44DD-82FA-4A6F96C013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4" authorId="0" shapeId="0" xr:uid="{16C19E88-5958-49A6-95CC-36BDD463C3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4" authorId="0" shapeId="0" xr:uid="{BBDBFE69-A767-4861-BAF9-AAD4499E62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4" authorId="0" shapeId="0" xr:uid="{17EADD14-8FD8-4F34-8044-C34F451F50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4" authorId="0" shapeId="0" xr:uid="{A4B5AFE5-3828-4D11-8B5C-CE4A630839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5" authorId="0" shapeId="0" xr:uid="{B4776EB1-3D75-4134-987F-86B512C73D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5" authorId="0" shapeId="0" xr:uid="{7FE462EE-1087-4A22-96F9-C015E54322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5" authorId="0" shapeId="0" xr:uid="{D8651F92-41FE-44C1-934B-0829D349BA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5" authorId="0" shapeId="0" xr:uid="{309D12FA-444A-459A-B729-2196994F9E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5" authorId="0" shapeId="0" xr:uid="{7B146CEA-95D6-4686-B05B-DCD9595EDE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5" authorId="0" shapeId="0" xr:uid="{6382BE28-3D05-4DC1-A727-4FE627571C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5" authorId="0" shapeId="0" xr:uid="{35CECE54-0F8B-4E19-A259-B33C5E6CE6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5" authorId="0" shapeId="0" xr:uid="{C877AF6D-0247-4017-914E-E2A2B5E9F7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5" authorId="0" shapeId="0" xr:uid="{37DCD487-510A-48DA-8B2B-644086F863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5" authorId="0" shapeId="0" xr:uid="{762AF58F-7F9A-4E1B-B576-0A59B0C788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5" authorId="0" shapeId="0" xr:uid="{06356F8F-B73C-496E-B28A-AC2D166B5C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5" authorId="0" shapeId="0" xr:uid="{5E303D3F-E6F8-4B75-881D-4DEC3296EC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5" authorId="0" shapeId="0" xr:uid="{98F9E158-9A02-47E8-9C0C-EEF9905789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5" authorId="0" shapeId="0" xr:uid="{B3865D0D-0D2D-4D43-8C30-41F3E10E3B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5" authorId="0" shapeId="0" xr:uid="{5F4A5B6D-984B-4C8E-98C6-0A6A7EF757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5" authorId="0" shapeId="0" xr:uid="{CB861DA4-3EE1-4B78-9C73-810483AA12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5" authorId="0" shapeId="0" xr:uid="{0EDB6AC4-AA14-4BAA-95AC-F8FAA2A254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5" authorId="0" shapeId="0" xr:uid="{EEACB81F-ED7E-4971-918C-9664033B0F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6" authorId="0" shapeId="0" xr:uid="{FBFEB331-68A8-4F40-A25C-1865037136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6" authorId="0" shapeId="0" xr:uid="{069823BD-0973-4806-8474-5F0CFA09AB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6" authorId="0" shapeId="0" xr:uid="{AB976739-734C-45C9-A8DC-92FAD04BF8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6" authorId="0" shapeId="0" xr:uid="{C49852BB-5E23-4F9D-AB4F-73285B8543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6" authorId="0" shapeId="0" xr:uid="{E18AB980-38F2-41F2-964C-350D2D9F0D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6" authorId="0" shapeId="0" xr:uid="{C8F21A21-BC76-420E-B748-302F027710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6" authorId="0" shapeId="0" xr:uid="{CBA236AB-C18F-45A1-A137-FBA3AAE414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6" authorId="0" shapeId="0" xr:uid="{0EFC62B7-B1EF-4CAF-8819-7ED84C44A1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6" authorId="0" shapeId="0" xr:uid="{6319B51E-2A29-400E-B1F1-850CCFCFC7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6" authorId="0" shapeId="0" xr:uid="{86E76D9C-1EBE-4587-AC5F-3FBD311820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6" authorId="0" shapeId="0" xr:uid="{84C6E9BA-75FC-4008-A673-8717F33982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6" authorId="0" shapeId="0" xr:uid="{E018B1FC-F8BC-4A50-AA9E-A6E7DCFE08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6" authorId="0" shapeId="0" xr:uid="{194FB8AB-C4EF-4285-A643-D62C0BAADE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6" authorId="0" shapeId="0" xr:uid="{306A7D64-E183-444C-85D5-586B36A3E6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6" authorId="0" shapeId="0" xr:uid="{78AE92AA-4257-45AD-B288-E6CEDE55A3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6" authorId="0" shapeId="0" xr:uid="{E3191BB0-7A73-47D1-942B-D9F587980E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6" authorId="0" shapeId="0" xr:uid="{45625B97-1790-47B5-82FC-81D9EE8DB6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6" authorId="0" shapeId="0" xr:uid="{BC4373E6-F69A-4F10-A7BC-ED0D1C92E8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7" authorId="0" shapeId="0" xr:uid="{AF4F3DDC-38F3-4095-BD7F-6BE8D56720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7" authorId="0" shapeId="0" xr:uid="{25BFB436-5FB4-4579-B90B-4723D017ED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7" authorId="0" shapeId="0" xr:uid="{DF91DE01-C9EB-4798-B753-BF2D979BF5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7" authorId="0" shapeId="0" xr:uid="{4E21AC69-D683-4586-838D-84706AA9E3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7" authorId="0" shapeId="0" xr:uid="{99DBEB7E-C2A2-48D8-A60B-3D6F77ED4C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7" authorId="0" shapeId="0" xr:uid="{61573C94-E711-4A7B-A1BE-2C94527F24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7" authorId="0" shapeId="0" xr:uid="{72E3B75B-8E59-4797-92B3-9E0EF5403B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7" authorId="0" shapeId="0" xr:uid="{73B7227D-E521-455A-81B3-F6B8605F45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7" authorId="0" shapeId="0" xr:uid="{42E100F1-D881-4095-959C-07983B3896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7" authorId="0" shapeId="0" xr:uid="{B364DBDB-000E-4D46-A990-6CD10635AC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7" authorId="0" shapeId="0" xr:uid="{3297C4E3-A288-40FD-99F5-6D02CBB380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7" authorId="0" shapeId="0" xr:uid="{9D2A1ADF-B530-4CDA-865F-4B347DF8D5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7" authorId="0" shapeId="0" xr:uid="{4BF17A39-4124-45D1-82D6-36F5755671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7" authorId="0" shapeId="0" xr:uid="{13F346B1-4FA3-4030-BA4E-67D3CA63F0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7" authorId="0" shapeId="0" xr:uid="{C8899FC9-3407-4269-9CB7-CC12F8D294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7" authorId="0" shapeId="0" xr:uid="{8FF47CF7-1B0D-4183-905C-6C9E2D29E4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8" authorId="0" shapeId="0" xr:uid="{0AA55D40-261C-47C6-A749-6AA16DEE62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8" authorId="0" shapeId="0" xr:uid="{5A2D0F4B-6A20-407B-BC42-6932B77537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8" authorId="0" shapeId="0" xr:uid="{DBFCC9BE-1FC4-4C29-8F04-1F2CFF4564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8" authorId="0" shapeId="0" xr:uid="{ED16D143-628F-49E6-ABA6-3FDC70713A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8" authorId="0" shapeId="0" xr:uid="{0F3E0654-46B5-40FE-9EE9-91F086F0E2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8" authorId="0" shapeId="0" xr:uid="{2F288E4B-BDDD-4E08-86F9-9DE6248DA5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8" authorId="0" shapeId="0" xr:uid="{E58BFF68-D34A-4232-A592-FAC8A033E7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8" authorId="0" shapeId="0" xr:uid="{7D5BA889-43B4-4AE4-BF02-7B9A3D7450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8" authorId="0" shapeId="0" xr:uid="{2E34539F-CBC2-4A5F-900A-9FBBA1E74E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8" authorId="0" shapeId="0" xr:uid="{0BDECEF5-3DAA-4A52-AEE8-14F2CCC240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8" authorId="0" shapeId="0" xr:uid="{5D21316F-986B-472E-B345-CB4393C6C9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8" authorId="0" shapeId="0" xr:uid="{FE68CF91-C5A1-4CD1-9973-DD1B412E19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8" authorId="0" shapeId="0" xr:uid="{3B39762D-D89D-441C-8C1B-D083553D0B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9" authorId="0" shapeId="0" xr:uid="{F8014A4E-947B-441B-914A-C75041AFC7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9" authorId="0" shapeId="0" xr:uid="{F2C37CD0-8C56-4385-A4E8-F57AEF2C6B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9" authorId="0" shapeId="0" xr:uid="{A1E87188-AEA5-4464-99AF-D61A67F2EF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9" authorId="0" shapeId="0" xr:uid="{5FD64CE1-EA27-4C52-ACF8-8B186AB353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9" authorId="0" shapeId="0" xr:uid="{E108BD79-0AC1-4BCF-AD3E-698954B338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9" authorId="0" shapeId="0" xr:uid="{D051F1D7-8936-44B0-BD4A-79EC2DC0FA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9" authorId="0" shapeId="0" xr:uid="{6D8BD895-6C69-44AE-BFB5-1FEFE08AF1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9" authorId="0" shapeId="0" xr:uid="{2115496D-12BA-4905-982F-53B12D90F5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9" authorId="0" shapeId="0" xr:uid="{0FB75868-54E8-4BCA-9C04-42A062D31E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9" authorId="0" shapeId="0" xr:uid="{555EEE08-0A71-4BE3-AD5C-E992A78AC4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9" authorId="0" shapeId="0" xr:uid="{AE2EE017-73AA-4F40-B0CC-6B160DA43B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0" authorId="0" shapeId="0" xr:uid="{F18A805A-C771-487A-A5A4-DCF5989D7F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0" authorId="0" shapeId="0" xr:uid="{E4816DC7-D762-4355-B916-2949FCA437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0" authorId="0" shapeId="0" xr:uid="{ED6CB2B6-D874-4E51-9300-5B6D5C803E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1" authorId="0" shapeId="0" xr:uid="{07304C7E-1DC3-4D7E-8DDB-161F808700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1" authorId="0" shapeId="0" xr:uid="{4E3BDE11-1846-4944-9B34-F8FD47AAB8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2" authorId="0" shapeId="0" xr:uid="{55D888C8-6742-499C-A52D-9BFFAAB503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2" authorId="0" shapeId="0" xr:uid="{8E635A0B-CABA-44EF-A354-A237497679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2" authorId="0" shapeId="0" xr:uid="{D08018BB-2A82-4922-9ED7-30D8DD7C9C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3" authorId="0" shapeId="0" xr:uid="{9D68B0D0-2EEB-4301-B223-19B19B0044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3" authorId="0" shapeId="0" xr:uid="{A8DB1B55-7C2F-4E96-8F95-2CDCE91F49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4" authorId="0" shapeId="0" xr:uid="{DF1DE544-652A-452A-9521-353D9B8336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4" authorId="0" shapeId="0" xr:uid="{27246FDF-2FF4-4FA0-8AE3-A27513F29B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4" authorId="0" shapeId="0" xr:uid="{CB1E5CA8-E2E1-40F0-92EA-9452BC5CEB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5" authorId="0" shapeId="0" xr:uid="{936223C5-A3F4-4A68-B13E-EC76B5E1D9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5" authorId="0" shapeId="0" xr:uid="{1AE5EF89-017B-4AAB-832B-55D45713DE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5" authorId="0" shapeId="0" xr:uid="{57471FB9-AE8F-4360-979B-7D520CE660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5" authorId="0" shapeId="0" xr:uid="{D71B5AD0-A5F2-47E0-BFBB-FBD5020004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5" authorId="0" shapeId="0" xr:uid="{3EE3330D-D13B-45E9-A030-8365AC043D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5" authorId="0" shapeId="0" xr:uid="{0AA70BC2-7CFE-4300-AF6D-C54D69881E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5" authorId="0" shapeId="0" xr:uid="{CA4D9988-CF03-42BA-8FC2-57B51CE890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86" authorId="0" shapeId="0" xr:uid="{2302A34B-D90A-4548-9C0B-0D38195326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6" authorId="0" shapeId="0" xr:uid="{5351B4C6-E66A-46CD-815D-5B822F962D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86" authorId="0" shapeId="0" xr:uid="{C1DDD404-630D-4F4F-9853-FC07D3E948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6" authorId="0" shapeId="0" xr:uid="{49AC75EA-C1A6-4FAD-920B-117A3BC98B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6" authorId="0" shapeId="0" xr:uid="{1429D6FE-ED2D-496C-95C1-66B5BB39D2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6" authorId="0" shapeId="0" xr:uid="{9C1BA0B0-2072-4D52-8B6C-CF2F5515E5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86" authorId="0" shapeId="0" xr:uid="{C0A6D6D2-0518-4D36-BC7F-9EE75ADA35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6" authorId="0" shapeId="0" xr:uid="{BD8E2A10-B96D-4109-9CC3-F44571AFFC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6" authorId="0" shapeId="0" xr:uid="{26A817F8-9505-48B4-99BD-D75FCA4653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6" authorId="0" shapeId="0" xr:uid="{E66B4CE9-7BF3-45ED-905E-8A450D17F4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6" authorId="0" shapeId="0" xr:uid="{083FDD4E-0E80-4116-A39C-F6842C4978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6" authorId="0" shapeId="0" xr:uid="{E78B3869-4A60-4FE0-9518-0AB28F10E5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6" authorId="0" shapeId="0" xr:uid="{D36C2F23-B4CE-4257-AC5B-40818563E6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6" authorId="0" shapeId="0" xr:uid="{21CA5C52-526D-4D4A-9824-ACB12720F5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87" authorId="0" shapeId="0" xr:uid="{00B1D6AF-9E5C-423F-B563-A34FBB7134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7" authorId="0" shapeId="0" xr:uid="{B47B6655-57E5-4C34-8BF8-06898D754C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7" authorId="0" shapeId="0" xr:uid="{325127C1-5F0F-4D96-ADA3-23150EB3A3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7" authorId="0" shapeId="0" xr:uid="{8FFCDCD5-6611-4406-BF3B-1471D652A6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87" authorId="0" shapeId="0" xr:uid="{EC4DE560-3C71-4A66-9CA4-83CD79B229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7" authorId="0" shapeId="0" xr:uid="{43CBB117-6323-4441-8A46-2E13CCF059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7" authorId="0" shapeId="0" xr:uid="{3953B829-8611-47C7-8417-459EF999B9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7" authorId="0" shapeId="0" xr:uid="{E8792E0A-A80C-4F0C-9FA2-97C87B06ED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7" authorId="0" shapeId="0" xr:uid="{B6D0D964-9B1C-41BA-BA90-0564C8FFBC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7" authorId="0" shapeId="0" xr:uid="{71B3E957-D65D-438D-A81E-4283902D47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7" authorId="0" shapeId="0" xr:uid="{043792C2-B60C-407F-B650-72744F1361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7" authorId="0" shapeId="0" xr:uid="{6798D687-7CB2-4DC9-A444-BD97470379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88" authorId="0" shapeId="0" xr:uid="{66A6702A-6CE8-4FA7-9094-D695B3F65F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8" authorId="0" shapeId="0" xr:uid="{F271920B-87A7-47ED-BA06-242B9839A2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8" authorId="0" shapeId="0" xr:uid="{0EAF4465-B1AC-41EC-88D3-60784D75C6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8" authorId="0" shapeId="0" xr:uid="{1249889E-D1DB-4F19-92B2-E1EFAC421D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8" authorId="0" shapeId="0" xr:uid="{8325CDAB-7F51-4742-B0D3-BCFA1D9C77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8" authorId="0" shapeId="0" xr:uid="{DB9EE4C2-220D-4A32-AE36-9D286F7215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8" authorId="0" shapeId="0" xr:uid="{CD172E86-0611-42CC-AE09-39D4B2AC4E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8" authorId="0" shapeId="0" xr:uid="{3850AF6B-217C-4348-A144-07D320F465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88" authorId="0" shapeId="0" xr:uid="{A2797577-68C3-4FE2-8C60-64FDEA7719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88" authorId="0" shapeId="0" xr:uid="{D5A9FE7F-51C8-4FAC-A337-D4538CE1EA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8" authorId="0" shapeId="0" xr:uid="{1DAD869F-90B5-408A-8D9F-6E1386F55F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8" authorId="0" shapeId="0" xr:uid="{B9CADC3D-2C7F-484C-9CD5-CE40123F5A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8" authorId="0" shapeId="0" xr:uid="{467408C0-2F73-4072-BD62-369C655B4D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8" authorId="0" shapeId="0" xr:uid="{AAE77596-FF02-4828-A667-83BE11A9B3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89" authorId="0" shapeId="0" xr:uid="{63AA61BD-BC8C-40C8-A092-23752E9D81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9" authorId="0" shapeId="0" xr:uid="{DF2DE244-220B-4FF2-86D7-12E53AB926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89" authorId="0" shapeId="0" xr:uid="{43402E91-963B-4214-B5BC-8844B2874B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9" authorId="0" shapeId="0" xr:uid="{747676F3-04C7-4EF3-A5C4-00FDD78C29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9" authorId="0" shapeId="0" xr:uid="{BAF81746-84D3-4A19-BEC0-0CA2FFE529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9" authorId="0" shapeId="0" xr:uid="{C63A17E7-9D26-4D80-914E-E9499FF11E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9" authorId="0" shapeId="0" xr:uid="{2FB8FF68-8512-491F-B8A7-B92C4E816D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89" authorId="0" shapeId="0" xr:uid="{DF3CCD14-D7EE-4A5A-A319-CB585922CB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9" authorId="0" shapeId="0" xr:uid="{2915B71E-D359-43C9-9F2D-9D60B0CE8F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9" authorId="0" shapeId="0" xr:uid="{655A5DF2-0EC5-43CA-B980-B5034F2472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9" authorId="0" shapeId="0" xr:uid="{555780BC-B912-420B-8DEE-22E25BB46D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9" authorId="0" shapeId="0" xr:uid="{83F9A85D-8598-4A90-89EE-D7E5681314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0" authorId="0" shapeId="0" xr:uid="{0A27A323-0730-45CE-ABA6-E1AFB0EEA9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0" authorId="0" shapeId="0" xr:uid="{2736A7F5-2FC0-45CC-87A8-C302317E01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0" authorId="0" shapeId="0" xr:uid="{5C1A5320-927B-4E20-AC49-D46A3AB7A5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0" authorId="0" shapeId="0" xr:uid="{F9D74A46-C3E8-4A40-AFC3-F784C74340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0" authorId="0" shapeId="0" xr:uid="{9B9A4017-8ACB-48EA-A599-973E32B3C1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0" authorId="0" shapeId="0" xr:uid="{BF52B52A-F70C-48B2-9A7F-79C2BD60F1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0" authorId="0" shapeId="0" xr:uid="{6C9845B2-A408-4726-AA52-CF7D8AC623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0" authorId="0" shapeId="0" xr:uid="{D87508D0-88CB-4C31-81C3-B3BB87AF12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0" authorId="0" shapeId="0" xr:uid="{D1F0C28A-B493-455B-9FC6-BB44169997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0" authorId="0" shapeId="0" xr:uid="{B6A85D1D-241C-475D-8B0E-73A16522F8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0" authorId="0" shapeId="0" xr:uid="{94208DF6-C3A3-49E4-8CC0-EBF1992CEE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0" authorId="0" shapeId="0" xr:uid="{A1888596-3891-4A81-8DA9-9E62E1BF0C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1" authorId="0" shapeId="0" xr:uid="{02852A08-CE22-4E36-ADD1-B8ED4B2690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1" authorId="0" shapeId="0" xr:uid="{0BF1AD42-B691-4996-A76A-419832405E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1" authorId="0" shapeId="0" xr:uid="{A974B0DC-58F8-4191-86A4-423FFC47AF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1" authorId="0" shapeId="0" xr:uid="{E9D7F8E5-4C3A-4D39-8063-16F523CFEB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1" authorId="0" shapeId="0" xr:uid="{FF2A48A9-CB4B-4AD0-9ED2-959506FDC9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1" authorId="0" shapeId="0" xr:uid="{4E668B4C-DE7F-44C8-AE68-29AD0E425B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1" authorId="0" shapeId="0" xr:uid="{7AC4956D-4463-4FD5-8BAA-B37549CF12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1" authorId="0" shapeId="0" xr:uid="{2A243AA0-CDEF-4495-A54E-6D2161BDB5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1" authorId="0" shapeId="0" xr:uid="{44E39A72-EB11-4BBA-AEEE-A32B993E15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1" authorId="0" shapeId="0" xr:uid="{4FCD4245-0821-4C44-9FD2-7B8AD57481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1" authorId="0" shapeId="0" xr:uid="{BD96D29E-F24C-4459-A1C3-9EA627E067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91" authorId="0" shapeId="0" xr:uid="{5109875A-EC24-4AAA-817B-2C8DAA2389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1" authorId="0" shapeId="0" xr:uid="{DD1E7130-D4BC-4119-BE22-5E3A0401A0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1" authorId="0" shapeId="0" xr:uid="{28785E89-E483-4742-B79E-9B33B647FB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1" authorId="0" shapeId="0" xr:uid="{A7A3D78C-B164-41EC-93A2-FB98FA7C77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1" authorId="0" shapeId="0" xr:uid="{023E2D93-4A9E-4C3A-83D4-9606341B9E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1" authorId="0" shapeId="0" xr:uid="{FBAC7B63-23E2-487F-8281-787D89B21B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1" authorId="0" shapeId="0" xr:uid="{FB25DBBF-9CB7-4E09-8DCC-EC9B0A0D6B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1" authorId="0" shapeId="0" xr:uid="{040057B3-2994-4B4A-9F1D-885C7D53BF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1" authorId="0" shapeId="0" xr:uid="{D34ED065-956D-46E4-9D31-89C6C6B34B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2" authorId="0" shapeId="0" xr:uid="{2D71D21E-4E99-49B3-A8C0-346EE36E62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92" authorId="0" shapeId="0" xr:uid="{B082EDB3-035F-4897-95EF-2B36461B0F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2" authorId="0" shapeId="0" xr:uid="{4EE6C53A-40A0-4CD8-ACF0-11B6BCA21F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2" authorId="0" shapeId="0" xr:uid="{4DE41230-2705-4B38-90C1-D0C52B5006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2" authorId="0" shapeId="0" xr:uid="{6B395A6A-1CFB-4FF9-BEFC-46EF93A2EB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2" authorId="0" shapeId="0" xr:uid="{56B2998E-D0AE-469B-BD2A-834A691A16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2" authorId="0" shapeId="0" xr:uid="{DB84114A-0F64-4FFA-AE79-F47EF476AE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2" authorId="0" shapeId="0" xr:uid="{8EF1CFF2-3838-4E0F-B02C-D145EAE196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2" authorId="0" shapeId="0" xr:uid="{27F8D1A0-0060-4E92-A331-D01D3A9D13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2" authorId="0" shapeId="0" xr:uid="{AA8C9E63-61C4-4B7A-A393-20C248A156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2" authorId="0" shapeId="0" xr:uid="{11291F45-EE0F-45CB-BC4B-D33824EA58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92" authorId="0" shapeId="0" xr:uid="{9329E634-7355-4AA9-A9EC-CFBCCF142A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2" authorId="0" shapeId="0" xr:uid="{ECEF1A41-2069-46F0-B9BE-BAB8C92186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2" authorId="0" shapeId="0" xr:uid="{7EB3B001-19C9-458E-A99E-16587DA602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2" authorId="0" shapeId="0" xr:uid="{78A1142B-0640-4D44-8A11-1D477A67BB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2" authorId="0" shapeId="0" xr:uid="{9C8FD67A-2833-464E-981F-719959CCB5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2" authorId="0" shapeId="0" xr:uid="{1B3FDC43-9ADB-4DD0-ACF4-7CFE668551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2" authorId="0" shapeId="0" xr:uid="{D57393FC-858B-4C1C-8AA8-2BD770963F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2" authorId="0" shapeId="0" xr:uid="{1C44F418-B111-40E4-B232-48A526BCEE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2" authorId="0" shapeId="0" xr:uid="{45F1BFAD-F8B6-4B1E-ACB5-840BA6691A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93" authorId="0" shapeId="0" xr:uid="{DF061FCA-0431-47F9-911C-9D0BCA1010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3" authorId="0" shapeId="0" xr:uid="{774F5C55-9D65-488E-A989-3A82743792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93" authorId="0" shapeId="0" xr:uid="{DAE5C0C1-A6C8-4B9C-9AE1-E806F1F6FE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3" authorId="0" shapeId="0" xr:uid="{945244DB-8564-4CD4-B420-E107DF0ADC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3" authorId="0" shapeId="0" xr:uid="{AA120A1C-B3E6-41D8-BAD3-265DC62B1B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3" authorId="0" shapeId="0" xr:uid="{8A678FE4-A808-4A71-9961-7BAF9E0545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3" authorId="0" shapeId="0" xr:uid="{01B2ED6C-2FBD-498D-92C6-805A4FBB5F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3" authorId="0" shapeId="0" xr:uid="{B27C2124-5A5F-49DF-ACDB-C67FCB9359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3" authorId="0" shapeId="0" xr:uid="{BDE2952C-8B29-464A-B880-0AE3DA73E6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3" authorId="0" shapeId="0" xr:uid="{45C84730-406B-44E2-851B-910F6F3839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3" authorId="0" shapeId="0" xr:uid="{585ABBF2-8559-4D15-B4AB-74B0225844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3" authorId="0" shapeId="0" xr:uid="{9ECBC1BB-26F5-40DA-A7BC-597238D53F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3" authorId="0" shapeId="0" xr:uid="{4C972ACB-5D85-44B9-946D-1F204AA0A2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3" authorId="0" shapeId="0" xr:uid="{DF1AC2A6-577D-4788-B35F-CE0C4A8E36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3" authorId="0" shapeId="0" xr:uid="{E0E0D572-6677-404E-B37D-F8DDCD93C3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3" authorId="0" shapeId="0" xr:uid="{F69A5852-502C-4132-BCC3-71E389A4F6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3" authorId="0" shapeId="0" xr:uid="{A18D4244-DE32-49F4-8865-B63F862B3F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3" authorId="0" shapeId="0" xr:uid="{6F427E59-873C-4442-8E8F-660A367DF7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3" authorId="0" shapeId="0" xr:uid="{3360CAE3-3A4A-4007-A97F-689031E20B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3" authorId="0" shapeId="0" xr:uid="{EA7285DD-6A43-4E82-80A3-ACDAAEFCF4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3" authorId="0" shapeId="0" xr:uid="{E03A2D0D-66CE-4750-8270-DC51A79B95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94" authorId="0" shapeId="0" xr:uid="{CB6D3FEE-F84F-4455-8B2D-311872F408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4" authorId="0" shapeId="0" xr:uid="{1917555E-8506-485A-8927-47048130A5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4" authorId="0" shapeId="0" xr:uid="{FD6DA9C4-DB89-4E75-A8C5-21D54AE445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4" authorId="0" shapeId="0" xr:uid="{8BD4495B-B110-4FC7-9A3D-ACB115D1FB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4" authorId="0" shapeId="0" xr:uid="{4B404EC4-CCAB-492D-83E5-251A5CBE66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4" authorId="0" shapeId="0" xr:uid="{4DADAE41-8769-4834-A6FF-6D1AABB990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4" authorId="0" shapeId="0" xr:uid="{169E18FD-EDE4-4689-929E-912A04ECC4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4" authorId="0" shapeId="0" xr:uid="{DC2B38F8-C5B2-4F49-AA93-B39FD14317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4" authorId="0" shapeId="0" xr:uid="{AB7AAE56-0097-4D0F-85AF-3F646D2989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4" authorId="0" shapeId="0" xr:uid="{12BA366A-AEFB-4D71-AB1B-1A37ADD73A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4" authorId="0" shapeId="0" xr:uid="{682750A5-AEA2-4D70-8DE0-F6BBF4A91E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4" authorId="0" shapeId="0" xr:uid="{F96069D8-DF54-414E-8315-AE22E7CD16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4" authorId="0" shapeId="0" xr:uid="{82D5F1BA-999C-4712-833D-BBDF2E089B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4" authorId="0" shapeId="0" xr:uid="{23F3979A-19EA-471C-BBCD-ADA8504F21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4" authorId="0" shapeId="0" xr:uid="{17A61E0E-C423-4E77-A977-CBBC0D1339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5" authorId="0" shapeId="0" xr:uid="{0DAAD335-6120-48AA-8514-9BF5A079A4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5" authorId="0" shapeId="0" xr:uid="{33E3F43A-ACF8-42A4-AFE4-80B49CE81C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5" authorId="0" shapeId="0" xr:uid="{585BE117-D2D4-4017-96B9-E2D967B470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5" authorId="0" shapeId="0" xr:uid="{D2930930-0484-4BFE-860B-B508F063B9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5" authorId="0" shapeId="0" xr:uid="{0D602188-B35E-4EE5-8D22-EF0A5728FD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N95" authorId="0" shapeId="0" xr:uid="{9BBF6FEC-7FC1-4850-9AAD-D949CA98E8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5" authorId="0" shapeId="0" xr:uid="{34D125F4-346D-4181-B6D9-1549A2291A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5" authorId="0" shapeId="0" xr:uid="{DFE01DA7-87CA-4583-B839-868FC326EE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5" authorId="0" shapeId="0" xr:uid="{202F36EC-0EDA-40AD-8726-3F262783C8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5" authorId="0" shapeId="0" xr:uid="{C24EB3E8-0197-4E5D-AF31-D0950C2790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5" authorId="0" shapeId="0" xr:uid="{C41CAA93-6B22-45A2-B843-535DC09573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5" authorId="0" shapeId="0" xr:uid="{300477FC-E66A-479B-B70F-52A68092BF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5" authorId="0" shapeId="0" xr:uid="{DD2BCE3F-6A7B-4EF0-92E6-0A03F15784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5" authorId="0" shapeId="0" xr:uid="{733A32DE-4C60-4BDC-B4C0-1DEA7E32D0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6" authorId="0" shapeId="0" xr:uid="{A5271DF4-FBA0-43CB-A9B4-B6776829E2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6" authorId="0" shapeId="0" xr:uid="{F0353A62-D65F-4E8A-9355-F9A37D380F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6" authorId="0" shapeId="0" xr:uid="{129D0FCD-5A85-4E97-9B7E-2FD8AB2008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6" authorId="0" shapeId="0" xr:uid="{3F8BDDC8-B8A1-461E-97CC-70E8E87030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6" authorId="0" shapeId="0" xr:uid="{B7EDEBF1-36BB-40E9-8A03-FB80723FEE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6" authorId="0" shapeId="0" xr:uid="{AF8917EA-44C4-45AE-9A37-1FDBDD87CE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6" authorId="0" shapeId="0" xr:uid="{1249815E-30A3-4EBF-97B6-4564C6DA40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6" authorId="0" shapeId="0" xr:uid="{CE8499AE-CBC5-459D-84BA-F9EA20D2A5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6" authorId="0" shapeId="0" xr:uid="{47B47525-A13C-4CD2-8630-BF97FC9EC1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6" authorId="0" shapeId="0" xr:uid="{40DCDEE5-E89C-4D84-B274-BA4ABDFDC3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6" authorId="0" shapeId="0" xr:uid="{F1D15CE9-DE96-43AE-9500-5AC78C53A3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6" authorId="0" shapeId="0" xr:uid="{9ADDFEA7-BB22-41D6-B77B-DFF5B41BD6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6" authorId="0" shapeId="0" xr:uid="{9E7A01F9-5E35-4079-BBD1-CDB43D9AFF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6" authorId="0" shapeId="0" xr:uid="{74E7298C-09FB-4D6B-8861-8A344C1B7C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7" authorId="0" shapeId="0" xr:uid="{CC583D36-3C07-4A0F-A44B-D1A23F7F09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7" authorId="0" shapeId="0" xr:uid="{C399DB08-95C5-44DA-A0E3-7FD6807824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7" authorId="0" shapeId="0" xr:uid="{5F0333B0-A4BB-4E15-85A3-E190F4896E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7" authorId="0" shapeId="0" xr:uid="{DFCF1C80-4AAE-4801-8208-23C3C7290C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7" authorId="0" shapeId="0" xr:uid="{3E3DF0F9-D5CE-4F13-8872-C9F5609EBC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7" authorId="0" shapeId="0" xr:uid="{30C15093-B867-4E7D-9588-9C43DE01CC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7" authorId="0" shapeId="0" xr:uid="{AD58AEC0-1A9E-4E03-951D-20373999C9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7" authorId="0" shapeId="0" xr:uid="{426ED5AB-A8D4-4E59-8071-DBA5A3A04F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7" authorId="0" shapeId="0" xr:uid="{C4D2F73C-7534-49CD-98FD-DD81EE8233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7" authorId="0" shapeId="0" xr:uid="{60ED0C54-42E8-47E1-92DD-0BE1BF13B5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7" authorId="0" shapeId="0" xr:uid="{999524AD-D795-4B99-B918-728BA5A139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7" authorId="0" shapeId="0" xr:uid="{08403BDC-E9AA-4271-A56C-92C893A19B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8" authorId="0" shapeId="0" xr:uid="{E0E1AE4D-6C02-4510-B05F-BAF0771BD4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8" authorId="0" shapeId="0" xr:uid="{890AB2D1-DF92-4682-AC40-F21C3B41E0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8" authorId="0" shapeId="0" xr:uid="{9FE7FB85-19AC-49AC-A612-F91CB04176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8" authorId="0" shapeId="0" xr:uid="{ED3F1D79-02C4-4FFB-B0DF-98144B6B16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8" authorId="0" shapeId="0" xr:uid="{E78402BC-80F6-45B1-A8E9-421BDD8CA3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8" authorId="0" shapeId="0" xr:uid="{8657AC57-86D2-487D-A8F4-5B24DCDEFF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8" authorId="0" shapeId="0" xr:uid="{760A843A-4354-401E-8FC1-C091B8662E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8" authorId="0" shapeId="0" xr:uid="{BB5867A5-C643-4237-ABE1-EACC2AC44C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98" authorId="0" shapeId="0" xr:uid="{B9EC2508-2F98-4FCF-8793-E020D78EA8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8" authorId="0" shapeId="0" xr:uid="{2B9BD5C6-CCC4-41FE-BD7E-F002FCB636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8" authorId="0" shapeId="0" xr:uid="{0A3020E7-5409-4E09-A4B3-802232A07B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8" authorId="0" shapeId="0" xr:uid="{E0F30A12-8497-46B1-AE55-57F8BC2360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8" authorId="0" shapeId="0" xr:uid="{4FF96E16-C2AB-4ED9-8797-AFAF49BB92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8" authorId="0" shapeId="0" xr:uid="{CB372C10-7478-4301-9331-5B01848DE5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8" authorId="0" shapeId="0" xr:uid="{0758470E-5015-46FD-9AA2-5E9B66254D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8" authorId="0" shapeId="0" xr:uid="{485E6555-B786-445A-A15E-A943770C40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8" authorId="0" shapeId="0" xr:uid="{8AA49846-09B9-473B-A70F-1FAFD0BB38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8" authorId="0" shapeId="0" xr:uid="{4A5CEFCC-5819-4F4A-B1F5-D6F991201E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8" authorId="0" shapeId="0" xr:uid="{D6EFB23E-2DCE-4FA1-BC0D-1B311FBAFE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9" authorId="0" shapeId="0" xr:uid="{911E3EF3-C281-4DBB-9213-5399582571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99" authorId="0" shapeId="0" xr:uid="{2043CD43-9521-432F-879B-79644EBEEB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9" authorId="0" shapeId="0" xr:uid="{485253E6-110D-4063-8846-4AE9A31D95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9" authorId="0" shapeId="0" xr:uid="{C19326C5-F30C-48A6-A174-910CAA233E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9" authorId="0" shapeId="0" xr:uid="{6FB88347-E620-4802-AB9F-BBCDD10907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9" authorId="0" shapeId="0" xr:uid="{4F656A0D-8E1F-4374-B8BC-5BF3E9AA22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9" authorId="0" shapeId="0" xr:uid="{9F2219A7-A0FD-40D1-88CF-1C9308BC5E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9" authorId="0" shapeId="0" xr:uid="{BF38789D-C66C-4996-8083-8F377AAAD2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9" authorId="0" shapeId="0" xr:uid="{BFD173F8-DA0B-49BF-BCBA-A4F503DF39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9" authorId="0" shapeId="0" xr:uid="{6ACB7509-7858-4856-8640-7CF1029632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9" authorId="0" shapeId="0" xr:uid="{B3A277EA-466F-4207-8179-B25C6F22BA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9" authorId="0" shapeId="0" xr:uid="{B33BAF19-827A-4C84-974D-61B5AE3007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9" authorId="0" shapeId="0" xr:uid="{80B10679-4551-4093-B8D9-3966BCCF7E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9" authorId="0" shapeId="0" xr:uid="{466667EB-2393-4795-AC1C-51B70B8905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9" authorId="0" shapeId="0" xr:uid="{4A9FF7B2-859F-466F-AAD9-4A486E3E1D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9" authorId="0" shapeId="0" xr:uid="{3C66DECF-0D96-4B51-9AF8-27915B50E6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9" authorId="0" shapeId="0" xr:uid="{49AFA630-3D6C-4174-9E08-02376E25D3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9" authorId="0" shapeId="0" xr:uid="{863A1425-9CEF-40B6-B641-7EA5166218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0" authorId="0" shapeId="0" xr:uid="{5317A5C7-15A5-4A10-8A90-93B4617512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00" authorId="0" shapeId="0" xr:uid="{2A47CF0F-60C4-4D34-A7D9-C5B5CF818D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0" authorId="0" shapeId="0" xr:uid="{C64B3C8D-BAB3-4B5B-AAA0-A8698B08AC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00" authorId="0" shapeId="0" xr:uid="{363BAE5A-C075-4327-BA91-73CB18236B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0" authorId="0" shapeId="0" xr:uid="{475238DA-B58C-4393-8B04-1782D69EF3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0" authorId="0" shapeId="0" xr:uid="{524C53FE-C973-4455-AEA8-71C9ADE711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0" authorId="0" shapeId="0" xr:uid="{984B461B-B820-4479-AE8C-675D707C3B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0" authorId="0" shapeId="0" xr:uid="{09F7A07E-3C67-477F-8076-E592A96B2C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00" authorId="0" shapeId="0" xr:uid="{455219D3-3DB9-4FA4-85D3-307C240926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00" authorId="0" shapeId="0" xr:uid="{2D0502E5-0B11-47BC-985E-C8F38CC509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0" authorId="0" shapeId="0" xr:uid="{F28002F7-65FF-4623-BC4B-D508A8F162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0" authorId="0" shapeId="0" xr:uid="{DF573D8F-5652-4553-BD83-457E9D644B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0" authorId="0" shapeId="0" xr:uid="{297CD9DB-6EB5-4C48-B3EF-FD59D6AA00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00" authorId="0" shapeId="0" xr:uid="{68D56364-23C3-46D2-8F4C-4F2C0CDFBC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00" authorId="0" shapeId="0" xr:uid="{E821033B-DC5B-4986-9E89-844412459B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0" authorId="0" shapeId="0" xr:uid="{39C74510-9F14-4B8D-9027-6AE16BEE15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1" authorId="0" shapeId="0" xr:uid="{D892FF6A-1B55-4D4D-A0B9-34BF226A52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01" authorId="0" shapeId="0" xr:uid="{A7EA3680-29A1-4BA4-8945-91FFBCE33B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1" authorId="0" shapeId="0" xr:uid="{407A4D80-B264-4237-946F-420C91A9C4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1" authorId="0" shapeId="0" xr:uid="{39185252-9D8B-4F90-BA7D-C1820B5765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1" authorId="0" shapeId="0" xr:uid="{ACFF4D13-BE3D-4A51-BE83-A8CE0AEAFE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1" authorId="0" shapeId="0" xr:uid="{F2FC8A9F-FA3E-40E2-BB53-D2BA213E92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1" authorId="0" shapeId="0" xr:uid="{0D6DE512-5295-4844-B3B4-2F8F8A94D9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1" authorId="0" shapeId="0" xr:uid="{CA2A0AF6-1DB7-43C3-BE3B-773FE095E2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01" authorId="0" shapeId="0" xr:uid="{0B1D57C3-10F7-4FFF-82A9-505CFB5C0D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1" authorId="0" shapeId="0" xr:uid="{525BF430-2E5F-4224-9F5C-3F9A686B92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1" authorId="0" shapeId="0" xr:uid="{EFCBB2BE-3BE7-4133-944B-ACBD7DAC64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01" authorId="0" shapeId="0" xr:uid="{C06F22F5-EFEE-4198-9BC1-F9C7C18DBE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01" authorId="0" shapeId="0" xr:uid="{51A7D980-CAC8-41A6-98C0-B0D9298529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1" authorId="0" shapeId="0" xr:uid="{ABDB3CC0-E48A-4983-9001-A071CFDA73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2" authorId="0" shapeId="0" xr:uid="{9B95F769-4CB1-46DE-AE34-DA611DFA3E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2" authorId="0" shapeId="0" xr:uid="{B3D3E3A4-4B16-4B7E-BE60-1F26573321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2" authorId="0" shapeId="0" xr:uid="{B3EF048F-2B47-4ECB-9398-596EE221AF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2" authorId="0" shapeId="0" xr:uid="{8C862DFA-0F0B-41A6-8221-5CE09204E9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2" authorId="0" shapeId="0" xr:uid="{051BE09F-FDCA-45BF-BFF2-F8647D29CD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02" authorId="0" shapeId="0" xr:uid="{CE942D63-D925-4B14-A142-8F5401A418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2" authorId="0" shapeId="0" xr:uid="{4236366F-9FC3-45F3-A3F2-61297E15C0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2" authorId="0" shapeId="0" xr:uid="{307C62EA-E9BF-4928-B507-A5545DE3CF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2" authorId="0" shapeId="0" xr:uid="{EA72EC3F-9144-460A-BBC5-969D745C2D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2" authorId="0" shapeId="0" xr:uid="{64809CC4-02E6-4D00-B008-759121DF4B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D7A1AE4F-A497-4943-8280-9DC446A5E35C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H11" authorId="0" shapeId="0" xr:uid="{09613F67-88AA-4DFE-AA4B-68194BBB80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1" authorId="0" shapeId="0" xr:uid="{62AC8BC4-D709-4B1A-8398-A4EF1D2EE4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1" authorId="0" shapeId="0" xr:uid="{FEDDF768-75B8-4BF1-B5C8-C8612B08E2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1" authorId="0" shapeId="0" xr:uid="{142E9B37-1D0D-4E16-83D2-60DA59A9EE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1" authorId="0" shapeId="0" xr:uid="{790193C7-4184-4688-94C3-7AE0CD0C2B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1" authorId="0" shapeId="0" xr:uid="{6D03EFE4-EFC3-4D54-A16A-7A2F2BF672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1" authorId="0" shapeId="0" xr:uid="{A9293A0A-ADDA-4BF0-AB9C-0E4AD0F34B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1" authorId="0" shapeId="0" xr:uid="{D56CBCE6-52E3-4754-B110-FCC5E4AA4B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1" authorId="0" shapeId="0" xr:uid="{7988509B-1429-4277-BE59-4407815AC4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1" authorId="0" shapeId="0" xr:uid="{D7950392-98D5-4A9A-A988-85A199B760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1" authorId="0" shapeId="0" xr:uid="{209611DA-BE44-4FE4-9E6F-D829F7C853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1" authorId="0" shapeId="0" xr:uid="{034859A8-B01C-424F-A44F-A2C4278520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2" authorId="0" shapeId="0" xr:uid="{80EEBE49-CE42-4F18-BD79-1592F05D5A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2" authorId="0" shapeId="0" xr:uid="{34507155-D751-4943-B7B8-DFA36B050A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2" authorId="0" shapeId="0" xr:uid="{75C682E8-66A7-4293-86A5-4CDDA9F9A1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2" authorId="0" shapeId="0" xr:uid="{643750A3-24F6-4512-8178-310C261770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2" authorId="0" shapeId="0" xr:uid="{7A0DF03C-17A0-48B8-9896-7118EEEA4B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2" authorId="0" shapeId="0" xr:uid="{9D17EAF4-52FC-4D4D-80EC-4B06067F00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2" authorId="0" shapeId="0" xr:uid="{15C72C76-408C-4B29-A740-4790E49F87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2" authorId="0" shapeId="0" xr:uid="{D665ECEF-4131-4929-BE55-F9AE85A8EC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2" authorId="0" shapeId="0" xr:uid="{E54A1F32-F8EE-448D-B5A1-E1D40134CE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2" authorId="0" shapeId="0" xr:uid="{0A02408E-5F47-4A05-9AB5-E1628CD53F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2" authorId="0" shapeId="0" xr:uid="{82F45C1E-5DC5-43CE-9E25-687A351811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2" authorId="0" shapeId="0" xr:uid="{D4A1AE14-C651-405E-A9FE-A5FB3F8937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2" authorId="0" shapeId="0" xr:uid="{FCCBD336-42A8-4CE2-8D7E-7597B6EDBA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2" authorId="0" shapeId="0" xr:uid="{CA5AA8DC-E088-4386-81CF-92625A86F6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3" authorId="0" shapeId="0" xr:uid="{33692D5B-9E3B-4118-B688-947A46C840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13" authorId="0" shapeId="0" xr:uid="{BCE19B0E-C1D3-4EA2-8F9F-A6850C5065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3" authorId="0" shapeId="0" xr:uid="{F77729CD-2790-4F33-A9FD-1380F978E8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3" authorId="0" shapeId="0" xr:uid="{4A201290-C065-4E3A-BD35-885DCDAE0A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3" authorId="0" shapeId="0" xr:uid="{5A7F7A80-A996-4430-AC02-0BA000910D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3" authorId="0" shapeId="0" xr:uid="{04A97057-5944-45B4-9531-44FB130BC9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3" authorId="0" shapeId="0" xr:uid="{1B0DB5AB-B006-435F-A92D-5D316FAA31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3" authorId="0" shapeId="0" xr:uid="{AE45F1F8-82A5-45C2-96C4-0A5B4A32B8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3" authorId="0" shapeId="0" xr:uid="{4340C95A-1600-48D0-82C3-F389BDDC00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3" authorId="0" shapeId="0" xr:uid="{4DDCCB88-C289-43C4-A85F-622CC8135A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3" authorId="0" shapeId="0" xr:uid="{BC760ED9-F183-447B-98BB-CEBEC8A125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3" authorId="0" shapeId="0" xr:uid="{DF9E3BD0-A2C6-43DF-98A7-B4A1CC3C60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3" authorId="0" shapeId="0" xr:uid="{76053E1B-2477-4242-B272-A15DFAF15D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3" authorId="0" shapeId="0" xr:uid="{03310DC0-136A-48C1-B632-F4C622F754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3" authorId="0" shapeId="0" xr:uid="{E7AD7416-3398-4751-B5A6-659AF0F7DA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3" authorId="0" shapeId="0" xr:uid="{C4A8F5E4-D2D7-482C-9A46-22753A4223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3" authorId="0" shapeId="0" xr:uid="{C27B723D-2219-41C8-98EC-ED4FC6D750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4" authorId="0" shapeId="0" xr:uid="{EF61AD56-92B0-4F5F-81A7-6C1D7162BD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4" authorId="0" shapeId="0" xr:uid="{095BFE6D-3158-44A0-90DE-203C78EBD4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4" authorId="0" shapeId="0" xr:uid="{88C63AC7-6234-47F8-8DF3-8586F2D3AD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4" authorId="0" shapeId="0" xr:uid="{2CBCAC27-31E7-41E5-BC94-30B7EF03BE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4" authorId="0" shapeId="0" xr:uid="{D30C1E8E-CDDD-430B-B70C-532CEF8825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4" authorId="0" shapeId="0" xr:uid="{45F6BE00-9CEE-43EB-BCEE-E8156FC580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4" authorId="0" shapeId="0" xr:uid="{4E0909AE-DBEE-4B77-99F9-B5831C10BD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14" authorId="0" shapeId="0" xr:uid="{B4EA8736-6EAB-4E1B-96E4-FEC91286D0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4" authorId="0" shapeId="0" xr:uid="{4CAD9485-0F53-451F-AA1A-614033DB80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4" authorId="0" shapeId="0" xr:uid="{A862309A-B0FC-4E56-828F-A7DE30D05D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4" authorId="0" shapeId="0" xr:uid="{C6F33A02-C7EF-49E0-B8E5-7F3A6F83CA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4" authorId="0" shapeId="0" xr:uid="{79949B9E-0325-49AB-AF0F-F91392A6CA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4" authorId="0" shapeId="0" xr:uid="{6EA22F80-FC0A-42A9-8050-8B56E387B7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4" authorId="0" shapeId="0" xr:uid="{F7A2B35D-0BA2-46A3-9AA6-15189E85CD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4" authorId="0" shapeId="0" xr:uid="{C8C7BF56-7B4A-4D3C-AE38-A205101600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4" authorId="0" shapeId="0" xr:uid="{CAF45CC7-9A66-4E34-852E-26B65DE1F7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4" authorId="0" shapeId="0" xr:uid="{6E7CDBF9-19D4-4DC8-8FF5-B0A384C30C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4" authorId="0" shapeId="0" xr:uid="{D1FEAE10-0DA2-4B95-9AB9-A4B0CE975B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5" authorId="0" shapeId="0" xr:uid="{3F07BD4A-3AF1-46D1-8B1D-12413FFD62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5" authorId="0" shapeId="0" xr:uid="{9642C1B7-7720-4884-B6FB-48C798F39C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5" authorId="0" shapeId="0" xr:uid="{0A4E44E5-A732-4FF4-A572-81222E1ADB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5" authorId="0" shapeId="0" xr:uid="{30B446CD-85A1-44DB-AF3A-0609E9A84A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5" authorId="0" shapeId="0" xr:uid="{F406F7F3-00EA-42EF-8706-E6F928D8F4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5" authorId="0" shapeId="0" xr:uid="{48B37CCC-C209-4CDB-A877-C0A3BBE8FF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5" authorId="0" shapeId="0" xr:uid="{B139E4E9-E87B-4B58-A95A-62C3ED9ABB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5" authorId="0" shapeId="0" xr:uid="{39568A9B-13D0-4ABE-A6E2-8BC26A8390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5" authorId="0" shapeId="0" xr:uid="{549CB511-B155-4CAC-83AF-BCE820D26D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5" authorId="0" shapeId="0" xr:uid="{E2037936-FD83-4002-B681-2A8F0E7D2F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5" authorId="0" shapeId="0" xr:uid="{E505BAC1-24AE-4AA4-9C9F-28A59A1DA0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5" authorId="0" shapeId="0" xr:uid="{8DAB3AF4-1303-4161-ABCF-D5ED530CC7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5" authorId="0" shapeId="0" xr:uid="{63F2194E-0060-4271-BDA5-D5D2321F13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5" authorId="0" shapeId="0" xr:uid="{675FC5D4-5684-4FA7-939C-2603E86A69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5" authorId="0" shapeId="0" xr:uid="{688D3BD5-A86E-446B-A278-8F5E757BD8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E16" authorId="0" shapeId="0" xr:uid="{3F579FD9-F048-49D8-94E3-ECB31318DF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6" authorId="0" shapeId="0" xr:uid="{E0D33F4B-8C33-49E2-826A-51C5EE181D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6" authorId="0" shapeId="0" xr:uid="{EE0DE53B-D2E1-4D08-B35E-0D35BDC28E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6" authorId="0" shapeId="0" xr:uid="{F4EC77F7-A844-4CAD-939E-0FE09DC420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6" authorId="0" shapeId="0" xr:uid="{DE414B89-EE0A-48CC-BCD7-065D7B896C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6" authorId="0" shapeId="0" xr:uid="{547C4E0B-746B-4970-8FA0-F9BC96B557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16" authorId="0" shapeId="0" xr:uid="{83C9E41F-65FA-41B7-8850-68A68F979C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6" authorId="0" shapeId="0" xr:uid="{15AB8E4D-AB3D-488F-B4AB-A865148040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6" authorId="0" shapeId="0" xr:uid="{6F2AD803-A9AD-4B33-A243-F5BC99015D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6" authorId="0" shapeId="0" xr:uid="{8C46B962-1E48-45CD-BE2D-E2CF588F65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6" authorId="0" shapeId="0" xr:uid="{0D194B03-CE11-48BB-9F7F-6D94B47D78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6" authorId="0" shapeId="0" xr:uid="{558E00D0-B49C-48C9-9039-383A418AF8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6" authorId="0" shapeId="0" xr:uid="{80B723C1-C013-44F3-AD33-EA014864BD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6" authorId="0" shapeId="0" xr:uid="{999D3E62-E719-425A-83D8-BEC04CBFB0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6" authorId="0" shapeId="0" xr:uid="{5A1DFA92-7A1C-49DA-A3B1-C7277BFA57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6" authorId="0" shapeId="0" xr:uid="{6C55170F-1A95-4C47-9434-403ADC9D71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6" authorId="0" shapeId="0" xr:uid="{0FD538BC-F8A5-496F-8049-02105AE7A7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6" authorId="0" shapeId="0" xr:uid="{892DBEC0-B5DC-43BC-92D8-200A3CFC27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7" authorId="0" shapeId="0" xr:uid="{288AAB6F-3377-4D08-B251-6979C2B47A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7" authorId="0" shapeId="0" xr:uid="{52675050-5FCB-452C-88DA-BA1D34F341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7" authorId="0" shapeId="0" xr:uid="{08C39419-06BD-4518-82D4-CBDCB024DE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7" authorId="0" shapeId="0" xr:uid="{F9C8366E-7BB0-484B-9D9A-5191D38517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7" authorId="0" shapeId="0" xr:uid="{E83CA676-BA37-450E-BB7A-FEA51C6B7D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7" authorId="0" shapeId="0" xr:uid="{F630471A-6B90-4F70-B581-93A218FC22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7" authorId="0" shapeId="0" xr:uid="{B189B606-8F61-40D8-829E-B924CCB405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7" authorId="0" shapeId="0" xr:uid="{181E3C8B-5E6E-4AF3-B74D-B2E8B4A500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7" authorId="0" shapeId="0" xr:uid="{35393E37-6213-4D6C-A2B3-066B90AB00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7" authorId="0" shapeId="0" xr:uid="{8E128450-13F1-4A7A-8C33-2C28759748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7" authorId="0" shapeId="0" xr:uid="{314557FA-0D0F-46ED-986C-F27E378877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7" authorId="0" shapeId="0" xr:uid="{BC201AE2-7E6A-405F-8B68-5854F5A74A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8" authorId="0" shapeId="0" xr:uid="{5D35A4D1-64B9-447B-A13D-A46852A164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8" authorId="0" shapeId="0" xr:uid="{508F4AB0-506F-4E73-8C06-6DEADE1590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8" authorId="0" shapeId="0" xr:uid="{CCFF92DE-7925-4848-9133-48E593A91E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8" authorId="0" shapeId="0" xr:uid="{2EADEF0A-0CBD-43F4-9211-AE71CA2B9F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8" authorId="0" shapeId="0" xr:uid="{73BF882D-6161-485E-A8A2-202EE2EA80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8" authorId="0" shapeId="0" xr:uid="{65E22A85-72F2-4DF2-99EA-C8D32A85B0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8" authorId="0" shapeId="0" xr:uid="{4E420F4E-B990-4CB0-94B6-D20C11797C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8" authorId="0" shapeId="0" xr:uid="{3E510288-C7A5-4BB7-9E39-655980DC4C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8" authorId="0" shapeId="0" xr:uid="{861E747E-91CC-4A14-9354-DF6117C73C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8" authorId="0" shapeId="0" xr:uid="{14AA870E-F498-4660-A601-E7C29B3604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8" authorId="0" shapeId="0" xr:uid="{BC372B28-57A1-4C00-BDD1-2D8331BB9D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8" authorId="0" shapeId="0" xr:uid="{C21D6934-294A-4120-9A32-D5C5EA9418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8" authorId="0" shapeId="0" xr:uid="{51E7776B-F10A-4EB6-9206-81BFE959C9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9" authorId="0" shapeId="0" xr:uid="{EF61BF2E-23FE-4E13-8BB8-34FA37A8F0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9" authorId="0" shapeId="0" xr:uid="{214265F3-FFCE-46EB-8577-8531979967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9" authorId="0" shapeId="0" xr:uid="{3534D37E-B41A-420F-A717-BE201B2C69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9" authorId="0" shapeId="0" xr:uid="{148402AB-2B9E-4990-AF12-E1944D2AC3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9" authorId="0" shapeId="0" xr:uid="{DD84617D-C32C-4BEA-9F33-77410CFAB0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9" authorId="0" shapeId="0" xr:uid="{648C719A-B906-497A-8B28-B5FDDA3E4C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9" authorId="0" shapeId="0" xr:uid="{965B39AE-17AE-4ED3-841A-B7A14C4FB4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9" authorId="0" shapeId="0" xr:uid="{0BCFED7F-F40B-4345-8EE4-C355E6212E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9" authorId="0" shapeId="0" xr:uid="{18078DC5-32A1-454F-A0BB-93E320B3E3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9" authorId="0" shapeId="0" xr:uid="{2E2CA9C8-541A-4302-B4FB-32D4DF434A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9" authorId="0" shapeId="0" xr:uid="{276417C9-2913-4159-83D9-3230775E99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9" authorId="0" shapeId="0" xr:uid="{D90FC774-6895-4D63-BC75-93B5713EC3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9" authorId="0" shapeId="0" xr:uid="{8B06E274-1668-415A-A9C3-F319163762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9" authorId="0" shapeId="0" xr:uid="{F0212402-BF70-4AF9-B60E-09535A931F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9" authorId="0" shapeId="0" xr:uid="{35FEFFE9-C1EC-4B60-92B8-2E6E97E699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G20" authorId="0" shapeId="0" xr:uid="{F526E8FC-8816-4239-8756-C5AABD2C17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0" authorId="0" shapeId="0" xr:uid="{EA6CFEE0-B859-499A-A41F-54B9595058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20" authorId="0" shapeId="0" xr:uid="{4FEF0EF1-D600-4063-A64E-D4C28BA028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0" authorId="0" shapeId="0" xr:uid="{4EDA97A1-BDD8-485C-8AF0-F5D118BEE2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0" authorId="0" shapeId="0" xr:uid="{EBB86AD8-EE21-4493-930B-9AD301B1D6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0" authorId="0" shapeId="0" xr:uid="{239237DC-BEDF-46B3-A9ED-E77E56DFD1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0" authorId="0" shapeId="0" xr:uid="{E9071F4C-991D-4BA7-8909-4CAE98693E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0" authorId="0" shapeId="0" xr:uid="{6ED3E17D-00C4-4A9D-87FA-9B95D76235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0" authorId="0" shapeId="0" xr:uid="{C051AD3C-52D4-4FEC-9E22-64E39D82EF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0" authorId="0" shapeId="0" xr:uid="{5628FE95-C8CD-458A-907A-967BA913EF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0" authorId="0" shapeId="0" xr:uid="{C4A7E934-E2D3-4377-8255-7D8CC26FE0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0" authorId="0" shapeId="0" xr:uid="{8C8FD77F-6A02-4F15-B398-A2020636F1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0" authorId="0" shapeId="0" xr:uid="{120B8565-02A0-4596-8D92-C4CB537877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0" authorId="0" shapeId="0" xr:uid="{40A94DD3-04C2-425A-8065-5E7B06C2F0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0" authorId="0" shapeId="0" xr:uid="{854306EA-2E77-49DD-9FFB-A3187A4ED1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0" authorId="0" shapeId="0" xr:uid="{A05CE0A5-FEC8-4F95-A412-60C9E41F2A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0" authorId="0" shapeId="0" xr:uid="{102055D2-471E-4B45-A045-6D313CAD1C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0" authorId="0" shapeId="0" xr:uid="{72A953BD-ADBF-429C-BDC3-CF198C2E56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1" authorId="0" shapeId="0" xr:uid="{7F92EAF7-39BA-4273-8B6E-7527093715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1" authorId="0" shapeId="0" xr:uid="{6486B2FD-8662-489A-B943-37BACD6E1B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1" authorId="0" shapeId="0" xr:uid="{588695D2-0898-44FB-AA35-8CE36A14F4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1" authorId="0" shapeId="0" xr:uid="{B49F816C-5DCC-4E07-8090-6334F51D08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1" authorId="0" shapeId="0" xr:uid="{B50B9B27-7B50-458C-9C0C-DF5EAA153B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1" authorId="0" shapeId="0" xr:uid="{BE2BB19D-1C2E-4E63-9AB7-F50F2A2084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1" authorId="0" shapeId="0" xr:uid="{3D15DC6B-EC23-4E8F-B83E-2619AFAB82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1" authorId="0" shapeId="0" xr:uid="{6859B3E4-6D2E-4566-B64A-38C3CA45C2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1" authorId="0" shapeId="0" xr:uid="{04DCAB4F-2E91-4B7E-B945-03E9F0048B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1" authorId="0" shapeId="0" xr:uid="{35BB5B86-2D88-43A1-9441-EBDA2F226B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1" authorId="0" shapeId="0" xr:uid="{ED5CC164-CEB6-45A1-8330-7170545EAD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2" authorId="0" shapeId="0" xr:uid="{A75F1AEF-6704-45DC-8CD0-68027D97DF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2" authorId="0" shapeId="0" xr:uid="{864EC7BC-882C-4275-978C-49BEFE1A44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2" authorId="0" shapeId="0" xr:uid="{5CE103E5-FEF5-4152-915C-4436CDF1A9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2" authorId="0" shapeId="0" xr:uid="{8B364766-DA36-4488-9BAE-2C6DB6C9A1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2" authorId="0" shapeId="0" xr:uid="{14F067BC-6197-4D30-BB7D-EC3473D303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2" authorId="0" shapeId="0" xr:uid="{7F6650C5-E80F-48D6-AD28-724EA10D66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2" authorId="0" shapeId="0" xr:uid="{8A74B7AC-4D62-44D8-9694-0DE150ECC9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2" authorId="0" shapeId="0" xr:uid="{6B8FB881-8F8F-4719-A749-2EADEDF38C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2" authorId="0" shapeId="0" xr:uid="{BEB9723F-7160-4E33-AF60-49062869B5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2" authorId="0" shapeId="0" xr:uid="{21A17EAE-A304-413B-AD99-7FB748793D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2" authorId="0" shapeId="0" xr:uid="{432D4EDC-EB06-424A-A083-F5DDE49212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2" authorId="0" shapeId="0" xr:uid="{94B83722-C5E4-4A13-B603-B861B9B63C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2" authorId="0" shapeId="0" xr:uid="{F3E05886-2935-41FC-80DD-649FE5600F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2" authorId="0" shapeId="0" xr:uid="{FE4C8ABB-C168-4337-9D3D-F40B56CC4C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2" authorId="0" shapeId="0" xr:uid="{5E513CDE-1251-44CC-8379-F6895E736B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22" authorId="0" shapeId="0" xr:uid="{773A8757-9B29-4359-AFF8-AB3686E3D6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23" authorId="0" shapeId="0" xr:uid="{98311168-4F38-4C84-B495-C00FAE7D02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3" authorId="0" shapeId="0" xr:uid="{F6065D64-239B-40C0-BE7B-AEA6ACF178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3" authorId="0" shapeId="0" xr:uid="{E13B5B8B-9A36-4DA6-8989-65650EED08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3" authorId="0" shapeId="0" xr:uid="{31CF8A54-7CEE-4400-8F50-0687A10081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3" authorId="0" shapeId="0" xr:uid="{99C6C90F-3B26-4F3B-935D-2EF6C48A82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3" authorId="0" shapeId="0" xr:uid="{D1FAD3BF-C5F7-48A8-A152-25AF2870D5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3" authorId="0" shapeId="0" xr:uid="{C410E843-85E4-45FE-B1A7-3A533FA85B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3" authorId="0" shapeId="0" xr:uid="{C74D03D9-F347-4DE2-9388-6FFD95B1F5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3" authorId="0" shapeId="0" xr:uid="{45C6EC51-EFFE-48D2-9ED9-4F9DF372CD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3" authorId="0" shapeId="0" xr:uid="{3AA9B921-39FE-4681-80CB-ED07CF840E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3" authorId="0" shapeId="0" xr:uid="{A85E5145-D749-482F-A143-3268C79DB7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3" authorId="0" shapeId="0" xr:uid="{A8D7D322-174C-47E6-B3B6-64DE8E83B7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3" authorId="0" shapeId="0" xr:uid="{341D0966-E675-4B7F-9C91-A7600A3BBB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3" authorId="0" shapeId="0" xr:uid="{87B00C2A-F1BD-407A-B46C-D9A74014A8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3" authorId="0" shapeId="0" xr:uid="{DD331FCA-8C3D-43C1-BA98-3817D1EA04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3" authorId="0" shapeId="0" xr:uid="{E257328B-B565-4105-895E-958649345C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3" authorId="0" shapeId="0" xr:uid="{96F32CB9-6ACF-461A-94B0-E7DA74E9BB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3" authorId="0" shapeId="0" xr:uid="{0D323937-0FF5-4235-94F1-F4CC9C184B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4" authorId="0" shapeId="0" xr:uid="{816817B9-CC8C-4966-9E85-133E94355A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4" authorId="0" shapeId="0" xr:uid="{91CF6355-03DC-4D12-8A97-9F62E00680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4" authorId="0" shapeId="0" xr:uid="{665989A4-6F1D-4E50-BBD0-AAB7E6562C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4" authorId="0" shapeId="0" xr:uid="{F634842A-0B10-4104-AA21-8FC4DCEFF5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4" authorId="0" shapeId="0" xr:uid="{A922CDE9-7B7C-4836-95AE-2541B4BED5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4" authorId="0" shapeId="0" xr:uid="{0F9C8F38-1D7D-4D22-A3F5-6FF78D09FE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4" authorId="0" shapeId="0" xr:uid="{595B86DF-AD27-4BBF-8FD9-075F5892EA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4" authorId="0" shapeId="0" xr:uid="{B413C5BF-4271-429A-A858-C64A6EE32E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4" authorId="0" shapeId="0" xr:uid="{D309B621-8342-4604-8393-D065B32392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4" authorId="0" shapeId="0" xr:uid="{021E217C-E117-4259-9DEC-27EFA4DC0E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4" authorId="0" shapeId="0" xr:uid="{1BFD045F-454E-4402-BFD3-40EC165C6F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4" authorId="0" shapeId="0" xr:uid="{86E78AF8-91D9-455C-85BA-838F51902F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4" authorId="0" shapeId="0" xr:uid="{4381767B-CA89-4583-9B28-2B99D9262B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4" authorId="0" shapeId="0" xr:uid="{6C1544B7-162D-458E-BA08-8799C331DB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4" authorId="0" shapeId="0" xr:uid="{3DD60955-5DA8-4589-9391-B1D14311D1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5" authorId="0" shapeId="0" xr:uid="{7C6CFF3D-7035-4D65-A1F9-54BFED7CAC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5" authorId="0" shapeId="0" xr:uid="{48DB7FD4-B51B-4778-833B-3640C5672A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5" authorId="0" shapeId="0" xr:uid="{6D65CC40-B2AD-41B8-AF00-0C77414165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5" authorId="0" shapeId="0" xr:uid="{15097857-E955-4593-902E-5E6E007B8C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5" authorId="0" shapeId="0" xr:uid="{329362B8-7D6B-4650-BDEA-B066DEC704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5" authorId="0" shapeId="0" xr:uid="{34F52C8B-1912-42A2-92C0-9682485DE8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5" authorId="0" shapeId="0" xr:uid="{F8BBBBE0-150F-41B6-BB91-0800ACA798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5" authorId="0" shapeId="0" xr:uid="{9012748A-2C2F-4664-956A-BE6A4B4EFD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5" authorId="0" shapeId="0" xr:uid="{618ACCE6-D9FB-4B13-925D-D724CAE7D3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5" authorId="0" shapeId="0" xr:uid="{B0A57E9D-2336-4ABC-9D28-B747C9131A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5" authorId="0" shapeId="0" xr:uid="{53D14216-147B-4735-BDBD-B11FAB83DC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5" authorId="0" shapeId="0" xr:uid="{23B58E4F-F7DF-43AF-8579-CF8E42B873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5" authorId="0" shapeId="0" xr:uid="{ACADEF04-CD83-4BB1-82BD-81542925D3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5" authorId="0" shapeId="0" xr:uid="{686A25F5-C012-4B45-9892-FD9FADF720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5" authorId="0" shapeId="0" xr:uid="{9E3441EE-7886-40F8-B3EF-6DE1E7B048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6" authorId="0" shapeId="0" xr:uid="{B082CFBB-48A0-4D57-B2C9-1334773269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6" authorId="0" shapeId="0" xr:uid="{A9E84541-DCA1-44BE-A86A-1E16AD9C84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6" authorId="0" shapeId="0" xr:uid="{E934FC6C-992D-44BF-B341-4782DB6370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6" authorId="0" shapeId="0" xr:uid="{59823445-E492-4DC3-8978-F511A02A44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6" authorId="0" shapeId="0" xr:uid="{4020DF5F-237B-48EB-B079-A1871D1419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6" authorId="0" shapeId="0" xr:uid="{AEB3B12A-00D8-4067-AFCD-7AF8503A68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6" authorId="0" shapeId="0" xr:uid="{16D1A7BA-7BF0-4F08-A85C-1E21285D60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6" authorId="0" shapeId="0" xr:uid="{18FB0751-AC12-4994-8128-924FD7E141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6" authorId="0" shapeId="0" xr:uid="{C0855499-8CD0-42F0-927A-CF5DDA7D9E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6" authorId="0" shapeId="0" xr:uid="{7C94679A-FF2E-4CB5-8EE2-528A565FD3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6" authorId="0" shapeId="0" xr:uid="{655F512E-9347-4C30-BD37-52234B5BF0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6" authorId="0" shapeId="0" xr:uid="{D7DE1C47-8FFA-420D-A530-DD1E45E956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6" authorId="0" shapeId="0" xr:uid="{339E1A14-E99D-468D-8908-5C0FF3527A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6" authorId="0" shapeId="0" xr:uid="{36C5AAFE-EF95-4BE2-9D7F-75502185A0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6" authorId="0" shapeId="0" xr:uid="{AA7813D8-F95E-4223-B9CC-B37F3A0867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6" authorId="0" shapeId="0" xr:uid="{0ECDF051-8601-4A6B-B17B-0E8B8FA8D6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7" authorId="0" shapeId="0" xr:uid="{6545F299-92DC-403F-9C29-6E0839FDD4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7" authorId="0" shapeId="0" xr:uid="{99DE2677-3A2F-485D-AD89-53C5148380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7" authorId="0" shapeId="0" xr:uid="{446632CE-AEF8-4682-AB28-2578354D85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7" authorId="0" shapeId="0" xr:uid="{3FD1C99E-5C33-4C11-A8BB-4A95820277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7" authorId="0" shapeId="0" xr:uid="{DB13492D-A8A2-4D4F-8340-30530D6C69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7" authorId="0" shapeId="0" xr:uid="{33835C80-BF5D-488A-BFA8-1E58005F43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7" authorId="0" shapeId="0" xr:uid="{9669197A-DA51-4808-A977-9CBB1CCD17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7" authorId="0" shapeId="0" xr:uid="{A9497F97-C61C-4E5D-A5E3-3D92F8BE74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7" authorId="0" shapeId="0" xr:uid="{9C0BE18E-AA9A-41AB-91EE-25930F168B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7" authorId="0" shapeId="0" xr:uid="{21A59AB5-3786-425C-9943-5EA4C6CF9C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7" authorId="0" shapeId="0" xr:uid="{4C152544-1FD6-42F6-9E65-572948C633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7" authorId="0" shapeId="0" xr:uid="{CE8BA74B-74DB-4CCB-8B8A-48172F8568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7" authorId="0" shapeId="0" xr:uid="{8FC2C0D6-2E52-4C02-BF89-FBD8655913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7" authorId="0" shapeId="0" xr:uid="{AA33DE5E-02DA-4EBB-A72C-1EF3B098DF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7" authorId="0" shapeId="0" xr:uid="{AAE381FD-A9BA-43D3-ADCB-83D18D9C64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7" authorId="0" shapeId="0" xr:uid="{0250E063-9D5C-4C26-8FFA-285C15D556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7" authorId="0" shapeId="0" xr:uid="{7FC7B41C-4DB2-4A0C-8258-15DAF982A2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7" authorId="0" shapeId="0" xr:uid="{6727AC79-BECE-4C8C-ACB5-54CA2CB193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7" authorId="0" shapeId="0" xr:uid="{4BD146B8-8EB2-47FD-AF2A-3ACF8BB742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7" authorId="0" shapeId="0" xr:uid="{4C0499CB-8743-4270-AEFA-10C8ACAA25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27" authorId="0" shapeId="0" xr:uid="{D03371B3-ED51-4B6D-8A62-47AA087A52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8" authorId="0" shapeId="0" xr:uid="{287CCB0D-052C-430E-BC5F-D3D46809F4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8" authorId="0" shapeId="0" xr:uid="{42E3AB8A-E52A-426E-A8FB-C9620B2813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8" authorId="0" shapeId="0" xr:uid="{85F1F376-F1B3-49B4-86D6-862F916797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8" authorId="0" shapeId="0" xr:uid="{4E4A4188-C576-4D8F-BE4C-FB69FFF921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8" authorId="0" shapeId="0" xr:uid="{6D335194-99CC-4398-A282-B6ED53CEB0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8" authorId="0" shapeId="0" xr:uid="{5BEFA374-6FE8-4BC0-9AC6-B457B8BE7F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8" authorId="0" shapeId="0" xr:uid="{EAF1D0CE-6914-4B99-B0CB-2009560F37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8" authorId="0" shapeId="0" xr:uid="{131E9529-176C-4C68-A61E-2FBBFEDA1F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8" authorId="0" shapeId="0" xr:uid="{C7E588C0-695F-4FEB-955A-CE524C5467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8" authorId="0" shapeId="0" xr:uid="{41D69DD7-A329-4123-A180-FFF51CAF9C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8" authorId="0" shapeId="0" xr:uid="{CADBBFD9-93A7-42B0-AF15-BCC68429C2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8" authorId="0" shapeId="0" xr:uid="{65E33F6C-BBAA-4AE8-9DB1-9D99CB20A8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8" authorId="0" shapeId="0" xr:uid="{D40F40FC-A32E-4E17-A0AF-CB13DA046D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8" authorId="0" shapeId="0" xr:uid="{EA313566-CABE-4636-ADD4-04AB6256A8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9" authorId="0" shapeId="0" xr:uid="{18B12EFE-5FF1-458B-8D7F-7D7E8DEEF2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9" authorId="0" shapeId="0" xr:uid="{3E26AADC-2CF8-4FFA-A8B3-A772B88929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9" authorId="0" shapeId="0" xr:uid="{88843C0F-5F0C-4E3B-BB4F-611EF5FD51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9" authorId="0" shapeId="0" xr:uid="{05E8575F-F1AB-493A-8143-75D20FE78E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9" authorId="0" shapeId="0" xr:uid="{3CC47A1F-7E25-41E1-8BA5-6B13ADB921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9" authorId="0" shapeId="0" xr:uid="{2F2A20DA-5BE4-405A-8D12-61DEE85F75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9" authorId="0" shapeId="0" xr:uid="{BC292353-8976-4AA9-8BB5-E379C16337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9" authorId="0" shapeId="0" xr:uid="{5F7740C7-E4D0-4FEB-B257-4D2BEE8715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9" authorId="0" shapeId="0" xr:uid="{425BCC3F-E981-4A39-A444-071B194535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9" authorId="0" shapeId="0" xr:uid="{F848A290-B15C-49E7-A24E-F451E5C7A0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0" authorId="0" shapeId="0" xr:uid="{CFCBD6AD-DEBD-4193-90EC-6CE14E70B0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0" authorId="0" shapeId="0" xr:uid="{D7F48BA9-8E67-4990-8F6A-5A98D0E312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0" authorId="0" shapeId="0" xr:uid="{E307EA4B-787E-402E-8A2C-AEBFEFE224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0" authorId="0" shapeId="0" xr:uid="{9C1B0039-8991-47D3-8026-AC77BCB8E9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0" authorId="0" shapeId="0" xr:uid="{7C1C533F-A80D-4FBF-A303-7AEBF70FFD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0" authorId="0" shapeId="0" xr:uid="{AC1C6909-EB49-484D-9D93-90799B8E45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0" authorId="0" shapeId="0" xr:uid="{6C6BF0CF-03B0-4ADD-B770-D2F969ADFE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0" authorId="0" shapeId="0" xr:uid="{2A6E6079-4C47-4285-B3F6-6D12E158C9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0" authorId="0" shapeId="0" xr:uid="{24A910AE-5FCE-4F1A-B91C-8CCCE97D78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0" authorId="0" shapeId="0" xr:uid="{B4F233B6-0D04-438E-AEFC-A054B5B59D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0" authorId="0" shapeId="0" xr:uid="{5203EAD5-D342-4AAD-9B3B-FC5601D09F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0" authorId="0" shapeId="0" xr:uid="{A75BFE55-AF73-4639-B07E-E33E703C24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0" authorId="0" shapeId="0" xr:uid="{F43BBAC5-CA4C-4E2C-8C34-09CB733361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0" authorId="0" shapeId="0" xr:uid="{18BCCD6B-A868-4360-86B1-C4338D9117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1" authorId="0" shapeId="0" xr:uid="{BA31FF00-F654-4EB1-942C-5738EE0797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1" authorId="0" shapeId="0" xr:uid="{A9FBF894-3625-4929-A509-AD9C16093F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1" authorId="0" shapeId="0" xr:uid="{681948AD-A5BC-4220-8CB8-17DC58BF3C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1" authorId="0" shapeId="0" xr:uid="{7D8AC3CB-56C3-461D-9083-C710BFAD85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1" authorId="0" shapeId="0" xr:uid="{34612A5E-F120-4508-8242-B78346AF40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1" authorId="0" shapeId="0" xr:uid="{5A9C6ACC-C36D-483F-BC56-B19E6826D9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1" authorId="0" shapeId="0" xr:uid="{CDDF41E2-44B5-4C16-AE58-06EC39E71B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1" authorId="0" shapeId="0" xr:uid="{E5F20E52-5E84-4315-84AA-376A9768D9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1" authorId="0" shapeId="0" xr:uid="{629B2B87-B520-42C4-A802-90BF91CCEB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1" authorId="0" shapeId="0" xr:uid="{BD3931BD-14CD-4112-89D3-52C2DD7314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1" authorId="0" shapeId="0" xr:uid="{DEADFDE6-35B9-4A55-A7C8-BD741A2731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1" authorId="0" shapeId="0" xr:uid="{21FF8566-305E-44F0-883B-414802D2A3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1" authorId="0" shapeId="0" xr:uid="{A249B48D-8086-4BDA-8673-7387B35756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1" authorId="0" shapeId="0" xr:uid="{F5615987-BA97-4FA9-956A-2100AF4EA5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1" authorId="0" shapeId="0" xr:uid="{638A65F0-00E1-4632-9CB2-9BCFC1965C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1" authorId="0" shapeId="0" xr:uid="{E9068694-2607-47A5-ABD7-3CB0AC77B9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1" authorId="0" shapeId="0" xr:uid="{BD005A18-81A6-40A4-8BB1-622649DA1C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2" authorId="0" shapeId="0" xr:uid="{A3A414FD-530C-45CE-A6DA-C471E26067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2" authorId="0" shapeId="0" xr:uid="{A17EF04F-0E7B-462F-99D0-0C2627A971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2" authorId="0" shapeId="0" xr:uid="{76B7268E-80E1-4D1E-904B-64CF4B7981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2" authorId="0" shapeId="0" xr:uid="{5086ACBD-206B-431A-8C64-75B17B86AB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2" authorId="0" shapeId="0" xr:uid="{D823346C-661D-4AEB-B947-716057FEA5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2" authorId="0" shapeId="0" xr:uid="{1F398108-AF03-4DF8-838E-C0A04EF2BF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2" authorId="0" shapeId="0" xr:uid="{2FCC4D4C-840E-429B-998F-B8FEF3B778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2" authorId="0" shapeId="0" xr:uid="{78DECE73-BB5D-4CAE-BAD6-12FF33FB90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2" authorId="0" shapeId="0" xr:uid="{75F58F16-2F31-4047-A25B-6195EB98D0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2" authorId="0" shapeId="0" xr:uid="{C301DDF5-CC78-47E1-9593-BE6040F7C1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2" authorId="0" shapeId="0" xr:uid="{B2E0B383-7187-4C1A-9B48-AAE3ECD186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2" authorId="0" shapeId="0" xr:uid="{77D6B961-6F7B-4563-A842-198B682363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2" authorId="0" shapeId="0" xr:uid="{EBFE11D3-ACE1-4DC8-B581-4DF18376E6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3" authorId="0" shapeId="0" xr:uid="{AF61F0F9-A439-4982-ADA8-A2418434A5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3" authorId="0" shapeId="0" xr:uid="{1F9907D4-05D9-4BAB-9209-2AFF0531DF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3" authorId="0" shapeId="0" xr:uid="{1C904872-D73F-4A93-A2A2-7FE99CEAC5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3" authorId="0" shapeId="0" xr:uid="{5121ABBC-A0F3-4B09-908B-351133B261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3" authorId="0" shapeId="0" xr:uid="{82EA420B-C7F9-436D-92AC-56A52EC801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3" authorId="0" shapeId="0" xr:uid="{882A11AE-0A38-4E11-A632-B6DBC5DC08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3" authorId="0" shapeId="0" xr:uid="{9029BFA9-6103-4BD5-9922-4CA871D39C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3" authorId="0" shapeId="0" xr:uid="{A0771E1F-BE82-4788-8F45-5AF6E9B374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3" authorId="0" shapeId="0" xr:uid="{1D2537F3-1DD4-44DA-82F2-CFE4A2D59D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3" authorId="0" shapeId="0" xr:uid="{80C5A832-AF93-4972-ABF7-EE4D944F56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3" authorId="0" shapeId="0" xr:uid="{4E14206D-6454-408B-B650-E3E87B7C9D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3" authorId="0" shapeId="0" xr:uid="{6B182BF7-F8C3-4AC9-89DE-CBE746FAED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3" authorId="0" shapeId="0" xr:uid="{718322D7-9D4D-48C9-B390-F6B07A83EA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3" authorId="0" shapeId="0" xr:uid="{AC3A96C6-E4AD-420A-B1AA-E3F81E1A87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3" authorId="0" shapeId="0" xr:uid="{FEB49A8E-9604-48AE-AE02-684F988F48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3" authorId="0" shapeId="0" xr:uid="{DE26E127-8795-4745-8768-EA89D64E25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4" authorId="0" shapeId="0" xr:uid="{AE33D0EB-27EA-41E3-814C-A3CFA878CC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4" authorId="0" shapeId="0" xr:uid="{3D5BEC12-FB69-4553-A7BB-003BC9B6B2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4" authorId="0" shapeId="0" xr:uid="{432C4FB9-AD41-41C4-9E68-DA6F02E696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4" authorId="0" shapeId="0" xr:uid="{EB6326A0-3469-4038-BD4E-777D1B5186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4" authorId="0" shapeId="0" xr:uid="{3AC806E0-0AEB-4447-AB74-61C1279C97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4" authorId="0" shapeId="0" xr:uid="{CD79F997-1D31-4245-9127-F96F1BF1B3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4" authorId="0" shapeId="0" xr:uid="{41A3FEAD-35CC-4429-BF69-2F163FF35A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4" authorId="0" shapeId="0" xr:uid="{A0C324F9-ECC2-46E4-834D-7A49619185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4" authorId="0" shapeId="0" xr:uid="{C55C462B-7231-4E76-A0C2-9C346E7A2D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4" authorId="0" shapeId="0" xr:uid="{7C8FA634-5973-497B-8A17-6B5033164E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4" authorId="0" shapeId="0" xr:uid="{43D848A3-F9A6-424A-B75E-D350864A25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4" authorId="0" shapeId="0" xr:uid="{D4CEA1C2-0F25-4EE5-87F7-3981A925E6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4" authorId="0" shapeId="0" xr:uid="{AF85340B-6EAF-492F-9BCA-599D838D77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4" authorId="0" shapeId="0" xr:uid="{CEBBEB4E-DB16-44B2-983C-3A30B9E43F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4" authorId="0" shapeId="0" xr:uid="{A8B10676-6341-4ADE-8322-7F2FC4089A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5" authorId="0" shapeId="0" xr:uid="{3029B119-2A96-4070-AA36-AD6ED4000D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5" authorId="0" shapeId="0" xr:uid="{F93B4B4F-E875-4F79-940C-DB9E8755C7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5" authorId="0" shapeId="0" xr:uid="{CD037196-98D5-432A-87F7-4678BEBA25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5" authorId="0" shapeId="0" xr:uid="{0BBDB4E1-D3DC-4436-9F8B-7737BE4829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5" authorId="0" shapeId="0" xr:uid="{9E8BECDD-503A-4273-9028-56552B4B97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5" authorId="0" shapeId="0" xr:uid="{45731C2D-069E-4478-9041-43D119D624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5" authorId="0" shapeId="0" xr:uid="{DC484498-C680-454F-9672-2DEE917848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5" authorId="0" shapeId="0" xr:uid="{163E1918-B9EF-40D6-965E-4611F6CD54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5" authorId="0" shapeId="0" xr:uid="{E903EA32-9F20-4947-AB05-133A44D1AC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5" authorId="0" shapeId="0" xr:uid="{C3DD65A7-9F92-4C03-8E5D-84150A3D9C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5" authorId="0" shapeId="0" xr:uid="{D8EEEF4F-F65F-472C-A5EB-DAED595741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5" authorId="0" shapeId="0" xr:uid="{1F15C26A-5A03-411C-93FD-B32BCADE36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5" authorId="0" shapeId="0" xr:uid="{52E0FDE7-6B90-456B-8C81-4DF61A0BDE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5" authorId="0" shapeId="0" xr:uid="{4172CF48-7B80-4B42-B0C3-026D3CBBFC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6" authorId="0" shapeId="0" xr:uid="{91CCB667-74B6-4AC5-B442-80835C1915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6" authorId="0" shapeId="0" xr:uid="{0B40CC07-A0CE-440A-A2A0-16790C804B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6" authorId="0" shapeId="0" xr:uid="{EBB4EA8A-A895-4696-A195-2EE7BAC24E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6" authorId="0" shapeId="0" xr:uid="{31B7EF28-4507-4A10-A46E-4DF79D5AF4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6" authorId="0" shapeId="0" xr:uid="{DA1031EA-EEB4-4AD9-91F3-31390D6683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6" authorId="0" shapeId="0" xr:uid="{33B94E27-944A-42ED-BD01-61EA136783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6" authorId="0" shapeId="0" xr:uid="{44ED4CE7-383B-41F1-845A-C0074332A0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6" authorId="0" shapeId="0" xr:uid="{1DB6C93B-273D-49AE-8678-DAFAC89F6A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6" authorId="0" shapeId="0" xr:uid="{E8C12F7C-46EF-444C-BB7F-F403BF2419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6" authorId="0" shapeId="0" xr:uid="{891582D7-0B50-4E73-BFF2-C37ED6B493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6" authorId="0" shapeId="0" xr:uid="{836CB199-3138-4B4E-A27D-96230375FA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6" authorId="0" shapeId="0" xr:uid="{540C9D1F-D4A2-4C6E-AB3D-28F99312A5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6" authorId="0" shapeId="0" xr:uid="{03137A1F-CF72-49AD-BB97-8DE3432621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6" authorId="0" shapeId="0" xr:uid="{D69A105E-FC75-48DF-8C2A-0ABBAAE108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E37" authorId="0" shapeId="0" xr:uid="{A45643A8-E543-442B-96CE-8C72D4CCDF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7" authorId="0" shapeId="0" xr:uid="{29ECF717-C83C-4834-91B0-329BB16B50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7" authorId="0" shapeId="0" xr:uid="{1FF09E5A-B2BE-4C67-B5F7-553E6AF67B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37" authorId="0" shapeId="0" xr:uid="{3B2C922B-DF07-44AA-AC34-F4E6BD51F5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7" authorId="0" shapeId="0" xr:uid="{AECFC58E-D8C2-49DF-8E27-3A45B75ABA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7" authorId="0" shapeId="0" xr:uid="{9AF28597-2674-412E-AF71-CB89565028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7" authorId="0" shapeId="0" xr:uid="{6C5B6ED6-0274-4634-A896-7F680D7B00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7" authorId="0" shapeId="0" xr:uid="{28F49015-BBA1-42E5-8A68-10B726A49C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7" authorId="0" shapeId="0" xr:uid="{CADEFBAD-420A-4907-9AF5-23319E2B9A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7" authorId="0" shapeId="0" xr:uid="{F913FBAF-AD73-427A-B683-C9BA64BA31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7" authorId="0" shapeId="0" xr:uid="{C61915D0-04E4-4224-B2B0-AB9D8BD08A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7" authorId="0" shapeId="0" xr:uid="{EB33FF49-D445-47B6-929B-E7CC98E53C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7" authorId="0" shapeId="0" xr:uid="{C3B11DDE-6DE6-4BEB-B31A-C609BEA400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7" authorId="0" shapeId="0" xr:uid="{092F5CFA-9F09-4124-A8D8-B8DE59DF1E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7" authorId="0" shapeId="0" xr:uid="{1FCB5974-C23D-4C66-B5C1-7790ADF2DB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7" authorId="0" shapeId="0" xr:uid="{0D1A11DF-DD1F-4C4A-A257-486CB705E0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7" authorId="0" shapeId="0" xr:uid="{3A5F7F93-1EF4-4485-9F00-268D7BF199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7" authorId="0" shapeId="0" xr:uid="{52D74649-37BD-44DC-9880-413E874508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8" authorId="0" shapeId="0" xr:uid="{529096C0-B865-4ECC-B805-1CAFF290E5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8" authorId="0" shapeId="0" xr:uid="{A9A3A179-7BC9-4348-AFCF-A39E284C6D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38" authorId="0" shapeId="0" xr:uid="{706FDB61-B27D-469A-B8DB-07AED92164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8" authorId="0" shapeId="0" xr:uid="{6ACA6D84-50C7-4712-BF0E-A70DBD4A4B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8" authorId="0" shapeId="0" xr:uid="{29F7557E-DC82-4CDD-A618-9FD003F1BA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8" authorId="0" shapeId="0" xr:uid="{6B81A391-2F66-4E94-8AF7-FF873E60E5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8" authorId="0" shapeId="0" xr:uid="{144CE31D-F56C-4821-84A9-7D8A189786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8" authorId="0" shapeId="0" xr:uid="{D54C8413-D9CD-4E3A-8218-47782C0729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8" authorId="0" shapeId="0" xr:uid="{AB0D1901-3B37-4E01-B09B-D15E6FB066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8" authorId="0" shapeId="0" xr:uid="{28155DB2-5AF6-4086-BC9F-564F20F114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8" authorId="0" shapeId="0" xr:uid="{6538E824-1805-42C6-8C33-AF8C8E21CC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8" authorId="0" shapeId="0" xr:uid="{B07BF94A-BA75-4329-A42F-83D4A735FE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8" authorId="0" shapeId="0" xr:uid="{B4EDD5E0-1B56-41F1-A3A3-9A54E13FFE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8" authorId="0" shapeId="0" xr:uid="{CD16F43A-7649-4ECA-8060-A5A5FE3134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8" authorId="0" shapeId="0" xr:uid="{90EE9939-FB24-4F76-9BFE-085989362B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8" authorId="0" shapeId="0" xr:uid="{BDBDF0D3-7D65-4714-956F-7C75472F86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8" authorId="0" shapeId="0" xr:uid="{64CB0426-89B3-40D3-A66A-F4227547B6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8" authorId="0" shapeId="0" xr:uid="{4E148F28-FFFC-4117-8C5A-E263123385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9" authorId="0" shapeId="0" xr:uid="{B72B6650-9316-498E-AAA6-CCC13DA975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9" authorId="0" shapeId="0" xr:uid="{885D879E-86D4-4FF1-BC2E-7FA395E3AA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9" authorId="0" shapeId="0" xr:uid="{7DC0C985-14C2-4203-9C59-A7139FDFA8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9" authorId="0" shapeId="0" xr:uid="{EDBE3C76-0F14-496F-AFB7-120B9F72C3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9" authorId="0" shapeId="0" xr:uid="{14D04692-735F-41D4-B8E9-F1598CA85D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9" authorId="0" shapeId="0" xr:uid="{810DEF7B-8E26-4B97-931E-3FDA0CE49F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9" authorId="0" shapeId="0" xr:uid="{3029DFD8-3083-499F-99E4-F78E73E612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9" authorId="0" shapeId="0" xr:uid="{F32DB69A-BC61-4E1E-ADB1-BD6265F365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9" authorId="0" shapeId="0" xr:uid="{2567BA91-2D69-4438-BCC3-7CD154367E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9" authorId="0" shapeId="0" xr:uid="{61456146-D26F-4E84-81A5-D22214CF7E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9" authorId="0" shapeId="0" xr:uid="{EF6036D7-DC43-42B0-BA39-37530A7883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9" authorId="0" shapeId="0" xr:uid="{2CB8DC1B-23D5-4481-BE1C-A22D0E5239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9" authorId="0" shapeId="0" xr:uid="{CF46F866-7293-4966-8B70-8172E9AC67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9" authorId="0" shapeId="0" xr:uid="{20331D14-778B-4D25-BBDE-C3C8A7D9CD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9" authorId="0" shapeId="0" xr:uid="{3F2B2A19-9553-4CF0-99CD-E29670E144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9" authorId="0" shapeId="0" xr:uid="{64329347-A100-493A-A070-7EEF604B34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9" authorId="0" shapeId="0" xr:uid="{176CAC19-89DE-4A36-BF0C-200420107C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9" authorId="0" shapeId="0" xr:uid="{1ABB6684-1C55-440E-A6E1-A29C9EB3D9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9" authorId="0" shapeId="0" xr:uid="{18A1F5C6-B920-4D45-AA47-8D35FEFDB7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0" authorId="0" shapeId="0" xr:uid="{81065C5E-1075-4E28-9E02-687D428140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0" authorId="0" shapeId="0" xr:uid="{F895A9D4-D75F-4BB8-8160-2A953384AD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0" authorId="0" shapeId="0" xr:uid="{1765D70F-D721-481E-8991-5310176FBF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0" authorId="0" shapeId="0" xr:uid="{42111047-B3C8-41B2-81EA-976DC5FBB3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0" authorId="0" shapeId="0" xr:uid="{1A99A98F-C5EB-4218-8989-DAD1F417AF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0" authorId="0" shapeId="0" xr:uid="{9C628A68-A2BE-4E5F-AD3F-B7B4965FFB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0" authorId="0" shapeId="0" xr:uid="{7CFBC61C-891C-4B80-BEE2-214013B90D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0" authorId="0" shapeId="0" xr:uid="{ACC405B2-ED97-47ED-BCFC-E506FB2462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0" authorId="0" shapeId="0" xr:uid="{94E52B61-F894-4981-A26A-BBD10F92B6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0" authorId="0" shapeId="0" xr:uid="{02CF1FF7-64A9-40A7-9708-62FE50EAEA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1" authorId="0" shapeId="0" xr:uid="{742181C3-5AA9-44B2-9FE9-15B666CAC8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41" authorId="0" shapeId="0" xr:uid="{6092B090-059B-4F96-B13B-941BD8E8B1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1" authorId="0" shapeId="0" xr:uid="{8F1087C2-ACF4-4051-84C4-25023DBB07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1" authorId="0" shapeId="0" xr:uid="{DCB02C00-6A1B-4CD4-90DC-A34A5B720F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1" authorId="0" shapeId="0" xr:uid="{AD0089CE-9D40-49D9-AD07-B94D5042E4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1" authorId="0" shapeId="0" xr:uid="{B9810A13-A1DC-4898-8AEA-4B40B0D766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1" authorId="0" shapeId="0" xr:uid="{0E4FAC43-8B92-4404-8951-6E0ED06544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1" authorId="0" shapeId="0" xr:uid="{877F36FB-262C-4112-A304-CF3FD0A740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1" authorId="0" shapeId="0" xr:uid="{D08E1C5F-5B05-4499-B77F-8DCCFA3A95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1" authorId="0" shapeId="0" xr:uid="{9D2AE626-F356-4448-A70B-C4AB6AEA04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1" authorId="0" shapeId="0" xr:uid="{5422F5F4-1A0B-4DC3-A6BF-CAA477BE98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1" authorId="0" shapeId="0" xr:uid="{5E81F737-C73F-4F94-8F77-FF04F3589B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1" authorId="0" shapeId="0" xr:uid="{8752A491-8A88-4579-8B17-9D96152699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1" authorId="0" shapeId="0" xr:uid="{1CDF1BCA-50D9-4855-8313-FB4D5C8CFB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2" authorId="0" shapeId="0" xr:uid="{B996E8FB-3CE9-412B-BED8-0DE66E2702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2" authorId="0" shapeId="0" xr:uid="{C2CC1975-E02B-4EDE-AD15-C69839FB89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2" authorId="0" shapeId="0" xr:uid="{CB6DC2C3-44D0-4CEA-A06B-62FB4E503B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42" authorId="0" shapeId="0" xr:uid="{1CA4691C-8F43-439D-9638-BBF2C96E49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2" authorId="0" shapeId="0" xr:uid="{EFC5C684-784E-4497-87B7-7637008BEE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2" authorId="0" shapeId="0" xr:uid="{3AF0CC5C-1062-40A8-BA1A-9A783E4934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2" authorId="0" shapeId="0" xr:uid="{B4EF5B23-94EE-4C34-A3A0-DB2AC92DC6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2" authorId="0" shapeId="0" xr:uid="{FCD0D89D-FEEA-40E7-9185-59C54800DC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2" authorId="0" shapeId="0" xr:uid="{A2F5F6ED-9B67-43F1-A606-C0491ED99D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2" authorId="0" shapeId="0" xr:uid="{6FA52C23-6D62-4D6B-8186-45948EB4D3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2" authorId="0" shapeId="0" xr:uid="{DBF6BCCC-2E08-40C2-B504-6D6944D783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2" authorId="0" shapeId="0" xr:uid="{6B64497A-9876-41EA-8ADE-C1F683D5A6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2" authorId="0" shapeId="0" xr:uid="{3C04C1B3-4327-43A0-BB04-54E29C955B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3" authorId="0" shapeId="0" xr:uid="{BD1584F3-568D-48F0-89A7-88472318D7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3" authorId="0" shapeId="0" xr:uid="{D76E1C9A-F797-492D-B53D-FCDB42F1F3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3" authorId="0" shapeId="0" xr:uid="{E14DC2F6-9B9D-4903-9A10-58D3547DBE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3" authorId="0" shapeId="0" xr:uid="{EA2AE9AC-990E-4FA4-8D4E-BBCCE6469F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3" authorId="0" shapeId="0" xr:uid="{EEC74E58-2E28-49DD-95AB-8719E45E08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3" authorId="0" shapeId="0" xr:uid="{6617C43E-6F4F-4337-B244-88261D4B8B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3" authorId="0" shapeId="0" xr:uid="{4AA380F0-B3C0-4085-B069-FA89BE418F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3" authorId="0" shapeId="0" xr:uid="{00BE1DB1-7D94-4F1E-BBFF-99B666240B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3" authorId="0" shapeId="0" xr:uid="{41337060-3881-46DA-A51C-898D24B4D0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3" authorId="0" shapeId="0" xr:uid="{D7C94123-2A31-4CE6-B24C-4147EA21C8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3" authorId="0" shapeId="0" xr:uid="{F55D33E9-3D17-4A1C-A0BA-7FD575D0BD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3" authorId="0" shapeId="0" xr:uid="{EB5AF1B8-AF0C-4886-9E28-1CACCB7C37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3" authorId="0" shapeId="0" xr:uid="{932F6331-7D68-4522-893B-A806ACF0BA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G44" authorId="0" shapeId="0" xr:uid="{7E083E59-14C8-445E-B04D-2739173F87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4" authorId="0" shapeId="0" xr:uid="{0572CD8A-53A3-49BC-8480-668EF4BE81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4" authorId="0" shapeId="0" xr:uid="{F0A1EFDA-7E0C-409B-891E-8E0EDBB04A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4" authorId="0" shapeId="0" xr:uid="{94D65BD5-3F82-4D89-ADC2-79772E1786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4" authorId="0" shapeId="0" xr:uid="{962A157B-3C01-4B66-85D2-67527422B8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44" authorId="0" shapeId="0" xr:uid="{DDCE9F56-8274-49A8-8268-68D42E6FC6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4" authorId="0" shapeId="0" xr:uid="{68EC65DC-4EAA-4B83-A3A6-ABBDF87A1E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4" authorId="0" shapeId="0" xr:uid="{F23BA8B3-A009-4B46-81AC-EFE4BD38F9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4" authorId="0" shapeId="0" xr:uid="{98888391-6EA4-49CB-AD79-307E2301C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4" authorId="0" shapeId="0" xr:uid="{86B9ADBB-6E00-448C-B449-A3E1B427CA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4" authorId="0" shapeId="0" xr:uid="{64CB800A-DA65-4F7A-BB9E-31753614B5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4" authorId="0" shapeId="0" xr:uid="{E6DF030A-CB1C-4D14-BF7D-F8DA73F777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4" authorId="0" shapeId="0" xr:uid="{AEA755CC-47EE-4B48-A85A-3C07193F08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4" authorId="0" shapeId="0" xr:uid="{4759EC77-7C41-4686-815D-A6DB3CD048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4" authorId="0" shapeId="0" xr:uid="{B20AE547-DE72-43EE-9BF6-A20BA0DBC0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4" authorId="0" shapeId="0" xr:uid="{DB5873C4-830D-4BE8-9827-26B5D0787B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4" authorId="0" shapeId="0" xr:uid="{ED73F242-44D4-44A5-956A-789D54B333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4" authorId="0" shapeId="0" xr:uid="{50E884E9-E677-448F-A0C4-7B8EF2EA1A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5" authorId="0" shapeId="0" xr:uid="{5A1D4190-9F04-4A55-A36F-2E2E6DA343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5" authorId="0" shapeId="0" xr:uid="{3BE5EB37-B803-4606-A3E4-C230913949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5" authorId="0" shapeId="0" xr:uid="{08C393B8-0080-4DAA-88D8-3AA1826549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5" authorId="0" shapeId="0" xr:uid="{07EA5771-6979-4327-91F2-619627C364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5" authorId="0" shapeId="0" xr:uid="{89AA7060-B6FA-4FD7-9672-526C213BEC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5" authorId="0" shapeId="0" xr:uid="{D7FCDE31-CFB8-415D-920D-F4DCFF7843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5" authorId="0" shapeId="0" xr:uid="{7A3770FC-AD0C-4B07-AF71-D82213B267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5" authorId="0" shapeId="0" xr:uid="{82857B34-844F-4837-BD1E-71344A5D79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5" authorId="0" shapeId="0" xr:uid="{1BD17D14-24F3-49DB-9AAC-63091BF723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5" authorId="0" shapeId="0" xr:uid="{397BF655-3A3A-4871-BC18-8FB6ABED6D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5" authorId="0" shapeId="0" xr:uid="{E5CAE6B1-2913-444E-A057-39F8687A96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5" authorId="0" shapeId="0" xr:uid="{40537BC0-02FB-4542-8DD9-D5D5B7D581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5" authorId="0" shapeId="0" xr:uid="{57BE44A7-637D-4E22-AE42-7254E0E4F6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5" authorId="0" shapeId="0" xr:uid="{FDB39344-1DA0-4CC4-8DED-99C26109BE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6" authorId="0" shapeId="0" xr:uid="{50B08876-3560-47F4-86D0-74B2DD0629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6" authorId="0" shapeId="0" xr:uid="{2F194888-61E8-4581-B8B6-4B82809880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6" authorId="0" shapeId="0" xr:uid="{3C494ED8-BD46-45B7-BB4B-08802F5AE4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6" authorId="0" shapeId="0" xr:uid="{C0BE3059-D43E-43FF-AF14-7FD6E52DB3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6" authorId="0" shapeId="0" xr:uid="{F7252ACA-3D90-4EA4-882F-8A737EEDAE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46" authorId="0" shapeId="0" xr:uid="{3F55EA35-ABF8-4483-BB3A-FE173D1CD6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6" authorId="0" shapeId="0" xr:uid="{47F0CEB0-099B-4264-ADC7-FB82B872F1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6" authorId="0" shapeId="0" xr:uid="{AD2F209E-7346-47F9-94BB-D2EB760BE3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6" authorId="0" shapeId="0" xr:uid="{7E8AEED9-4B3B-46B8-817E-00AA676FAC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6" authorId="0" shapeId="0" xr:uid="{653DB421-9291-41DC-AFA5-6479FD70E4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6" authorId="0" shapeId="0" xr:uid="{0870D92C-EC06-4FED-AED6-2B5DD4169C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6" authorId="0" shapeId="0" xr:uid="{0A3B31AD-BF43-40D9-8FEB-438FE9E42B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6" authorId="0" shapeId="0" xr:uid="{14F9D9D5-12C6-4F74-9A02-B51D772B7D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6" authorId="0" shapeId="0" xr:uid="{EB755D9C-179A-450A-B297-088DA39FF2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6" authorId="0" shapeId="0" xr:uid="{E1397F63-7952-40F6-91B4-C14D9FF1AB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6" authorId="0" shapeId="0" xr:uid="{713B8473-771B-48D6-A514-01AF5F8ADD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6" authorId="0" shapeId="0" xr:uid="{17028786-2762-4B56-8C4A-841F206B9D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7" authorId="0" shapeId="0" xr:uid="{BB07395E-F3AE-4D0B-B756-8A5BD948EB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7" authorId="0" shapeId="0" xr:uid="{F34380F3-E7CB-4707-B165-9B58A21F3C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7" authorId="0" shapeId="0" xr:uid="{BCDB9385-7C80-4AAC-93B4-22D3BD3C27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7" authorId="0" shapeId="0" xr:uid="{40769A79-57D4-4CC1-91D4-986114893B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7" authorId="0" shapeId="0" xr:uid="{22553CFF-92F1-4600-B2FB-DEF5CC4FEB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47" authorId="0" shapeId="0" xr:uid="{F252A277-CCB1-4337-915D-5930FA23CC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7" authorId="0" shapeId="0" xr:uid="{61BAE502-9C2E-4632-8E69-5E1F4AECD5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7" authorId="0" shapeId="0" xr:uid="{555FB237-1B3A-41AC-9179-78F93F0325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7" authorId="0" shapeId="0" xr:uid="{FF0BFAA0-800D-47D4-B58E-55BE0FE1C4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7" authorId="0" shapeId="0" xr:uid="{53DFD3D1-A420-4818-927B-8C1E0C2E2B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7" authorId="0" shapeId="0" xr:uid="{96FD5D81-C454-4B2F-BF15-FE1E11E02E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7" authorId="0" shapeId="0" xr:uid="{E5B9DA0F-9829-4EC7-BDF1-6C05AD2C68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7" authorId="0" shapeId="0" xr:uid="{37E31656-FCA0-4628-B671-290DC62A0E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7" authorId="0" shapeId="0" xr:uid="{65046854-4166-43A3-82E0-1ECEC96AFF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7" authorId="0" shapeId="0" xr:uid="{1FA25A2B-DD7D-471D-B8CF-2CAFFE3B4D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8" authorId="0" shapeId="0" xr:uid="{BC9F0EB0-03A6-48EF-A4E0-C0FABDA1B6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8" authorId="0" shapeId="0" xr:uid="{108EA7D3-AD82-4945-A129-9EE0FC3DE1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48" authorId="0" shapeId="0" xr:uid="{9103D54F-15D6-4E70-BB58-D562E44FC3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8" authorId="0" shapeId="0" xr:uid="{8C960750-662B-4466-90C5-FA6181B227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8" authorId="0" shapeId="0" xr:uid="{A9D2C424-D92E-4052-82CB-312F3B3630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8" authorId="0" shapeId="0" xr:uid="{E3107513-3791-42D1-BA9B-B873BC9F42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8" authorId="0" shapeId="0" xr:uid="{046BA8B5-52E0-4BBD-9F55-6E80AAB065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8" authorId="0" shapeId="0" xr:uid="{FB832F3F-0F83-4A4F-B01A-046C4E8C32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8" authorId="0" shapeId="0" xr:uid="{C69C6722-85AF-456E-AB41-7E21B4485F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8" authorId="0" shapeId="0" xr:uid="{80B5FFF5-D7F1-4ED5-A7C8-7DF0A0D80D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8" authorId="0" shapeId="0" xr:uid="{2F35C32E-C3F9-4913-AADF-25673EDF42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8" authorId="0" shapeId="0" xr:uid="{23D63DB6-FA5E-4C3D-B7E4-AB3B3BD391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8" authorId="0" shapeId="0" xr:uid="{E16C9CEC-C62D-4DEE-B830-2651079ECA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8" authorId="0" shapeId="0" xr:uid="{C55FDCBC-0A51-4428-B5EF-5F60354045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9" authorId="0" shapeId="0" xr:uid="{C317FAE5-2988-4D55-91AE-39701260E5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9" authorId="0" shapeId="0" xr:uid="{662F8404-F6CD-438E-B2EF-F5732B5F5E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9" authorId="0" shapeId="0" xr:uid="{101D3DFB-9035-46E5-B029-A7C88A0F4A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9" authorId="0" shapeId="0" xr:uid="{7CA77946-9509-462C-9590-2663FA08D6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9" authorId="0" shapeId="0" xr:uid="{37F0A27F-7B6B-4044-8AAA-16650502A5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9" authorId="0" shapeId="0" xr:uid="{7E04599D-A829-4D1A-ADEC-BB7434E5EC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9" authorId="0" shapeId="0" xr:uid="{A980272A-975A-4396-91FC-1119C0E0CE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9" authorId="0" shapeId="0" xr:uid="{B7736710-393E-4119-9D05-B0EE4797FA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9" authorId="0" shapeId="0" xr:uid="{7198377C-9416-415B-899A-22FF9D8640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9" authorId="0" shapeId="0" xr:uid="{E8A91070-0102-4EE7-AD57-F64322A1C7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9" authorId="0" shapeId="0" xr:uid="{FFB9B3ED-997B-422C-9A33-1B001532D1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9" authorId="0" shapeId="0" xr:uid="{A54B8503-AFDB-4ED9-9872-BEC64E9C1D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9" authorId="0" shapeId="0" xr:uid="{2F3B7CCD-84A0-4B8C-9EA2-AEDAFDCB0A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0" authorId="0" shapeId="0" xr:uid="{58C4934B-89B2-4CFD-AEB5-4E5DB085FA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0" authorId="0" shapeId="0" xr:uid="{D69E770A-D4CA-49F2-B3F0-C7E3DACC47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0" authorId="0" shapeId="0" xr:uid="{CB70009D-4BA5-4A2F-B67E-6C07E4F1DB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0" authorId="0" shapeId="0" xr:uid="{C555216A-AD9A-4535-945B-B08497A98D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0" authorId="0" shapeId="0" xr:uid="{1436A188-B024-40B7-BDEA-1137473A18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0" authorId="0" shapeId="0" xr:uid="{51EEB6A3-8D5C-4473-82AE-2975D783EE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0" authorId="0" shapeId="0" xr:uid="{09D5B74B-6E97-4548-AA9C-5C4B97F87E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0" authorId="0" shapeId="0" xr:uid="{107BC6F1-3C1F-427A-9DE4-B6CF27B937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0" authorId="0" shapeId="0" xr:uid="{D9288075-7DD3-4EE0-B133-1E69ED7C43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0" authorId="0" shapeId="0" xr:uid="{0DAC7CBE-9BF3-47AE-9598-9535805487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0" authorId="0" shapeId="0" xr:uid="{DC180E68-F433-47AB-8E21-F6FB534D2F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0" authorId="0" shapeId="0" xr:uid="{31FC9134-9BAC-4434-AFEF-789D249B31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0" authorId="0" shapeId="0" xr:uid="{A6D2CA01-2E52-47CA-9822-57522E21B5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0" authorId="0" shapeId="0" xr:uid="{533686A7-A41E-4435-872D-9B29D96C67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1" authorId="0" shapeId="0" xr:uid="{42FD2BDD-A0B3-4B00-BEE3-73C4877926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1" authorId="0" shapeId="0" xr:uid="{B43CCA2A-4322-4A6A-8D5E-08D2045D8D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1" authorId="0" shapeId="0" xr:uid="{163FD8EE-1AF4-4ED6-9E6B-3704B6BD66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1" authorId="0" shapeId="0" xr:uid="{942D498B-5C1C-4134-B433-F700738E55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1" authorId="0" shapeId="0" xr:uid="{589D7A18-4ED3-4EC4-85D6-B33D1645FD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1" authorId="0" shapeId="0" xr:uid="{F1C15407-E805-4595-81E7-E2B4A719D6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1" authorId="0" shapeId="0" xr:uid="{087A955D-E79F-45AB-A868-CD061D7DA0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1" authorId="0" shapeId="0" xr:uid="{C1BCF65D-1447-4442-83C8-E3B122EE8A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1" authorId="0" shapeId="0" xr:uid="{297450E7-B4A3-4DCC-B8B8-6DBC1533F9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1" authorId="0" shapeId="0" xr:uid="{BDE53DC1-75FF-463B-B873-CDA38CE756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1" authorId="0" shapeId="0" xr:uid="{65D8C270-2370-440E-B979-6476F3932C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1" authorId="0" shapeId="0" xr:uid="{1B41F024-22D0-406F-89F3-03D27D7395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1" authorId="0" shapeId="0" xr:uid="{D657DBE2-BD87-42D6-80E4-0A8A6D09FF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1" authorId="0" shapeId="0" xr:uid="{77F350A1-FBC6-42FB-80B0-30B09A52D0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1" authorId="0" shapeId="0" xr:uid="{61AC08F0-C222-4EB2-9CFD-71E5C83D3F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2" authorId="0" shapeId="0" xr:uid="{3E322C40-D3B0-498B-8CB8-EBAE9D720B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52" authorId="0" shapeId="0" xr:uid="{B208E013-BC3A-4EBA-AD0F-5DD7FC6774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2" authorId="0" shapeId="0" xr:uid="{116AB4DE-A2AA-4FE1-9E9A-85C86D92EA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2" authorId="0" shapeId="0" xr:uid="{E7F3172E-6F61-48AB-B7C7-5F3AA890CF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2" authorId="0" shapeId="0" xr:uid="{A65C34DC-3EC8-401F-BE43-77EE95B57B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2" authorId="0" shapeId="0" xr:uid="{7C52AA4E-9EF0-4C6F-8C61-6749259781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52" authorId="0" shapeId="0" xr:uid="{16E46D33-014A-47CB-B282-1ECB340C59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2" authorId="0" shapeId="0" xr:uid="{99D31DC8-AC45-4A71-84C5-C372B3E3ED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2" authorId="0" shapeId="0" xr:uid="{1AEAE2B8-A3BE-44D3-9AFA-4197232DB2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2" authorId="0" shapeId="0" xr:uid="{A7663B22-5468-4814-9D4B-BB7BCAFD66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2" authorId="0" shapeId="0" xr:uid="{998FD055-C820-4F0F-9B34-6899026A75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2" authorId="0" shapeId="0" xr:uid="{7BD30472-77B4-42AD-991F-BBB8490BC0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2" authorId="0" shapeId="0" xr:uid="{152DDD0F-8430-46F7-85C0-F3FDCCF161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2" authorId="0" shapeId="0" xr:uid="{C0C9ED00-E473-4277-9F16-597FAF4D1F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2" authorId="0" shapeId="0" xr:uid="{9B4AC28D-423F-406D-BE1E-FACA7FE06C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2" authorId="0" shapeId="0" xr:uid="{098DB6FF-8F38-4749-8E30-4268C98569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2" authorId="0" shapeId="0" xr:uid="{7ED1CA73-9523-477D-9F22-BDDFB93543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2" authorId="0" shapeId="0" xr:uid="{84F7A235-E895-4F30-9AEE-06E1271B2E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3" authorId="0" shapeId="0" xr:uid="{855E60ED-27C4-47F8-9726-4BD2AFAF48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3" authorId="0" shapeId="0" xr:uid="{4E9E40A5-421C-42F2-B360-DF7C277928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3" authorId="0" shapeId="0" xr:uid="{243E4BC1-5D4A-4516-99D6-1CF76343C1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3" authorId="0" shapeId="0" xr:uid="{9EBE6453-CD6D-4C11-890D-F0EFBE851A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3" authorId="0" shapeId="0" xr:uid="{B1AE7E90-1241-4C86-BEC8-447953779A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3" authorId="0" shapeId="0" xr:uid="{2FBA3FD0-46C6-4989-B6BA-F043E26817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3" authorId="0" shapeId="0" xr:uid="{6646DF19-8944-45FB-B1F1-F8BB235775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3" authorId="0" shapeId="0" xr:uid="{4D90AA3D-2E68-4522-92CD-478FD9F306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3" authorId="0" shapeId="0" xr:uid="{67E6A980-C507-421F-BC03-3D16532B68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3" authorId="0" shapeId="0" xr:uid="{16EC4E85-FD14-435B-B871-61D9EDB6F8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3" authorId="0" shapeId="0" xr:uid="{387D637C-F25A-4F87-86B2-7306F844CB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3" authorId="0" shapeId="0" xr:uid="{92154E96-0FB3-44BF-9A2D-C5E8EA2033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4" authorId="0" shapeId="0" xr:uid="{46DF8308-9798-487D-B9B1-54D70E9F2D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4" authorId="0" shapeId="0" xr:uid="{0CE1138A-95E2-4A42-945F-8EA61777CF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4" authorId="0" shapeId="0" xr:uid="{2E3115A3-58EE-496B-B7C5-D1DB0B601F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4" authorId="0" shapeId="0" xr:uid="{24567252-9459-4327-966D-91FD709D40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4" authorId="0" shapeId="0" xr:uid="{26C78C91-7085-4AF3-800E-0318AEFC5B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4" authorId="0" shapeId="0" xr:uid="{1092EBAD-7960-485C-A43A-BB81693CA7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4" authorId="0" shapeId="0" xr:uid="{F5B1685C-8F2C-4650-AA7A-45710EF55F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4" authorId="0" shapeId="0" xr:uid="{0182E03B-9EE6-4BA8-9E0A-0B53462E45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4" authorId="0" shapeId="0" xr:uid="{71D1F86D-6310-48F2-9355-9802B7748A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4" authorId="0" shapeId="0" xr:uid="{8071749C-4E5F-4B2C-81CE-4DFCC8799F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4" authorId="0" shapeId="0" xr:uid="{FBACDEA5-3D18-45F7-AAB6-21CFEA322C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4" authorId="0" shapeId="0" xr:uid="{9922D721-8693-40B9-A414-E42CA9909C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54" authorId="0" shapeId="0" xr:uid="{2BD63726-3CF4-48AC-B30E-DDA091C843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5" authorId="0" shapeId="0" xr:uid="{E16CA08C-467D-4E0B-A40D-9D200F6D59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55" authorId="0" shapeId="0" xr:uid="{57A687B5-EB89-4C13-8188-E1C96DFB98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5" authorId="0" shapeId="0" xr:uid="{7F10A4A9-4F03-4F8B-8BB2-ED38288A6F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5" authorId="0" shapeId="0" xr:uid="{4E28CB3E-B390-4196-AC44-9427137A7D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5" authorId="0" shapeId="0" xr:uid="{8F703E0B-6803-4B57-8C3F-2C3B211652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5" authorId="0" shapeId="0" xr:uid="{F3A03FCF-34B0-4F14-8605-718E0CE552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5" authorId="0" shapeId="0" xr:uid="{4FA447B2-4B5E-47CD-A567-EBD5E641E4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5" authorId="0" shapeId="0" xr:uid="{85194EDD-268C-45D1-A65A-91042C0E62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5" authorId="0" shapeId="0" xr:uid="{4526A3C8-ABC3-4B0E-83C4-377FE7FA6D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5" authorId="0" shapeId="0" xr:uid="{60C33663-1570-4896-9C61-6FA390E162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5" authorId="0" shapeId="0" xr:uid="{0A9A54E8-8DCA-4AC9-86DC-E42EB31F7F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5" authorId="0" shapeId="0" xr:uid="{361199DA-5888-4C9C-A85C-58BBE98B6E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5" authorId="0" shapeId="0" xr:uid="{875D0CB6-B78E-4D7C-88B8-A43D1248F3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5" authorId="0" shapeId="0" xr:uid="{C6A0FF00-1683-4CFC-86EB-E39570288C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6" authorId="0" shapeId="0" xr:uid="{5A17D82A-0B50-4C1B-88BD-1DDE8994B1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6" authorId="0" shapeId="0" xr:uid="{E4679089-1FCD-4496-B783-902DCD44CA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6" authorId="0" shapeId="0" xr:uid="{7723C59D-A326-475E-B711-4842F9D372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6" authorId="0" shapeId="0" xr:uid="{6592DF2F-6ED8-4373-A154-BC6CF18280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6" authorId="0" shapeId="0" xr:uid="{6F9F484A-CAC3-485B-8721-C60C3873F0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6" authorId="0" shapeId="0" xr:uid="{E8F7B6B3-A6B2-424F-ACBB-037311B687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6" authorId="0" shapeId="0" xr:uid="{062B4B4D-5AA6-4D05-A68C-94CFF22FDD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6" authorId="0" shapeId="0" xr:uid="{68EC575B-E5E8-458C-9FCE-546066BF16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6" authorId="0" shapeId="0" xr:uid="{32134692-1388-444F-AA00-79D27A051B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6" authorId="0" shapeId="0" xr:uid="{B55C4A27-6F96-4ADF-8EE1-C372565B6D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6" authorId="0" shapeId="0" xr:uid="{6058F816-1FDC-47EF-A2E0-DD907B8DFE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6" authorId="0" shapeId="0" xr:uid="{BAA0843F-B1B4-461C-BB81-E92ABA93EE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6" authorId="0" shapeId="0" xr:uid="{6EC7C9C0-1C9E-496C-87B4-0E4DBD9FF0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6" authorId="0" shapeId="0" xr:uid="{B4D1FF44-FC00-4DED-B798-8C855B3B93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6" authorId="0" shapeId="0" xr:uid="{9BD0F426-E2B2-4A45-8825-01266E88D8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7" authorId="0" shapeId="0" xr:uid="{5A57B200-0DDF-465A-A77D-5CBD885C08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7" authorId="0" shapeId="0" xr:uid="{A3B6B29E-73F9-4653-A734-E1F0C9B66B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7" authorId="0" shapeId="0" xr:uid="{5BAA6C69-C1C5-43CC-86D0-54DE0CAA02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7" authorId="0" shapeId="0" xr:uid="{A5CB51FD-DD76-4EB8-B2BB-C73B1731FB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57" authorId="0" shapeId="0" xr:uid="{697EB9DB-F97F-4D79-9374-82544B96B9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7" authorId="0" shapeId="0" xr:uid="{4FDAB8D8-1E91-413D-8FE0-F669BC2A38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7" authorId="0" shapeId="0" xr:uid="{3AA6B755-E6C7-4F7B-9E0C-61D209B845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7" authorId="0" shapeId="0" xr:uid="{7583993C-C374-4C4A-8669-0CAD646647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7" authorId="0" shapeId="0" xr:uid="{68CE1118-D747-4F9D-98BB-738A04FBD0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7" authorId="0" shapeId="0" xr:uid="{42A582CB-61A4-46A5-ADC6-02BC786C8A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7" authorId="0" shapeId="0" xr:uid="{577F669F-550E-4D0A-B1D8-1420618ACB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7" authorId="0" shapeId="0" xr:uid="{F1C67CA7-4894-4917-A0EF-FF808B31D5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7" authorId="0" shapeId="0" xr:uid="{8C3FA7C1-90BE-4241-B7EE-177D237E1E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7" authorId="0" shapeId="0" xr:uid="{65DD4FAE-0B90-4CB4-9D23-C61CF98811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7" authorId="0" shapeId="0" xr:uid="{B94704A4-2B4F-4B43-9DDC-DBAF147434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8" authorId="0" shapeId="0" xr:uid="{FAF4F0BE-7107-4FFE-909D-D9CD1EACBE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8" authorId="0" shapeId="0" xr:uid="{FBF812B7-7424-4379-9868-CBED2F0BF5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8" authorId="0" shapeId="0" xr:uid="{E2B537DD-1683-4B06-B9FC-0EDCC9001C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8" authorId="0" shapeId="0" xr:uid="{A8A22227-B977-450C-9306-8B7EA48ED0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8" authorId="0" shapeId="0" xr:uid="{E6135ECA-6C35-4F35-9062-FB965DAD69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8" authorId="0" shapeId="0" xr:uid="{A658488C-2293-45BD-A2FE-E60F6E2706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8" authorId="0" shapeId="0" xr:uid="{11D31C89-3795-4B5A-9883-0C607C9F5C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8" authorId="0" shapeId="0" xr:uid="{AB1055B1-0AE8-409A-99F2-6B658C7952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8" authorId="0" shapeId="0" xr:uid="{6AF57B0C-34B8-4C06-9C8A-C460084357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8" authorId="0" shapeId="0" xr:uid="{B1F00F35-6A89-4397-B661-46072FF9A2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8" authorId="0" shapeId="0" xr:uid="{79384E94-D65B-434B-AC2E-C5C24B4F61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8" authorId="0" shapeId="0" xr:uid="{B82E8E76-5742-4B06-9B32-AEB1A591B8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8" authorId="0" shapeId="0" xr:uid="{11A656EC-DF54-4B46-856B-D698F798CB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9" authorId="0" shapeId="0" xr:uid="{0C3463C0-1FEF-42D1-BEA1-765550C901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9" authorId="0" shapeId="0" xr:uid="{191A1811-EADE-4B4D-99B2-04DFB8839F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9" authorId="0" shapeId="0" xr:uid="{C883C6F3-0333-46C5-AA10-CCF05F0F8C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9" authorId="0" shapeId="0" xr:uid="{870F1262-F7D3-4668-8DEF-D5C9C25746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9" authorId="0" shapeId="0" xr:uid="{969DEFBA-F8F7-4843-9286-58DD14F694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59" authorId="0" shapeId="0" xr:uid="{E5B39C35-C851-4249-9C00-EA6705515F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9" authorId="0" shapeId="0" xr:uid="{13E8A2D9-E713-4D85-AA1D-F07D48AA77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9" authorId="0" shapeId="0" xr:uid="{68BD596C-A747-4C7B-8414-4F84949C5A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9" authorId="0" shapeId="0" xr:uid="{3E72405F-0ABB-4495-8CD9-A538F56F76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9" authorId="0" shapeId="0" xr:uid="{2C8A3B1D-6CD3-44B6-B95D-AF0F265CCD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9" authorId="0" shapeId="0" xr:uid="{2AF8C0E5-164B-474B-A05C-8B507E1247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9" authorId="0" shapeId="0" xr:uid="{FAC9414B-C063-421B-8CCB-2621505877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9" authorId="0" shapeId="0" xr:uid="{F5CE68F3-1E3A-46D8-B91B-1AE526F588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9" authorId="0" shapeId="0" xr:uid="{12304AF4-DDDB-45EB-B762-307BB94B28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9" authorId="0" shapeId="0" xr:uid="{F430FC50-222A-4898-B85C-8D4C097010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9" authorId="0" shapeId="0" xr:uid="{30D6A861-A4D2-4A96-9EB1-5164A5AC32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0" authorId="0" shapeId="0" xr:uid="{308492CE-F456-4362-B8E0-3245838287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0" authorId="0" shapeId="0" xr:uid="{85D1D816-6584-4F8C-98D4-9B84ABF492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0" authorId="0" shapeId="0" xr:uid="{DA76BD58-59CD-4429-BF2F-18A9016AAE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0" authorId="0" shapeId="0" xr:uid="{2363C3F4-590B-455B-A345-09F5E98429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0" authorId="0" shapeId="0" xr:uid="{1946B58C-3853-48EA-9332-3A670443A5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0" authorId="0" shapeId="0" xr:uid="{2A8A26BC-752C-4FF5-AE1C-CFE8A3E250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0" authorId="0" shapeId="0" xr:uid="{6C6F2409-E56A-4877-A3A9-A0AA5B3EE9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0" authorId="0" shapeId="0" xr:uid="{349BE96C-615D-42AD-B248-D2785700AC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0" authorId="0" shapeId="0" xr:uid="{78ABC037-92CF-4056-AC90-0F85C88509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0" authorId="0" shapeId="0" xr:uid="{CAE8434F-876F-46C0-B7C8-43C297B994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0" authorId="0" shapeId="0" xr:uid="{F77B0B79-3F05-4C6A-954A-061ECF2C13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1" authorId="0" shapeId="0" xr:uid="{7D5DBC15-D6D3-4727-9BC3-1BE35DA57E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1" authorId="0" shapeId="0" xr:uid="{4CCD7E37-74F1-4B65-8EBF-4BE5C2A0AE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1" authorId="0" shapeId="0" xr:uid="{690FD1F6-1E8A-4817-AC05-7BD85BDA3A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1" authorId="0" shapeId="0" xr:uid="{361A1745-6156-46D6-B0D0-D20CF77D3B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1" authorId="0" shapeId="0" xr:uid="{82D8B8A4-F674-45EA-94AA-1F77AF61E1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1" authorId="0" shapeId="0" xr:uid="{164DC4C9-DE96-4189-B748-50F98CC7FE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1" authorId="0" shapeId="0" xr:uid="{3604C6A6-F059-4D79-A928-C024C73BE1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1" authorId="0" shapeId="0" xr:uid="{AF550091-F310-460B-B871-CF9FC1DD22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1" authorId="0" shapeId="0" xr:uid="{EF3E841F-571C-4260-8B1B-BE1184AB4C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1" authorId="0" shapeId="0" xr:uid="{ACD1B5CF-B59F-4701-B79E-7974EFC5A5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1" authorId="0" shapeId="0" xr:uid="{9B55CB3D-1BAE-4E53-94E4-9E5340E9C7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1" authorId="0" shapeId="0" xr:uid="{93B423B7-9D8D-4499-BFA4-66472E83B9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1" authorId="0" shapeId="0" xr:uid="{DE28FFE2-E02F-4E17-A7B8-585F7A9B99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2" authorId="0" shapeId="0" xr:uid="{14C08E90-F771-4321-BB1C-AB5884D569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2" authorId="0" shapeId="0" xr:uid="{FFC9DD60-EC43-4AB2-832F-40201B8AEC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2" authorId="0" shapeId="0" xr:uid="{633ECB1B-B4BB-4175-B7D0-CA6F5287B8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2" authorId="0" shapeId="0" xr:uid="{B25C6D89-AAEF-478C-A48C-2788D66AE9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2" authorId="0" shapeId="0" xr:uid="{27C9CB08-D1FF-407F-9F93-29AA3BFC07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2" authorId="0" shapeId="0" xr:uid="{F6762E36-F894-489C-AF27-E93D35330A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2" authorId="0" shapeId="0" xr:uid="{453F6991-B2FD-47E4-A525-19A5A2E7DE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2" authorId="0" shapeId="0" xr:uid="{EEC71431-8E08-46E3-9287-64C53E5795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2" authorId="0" shapeId="0" xr:uid="{F9502C2E-5942-4DB1-AC40-4DFC43EA36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2" authorId="0" shapeId="0" xr:uid="{D48E4544-0023-4097-B846-99C8A4E3CB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2" authorId="0" shapeId="0" xr:uid="{55B4B6D4-6B9A-4FFA-A385-E50DBE8108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2" authorId="0" shapeId="0" xr:uid="{D3E78E89-1FA2-483A-A0F3-DAF9E8E468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2" authorId="0" shapeId="0" xr:uid="{4C47E44B-293C-4CCD-BEC3-D01890901F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2" authorId="0" shapeId="0" xr:uid="{D63EB791-074F-4631-AA06-603A50318D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2" authorId="0" shapeId="0" xr:uid="{D7B0E9A2-7660-48BB-9866-12A78338BC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2" authorId="0" shapeId="0" xr:uid="{270275B8-643D-4683-933D-BA2DBF89B3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62" authorId="0" shapeId="0" xr:uid="{8FEFDD9F-8210-4FF8-8F64-E9BC72A1D6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E63" authorId="0" shapeId="0" xr:uid="{77520C1A-9211-4C6F-A92D-EF4B34258C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3" authorId="0" shapeId="0" xr:uid="{9E98E157-77AB-4B75-8A4B-A61E7C90E6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3" authorId="0" shapeId="0" xr:uid="{4D3C0B6F-3420-4984-9E20-487C665769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3" authorId="0" shapeId="0" xr:uid="{83C919B7-1224-49E8-91C9-DB6D89B5CC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3" authorId="0" shapeId="0" xr:uid="{7F25CA27-9EA9-4AD6-B3D6-EB92480E55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3" authorId="0" shapeId="0" xr:uid="{E14BC384-D951-426C-BC25-B1FB158F9B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63" authorId="0" shapeId="0" xr:uid="{3D0C8153-64E7-42C2-9B49-3D3E84D1F8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3" authorId="0" shapeId="0" xr:uid="{2C9F1FC6-E71F-4F5D-A61C-306A412F14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3" authorId="0" shapeId="0" xr:uid="{3F9731A6-6DF2-4B17-A6E3-3F0267E581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3" authorId="0" shapeId="0" xr:uid="{93D877B0-A6D8-427B-872D-6B0B605369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3" authorId="0" shapeId="0" xr:uid="{C5B1D40C-DF6C-4315-B1C2-DBA2201FC2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3" authorId="0" shapeId="0" xr:uid="{D98D91A6-7219-45DA-A7C3-0D3AD3A0AB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3" authorId="0" shapeId="0" xr:uid="{5CBE5654-40F9-44A0-8F4A-9ABA878DA7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3" authorId="0" shapeId="0" xr:uid="{E7D06B4E-E297-4611-88B9-4F915AE638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3" authorId="0" shapeId="0" xr:uid="{F0058B9F-1DB4-4B85-8D1B-4B2F721D56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3" authorId="0" shapeId="0" xr:uid="{B76CC420-CF68-448D-9F3A-9A0E8C0811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G64" authorId="0" shapeId="0" xr:uid="{7093BD91-32EB-46B1-859A-FB27DAE226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4" authorId="0" shapeId="0" xr:uid="{B19E1BB6-33FB-4AA1-904C-1D7644F0D3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64" authorId="0" shapeId="0" xr:uid="{8DD35A81-5066-4F0D-83A5-300BA2EEDA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64" authorId="0" shapeId="0" xr:uid="{7C3EA899-8C2A-4A93-9985-4307EE5023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4" authorId="0" shapeId="0" xr:uid="{D8CFD957-544C-43A5-97F5-2C9CA26980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4" authorId="0" shapeId="0" xr:uid="{403EA288-A77C-49B3-844E-E2271975CC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4" authorId="0" shapeId="0" xr:uid="{598C6940-4166-4489-B1B4-8B925D847A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4" authorId="0" shapeId="0" xr:uid="{D408FDF5-9A0E-428C-AAFB-4700B94E0D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64" authorId="0" shapeId="0" xr:uid="{F779B29D-9422-449D-8DFA-A863E24D67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4" authorId="0" shapeId="0" xr:uid="{C14B21AA-02FF-4E33-AA62-CE3707402E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4" authorId="0" shapeId="0" xr:uid="{6C7557CF-01EA-4D8F-9ED1-A445D46576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4" authorId="0" shapeId="0" xr:uid="{BDBD4F45-EC87-4886-A8FD-B5D7B9D618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4" authorId="0" shapeId="0" xr:uid="{570907C4-2BAE-4337-8D0C-2FF5DC5D3B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4" authorId="0" shapeId="0" xr:uid="{F6E85A5C-9A27-4C77-9BBC-94D3E2D85E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4" authorId="0" shapeId="0" xr:uid="{89E4C309-3BBC-4AB2-9696-95539F1FA2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4" authorId="0" shapeId="0" xr:uid="{7DF6A80A-8EDD-4780-894C-F99F1EC4A2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4" authorId="0" shapeId="0" xr:uid="{E47ACAD8-2E20-4800-8543-3357C87CB6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4" authorId="0" shapeId="0" xr:uid="{E504BAAA-CAC5-4854-9BC3-4783D17AD5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5" authorId="0" shapeId="0" xr:uid="{0021D5D1-031B-4138-A9F4-5D7502E010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5" authorId="0" shapeId="0" xr:uid="{E6C17292-AB4E-4B32-AF52-030FEBD7F3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5" authorId="0" shapeId="0" xr:uid="{A8F22512-7EE8-4AB4-A91E-1E8EB1DACB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5" authorId="0" shapeId="0" xr:uid="{76CCE548-918F-44F5-A24F-51D656E89B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5" authorId="0" shapeId="0" xr:uid="{431D4F6C-C4AF-4057-B3CB-F673C426A8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5" authorId="0" shapeId="0" xr:uid="{C33F1415-925C-439B-B480-AE4DE03F56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5" authorId="0" shapeId="0" xr:uid="{B62FBA48-CD09-46D7-B74D-65E10AAC4F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5" authorId="0" shapeId="0" xr:uid="{7EA9C68F-3940-45E0-88FB-B385CA7F7D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5" authorId="0" shapeId="0" xr:uid="{3AFCF3BF-89BE-4778-A790-5580922BB2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5" authorId="0" shapeId="0" xr:uid="{07DF7AD3-4A31-405D-BBE0-5CBD5F329F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5" authorId="0" shapeId="0" xr:uid="{AE13B850-377C-40B3-9208-401E001F7F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6" authorId="0" shapeId="0" xr:uid="{0E1AF111-3A02-40DD-8EE9-4AACB00F71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6" authorId="0" shapeId="0" xr:uid="{63CDD90E-76F4-46AE-8DDB-0E3559D896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6" authorId="0" shapeId="0" xr:uid="{F69BC914-9CFB-470D-824C-CA2DE47987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6" authorId="0" shapeId="0" xr:uid="{ACF1E5C9-815A-4E77-8F8E-C1650E8FE5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6" authorId="0" shapeId="0" xr:uid="{5A175913-AE1D-4503-94AF-A0911A5A9E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6" authorId="0" shapeId="0" xr:uid="{096E8F72-8655-430B-8898-AA4072CCF2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6" authorId="0" shapeId="0" xr:uid="{8E42B45A-6BBE-449C-8244-858F37D8F2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6" authorId="0" shapeId="0" xr:uid="{74C93797-8297-464E-89E5-1AA46FE7C5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6" authorId="0" shapeId="0" xr:uid="{9F788A81-73FF-400F-876D-F788B3666F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6" authorId="0" shapeId="0" xr:uid="{12BF5CFB-3B02-4057-86F6-75EF3FC2BC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6" authorId="0" shapeId="0" xr:uid="{5A6F7D27-827C-4094-BCAD-0C0BBEB2B2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6" authorId="0" shapeId="0" xr:uid="{C2D2E086-8FAA-4716-B3E6-D453581015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6" authorId="0" shapeId="0" xr:uid="{7CA1B1EC-022C-4163-8C5C-9028FBE170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66" authorId="0" shapeId="0" xr:uid="{83B311CF-8EB9-44CE-8BFE-E70C85EC64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7" authorId="0" shapeId="0" xr:uid="{E8DE87B7-97F6-427D-B473-C6FE686BD4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7" authorId="0" shapeId="0" xr:uid="{23467F2F-3D94-4EC6-B374-6732AF48C9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7" authorId="0" shapeId="0" xr:uid="{91AC6803-6102-4032-BA9C-25377231E6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7" authorId="0" shapeId="0" xr:uid="{E344402D-8673-4571-A3C1-3867221571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7" authorId="0" shapeId="0" xr:uid="{EA97907C-0BA4-41A8-97DB-30CB83369B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7" authorId="0" shapeId="0" xr:uid="{79F5FAC5-D472-45C2-B48A-C5EABA8364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7" authorId="0" shapeId="0" xr:uid="{1ABDA875-7D7A-40FE-B362-65E17CE102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7" authorId="0" shapeId="0" xr:uid="{D620516D-7AE4-49BE-9EF8-0B79DD4166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7" authorId="0" shapeId="0" xr:uid="{8A666961-900F-42E0-90D6-3C43FBD4A0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7" authorId="0" shapeId="0" xr:uid="{1B328640-A328-4E67-9380-DACD51C834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7" authorId="0" shapeId="0" xr:uid="{907B53F0-1547-4BAB-B634-F08D9D7B2C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7" authorId="0" shapeId="0" xr:uid="{6EA0C092-19E3-4324-8817-4D38F8E8A1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7" authorId="0" shapeId="0" xr:uid="{B6B70FEA-2580-4037-B1B1-C150BA7F82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7" authorId="0" shapeId="0" xr:uid="{20BF8C7A-6503-46A3-9489-91D6C35E96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8" authorId="0" shapeId="0" xr:uid="{7CE64691-EC26-4F8B-834F-68D888F60F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8" authorId="0" shapeId="0" xr:uid="{6C9313A1-F88C-4020-A061-AA090385BB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8" authorId="0" shapeId="0" xr:uid="{CFF7EC9F-30A9-46B1-B780-E6D8886A7F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8" authorId="0" shapeId="0" xr:uid="{E333B090-B8A0-497E-A3C3-12B3B9012F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8" authorId="0" shapeId="0" xr:uid="{6913949A-4426-4B42-8A0D-3FA3890845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8" authorId="0" shapeId="0" xr:uid="{28DF1A17-0807-48A8-8212-F54EFD2934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8" authorId="0" shapeId="0" xr:uid="{3994A5E7-11F0-424A-AA10-8246BFCFA2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8" authorId="0" shapeId="0" xr:uid="{0537E21A-9A98-47B8-A9B4-38F60FB577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8" authorId="0" shapeId="0" xr:uid="{404E7E6B-7C6A-4600-B743-99B6E5290B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8" authorId="0" shapeId="0" xr:uid="{46801AD9-CA5D-4621-8C86-EA9553FF1D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8" authorId="0" shapeId="0" xr:uid="{ADC70F0E-8BA7-4271-A210-CFA25D8563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8" authorId="0" shapeId="0" xr:uid="{BE180E37-D954-4FD5-BB15-811B3AD407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9" authorId="0" shapeId="0" xr:uid="{09F5E469-33D5-4FF8-A6A8-05DA887195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9" authorId="0" shapeId="0" xr:uid="{47A931B0-1199-4398-9A0B-B09D428332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9" authorId="0" shapeId="0" xr:uid="{67DADFFA-0DFE-4FD9-B578-77861D96E7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9" authorId="0" shapeId="0" xr:uid="{19DAD9DA-317C-4B5D-B7B6-35FE7259D4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9" authorId="0" shapeId="0" xr:uid="{E3A98961-449F-4DA2-BA03-2C282594C0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9" authorId="0" shapeId="0" xr:uid="{C08CA320-D26C-48CA-A417-06557B09BD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9" authorId="0" shapeId="0" xr:uid="{C70886E7-B9A5-47B9-898E-B36DE84BFD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9" authorId="0" shapeId="0" xr:uid="{A1CA3802-4FCC-4109-9736-C38B2090B6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9" authorId="0" shapeId="0" xr:uid="{CC0D7FD0-94EC-4D7F-84AF-E231C3A121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9" authorId="0" shapeId="0" xr:uid="{FE3CEDD9-406D-4104-A5B1-9A5B897154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9" authorId="0" shapeId="0" xr:uid="{D4FE2484-55BD-456D-9D9B-F1703FBE01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9" authorId="0" shapeId="0" xr:uid="{2AF0732C-7424-444E-8A05-56106A7B44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9" authorId="0" shapeId="0" xr:uid="{731060A5-17CE-427D-A8EF-477C0AEC68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9" authorId="0" shapeId="0" xr:uid="{0D53AF4B-E0DC-415E-93DB-348372A0BA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9" authorId="0" shapeId="0" xr:uid="{37106A9C-AAA3-40DF-8D50-10B0AF68FA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9" authorId="0" shapeId="0" xr:uid="{515C9942-5008-4B1D-8B7D-E0DAA84392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9" authorId="0" shapeId="0" xr:uid="{9F2FBECC-D8D8-4F07-8D5E-E42E6B98FC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9" authorId="0" shapeId="0" xr:uid="{A1B765CD-D757-4FA4-B31B-12EB2BA439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0" authorId="0" shapeId="0" xr:uid="{D2FD2770-58DD-42A4-809B-762A633558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0" authorId="0" shapeId="0" xr:uid="{D58D409C-C8A7-4650-A7E0-0DC819D071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0" authorId="0" shapeId="0" xr:uid="{EF460520-9853-4978-A257-19F2A17B17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0" authorId="0" shapeId="0" xr:uid="{89A4959E-F20C-4829-87FE-818936F306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70" authorId="0" shapeId="0" xr:uid="{9F7FD954-6CF4-44F6-B260-E317EAE67F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0" authorId="0" shapeId="0" xr:uid="{D738D988-B76A-43CD-BB40-A3578D7C79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0" authorId="0" shapeId="0" xr:uid="{4FB66722-57B7-451E-A546-1265BCD65F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0" authorId="0" shapeId="0" xr:uid="{C6D9E57D-46C1-4B8E-ACB9-B3DEA52891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0" authorId="0" shapeId="0" xr:uid="{A96F0D88-C6E1-403D-81BE-88F43D5DA5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0" authorId="0" shapeId="0" xr:uid="{47936F14-602F-42F5-B089-57BE74F967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0" authorId="0" shapeId="0" xr:uid="{9C22D76D-2EDA-4E34-8AE0-B8C4FFBEEB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0" authorId="0" shapeId="0" xr:uid="{6A3980F0-C757-4243-83D6-D653F36962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0" authorId="0" shapeId="0" xr:uid="{A37852A4-DCAD-4C3A-88C7-1DD69DFFA5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0" authorId="0" shapeId="0" xr:uid="{73F21038-2920-40B2-B09D-FD33AC0F74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0" authorId="0" shapeId="0" xr:uid="{3A5C2AEC-9019-4A40-9E7C-23508F41E1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0" authorId="0" shapeId="0" xr:uid="{BB1D2A35-4032-496E-92D1-4E9F1E7EB4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1" authorId="0" shapeId="0" xr:uid="{496A5BAF-D1CB-49B1-BF50-A79D113A0D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1" authorId="0" shapeId="0" xr:uid="{0C6918F0-945E-4831-A878-92A094E308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1" authorId="0" shapeId="0" xr:uid="{A691018A-B050-4E8C-B239-B4DCCE8296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1" authorId="0" shapeId="0" xr:uid="{2FC90955-EEDF-4A43-A5C3-2382337B10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1" authorId="0" shapeId="0" xr:uid="{F6244859-F244-41D6-9AA7-2CA7594953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1" authorId="0" shapeId="0" xr:uid="{2624CAF1-C2FC-45A9-83F7-5AEC55EC29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1" authorId="0" shapeId="0" xr:uid="{1566E3F1-1558-4BCD-8887-EC73A35708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1" authorId="0" shapeId="0" xr:uid="{4CEC21C1-F733-4F99-92F1-3149BA2D5E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1" authorId="0" shapeId="0" xr:uid="{2BD70E1F-E63B-45E5-AD8F-968E563E54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1" authorId="0" shapeId="0" xr:uid="{440264A5-D818-4F94-A6A4-DB2E5A9778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1" authorId="0" shapeId="0" xr:uid="{0AE41B2F-425A-44C9-B096-4FA72739FD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2" authorId="0" shapeId="0" xr:uid="{DD6AB00C-0842-4CAC-AB0C-21C5036C7C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2" authorId="0" shapeId="0" xr:uid="{2548F25C-C751-45CF-8D38-90019C8235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2" authorId="0" shapeId="0" xr:uid="{B6A194CD-422F-433A-BD27-25B8EC0BC6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2" authorId="0" shapeId="0" xr:uid="{48623EA7-FF4E-4419-B9C5-0260095BA9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2" authorId="0" shapeId="0" xr:uid="{D1019C7E-3746-4DC8-A74F-787F134CC3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2" authorId="0" shapeId="0" xr:uid="{B348940B-DC88-474E-893B-96A3FFDDD2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2" authorId="0" shapeId="0" xr:uid="{1C764F49-FE28-4426-A99D-B56A213CE6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2" authorId="0" shapeId="0" xr:uid="{6A416B01-7D4D-4059-AAF8-FE4192CBF0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2" authorId="0" shapeId="0" xr:uid="{8E2FB6A9-BE33-4351-A403-7040650FD8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2" authorId="0" shapeId="0" xr:uid="{60EFED89-699D-4ACA-8D11-19C676DE44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2" authorId="0" shapeId="0" xr:uid="{BEB14698-ACE1-4C86-95D2-6CD39D2D81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2" authorId="0" shapeId="0" xr:uid="{AE312699-4A43-49B8-BD6E-F4E258496A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2" authorId="0" shapeId="0" xr:uid="{0335D521-65A0-4526-B8AB-3C297E299D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3" authorId="0" shapeId="0" xr:uid="{0D8485C2-75B4-4BFD-BC30-AB5A383AC8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3" authorId="0" shapeId="0" xr:uid="{239C3349-51AC-4371-B99D-D49E103C92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3" authorId="0" shapeId="0" xr:uid="{E17A42AB-ECBD-40E3-A510-F32D82C265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3" authorId="0" shapeId="0" xr:uid="{53C25DC9-B933-478C-95F9-DCB2704317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3" authorId="0" shapeId="0" xr:uid="{8A4B35F5-821B-4E39-8EC2-B5F3E75143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3" authorId="0" shapeId="0" xr:uid="{F8679186-BD52-4467-BD52-A8276BF16B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3" authorId="0" shapeId="0" xr:uid="{82969C1F-8394-4EEF-940B-854CC4A8CC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3" authorId="0" shapeId="0" xr:uid="{5F2B831D-07A1-4C6D-AF46-AA9A806756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3" authorId="0" shapeId="0" xr:uid="{13F067CD-9099-4C79-85E2-A057B33E57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3" authorId="0" shapeId="0" xr:uid="{CCC57992-18EC-46C2-915F-EEA8308EC3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3" authorId="0" shapeId="0" xr:uid="{1DBFFF68-1A60-47C8-A28B-3DD8003178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3" authorId="0" shapeId="0" xr:uid="{00953562-C339-45E5-AAD6-BF4549D667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3" authorId="0" shapeId="0" xr:uid="{9638FE7E-9B7D-42AB-905B-022FDC0A6F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74" authorId="0" shapeId="0" xr:uid="{24995B16-7DAF-49AF-A88A-2C754A5227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4" authorId="0" shapeId="0" xr:uid="{73D1DC18-5CDB-4E72-826F-C289683680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4" authorId="0" shapeId="0" xr:uid="{20A245B2-AAEE-4ED6-8278-2465EDDFAD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4" authorId="0" shapeId="0" xr:uid="{69BF98E4-39B9-4AC4-AC5D-17720E02E0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4" authorId="0" shapeId="0" xr:uid="{385BA196-3337-47FA-A432-CC93325D89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4" authorId="0" shapeId="0" xr:uid="{03A151FB-5157-4272-BF14-3C5AECC406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74" authorId="0" shapeId="0" xr:uid="{031B4F12-39DF-4E76-BB64-2889F625FF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4" authorId="0" shapeId="0" xr:uid="{4BF44853-ABFF-4563-90A5-A5100914B6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4" authorId="0" shapeId="0" xr:uid="{1D40B9ED-00D5-45CF-A8D5-AD119356D9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4" authorId="0" shapeId="0" xr:uid="{AEEAB0E4-5F77-4BA7-B20E-3ED6AB4E70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4" authorId="0" shapeId="0" xr:uid="{436B9398-7E3A-4128-9829-C39462A74E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4" authorId="0" shapeId="0" xr:uid="{1784F185-FC8E-41D7-A890-C8C583EF86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4" authorId="0" shapeId="0" xr:uid="{5712A3EE-7003-43BB-8E76-20971FF4AB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4" authorId="0" shapeId="0" xr:uid="{C6E7074F-FEBF-41F5-AC42-FAD6F52986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4" authorId="0" shapeId="0" xr:uid="{3A8227EA-9B49-432F-A401-ABB629DC16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4" authorId="0" shapeId="0" xr:uid="{DD056EBE-C2A8-4F6E-B779-38712B1085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4" authorId="0" shapeId="0" xr:uid="{3C8F715F-20B0-45FA-99A8-60DF1E352C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4" authorId="0" shapeId="0" xr:uid="{5D4245D5-3801-423C-87ED-B78ED76616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5" authorId="0" shapeId="0" xr:uid="{BABDF697-2F3C-4991-B8A6-DF681E9898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5" authorId="0" shapeId="0" xr:uid="{F647F4F3-A05C-4CCB-A3BE-CA0CD863A0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5" authorId="0" shapeId="0" xr:uid="{BA5376B7-18B9-4C3B-BBB0-50F2FFD8F3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5" authorId="0" shapeId="0" xr:uid="{E501738D-D992-4E3E-89AD-22389B3817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5" authorId="0" shapeId="0" xr:uid="{BF6748C8-222F-4347-B15D-B16574FFAF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5" authorId="0" shapeId="0" xr:uid="{DF116966-ACAE-4306-8785-D7ED0C5C3E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5" authorId="0" shapeId="0" xr:uid="{E08AB975-8F40-4D11-B592-BA6FEF8F0F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5" authorId="0" shapeId="0" xr:uid="{2C154D24-A6EC-4E0D-9F43-9E5AF4F58F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5" authorId="0" shapeId="0" xr:uid="{5061F3A1-7102-48B4-88EC-997E838C8B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5" authorId="0" shapeId="0" xr:uid="{EA2F193C-0978-4AD6-8A2F-FAD4A79EB2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5" authorId="0" shapeId="0" xr:uid="{8C34A8B4-6AEA-48ED-9D8E-A96E07B0C6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5" authorId="0" shapeId="0" xr:uid="{8FBCB41A-9CCB-49FD-BBA2-51A1DB1916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5" authorId="0" shapeId="0" xr:uid="{A53B8E0C-28E2-4D75-81D5-9D0AFEFB01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5" authorId="0" shapeId="0" xr:uid="{7FB7202E-FF3A-4878-9B48-DFB11787D3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5" authorId="0" shapeId="0" xr:uid="{551F844F-28E2-4113-B303-7BA8949616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76" authorId="0" shapeId="0" xr:uid="{E7C10CD6-77CA-4746-818B-A3AFB9C9C2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6" authorId="0" shapeId="0" xr:uid="{43A0EB04-A86E-4CA8-9B3C-8E109652B6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6" authorId="0" shapeId="0" xr:uid="{A7F8474A-AA5C-455A-9EA8-9E31D8CE2F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6" authorId="0" shapeId="0" xr:uid="{076B77C1-5AA9-41AE-8B2E-6197F73930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6" authorId="0" shapeId="0" xr:uid="{04B749D7-53CF-45A4-AACF-BE4A6C9FC6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6" authorId="0" shapeId="0" xr:uid="{00C746EA-75A1-4626-A211-DF9E780E4F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6" authorId="0" shapeId="0" xr:uid="{F64362A7-E338-4CA3-AD20-BE44ECC507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6" authorId="0" shapeId="0" xr:uid="{1D668343-B165-4BED-A069-12BE60017E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6" authorId="0" shapeId="0" xr:uid="{3CF53D33-D778-4CC8-9382-48AE2C3F1E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6" authorId="0" shapeId="0" xr:uid="{2FC89FBA-F91F-4B63-BBFE-D0E372DDDE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6" authorId="0" shapeId="0" xr:uid="{4D6F1831-64F9-471A-BAD2-C9F9900432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6" authorId="0" shapeId="0" xr:uid="{5755F21F-3ABA-4556-8AD1-345B66E920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6" authorId="0" shapeId="0" xr:uid="{EAE9FE78-981D-48AA-9518-C663E03DCC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6" authorId="0" shapeId="0" xr:uid="{547CE3C6-7656-46C7-9A45-6DB80D483E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7" authorId="0" shapeId="0" xr:uid="{F792420F-D7D3-421F-8839-42A80966DA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7" authorId="0" shapeId="0" xr:uid="{B849082B-04C0-4CE7-82D6-63732168F2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7" authorId="0" shapeId="0" xr:uid="{89B5F09A-AC2F-46A5-BC99-DD5AF963EE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7" authorId="0" shapeId="0" xr:uid="{891F8823-459C-4679-9234-C52BF62976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7" authorId="0" shapeId="0" xr:uid="{EE53E8FE-5059-45B7-9317-55EB27A7A3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7" authorId="0" shapeId="0" xr:uid="{59C06FF7-AB9D-4340-85C8-05976054CA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7" authorId="0" shapeId="0" xr:uid="{29D35065-4F7C-490A-A74C-93F1B3B7A2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7" authorId="0" shapeId="0" xr:uid="{637518C0-73AA-4042-86F4-B2BE9ED815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7" authorId="0" shapeId="0" xr:uid="{12492EC2-1A7C-4624-B63D-C325C94E12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7" authorId="0" shapeId="0" xr:uid="{83FEF6E5-4AB5-46D8-9B43-F6AA86EE3E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7" authorId="0" shapeId="0" xr:uid="{BD4FB844-DE21-4B03-9093-E8AC811A58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7" authorId="0" shapeId="0" xr:uid="{BCB5B2AD-40AF-4B1D-9A8F-43FBAA7943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8" authorId="0" shapeId="0" xr:uid="{E17E1ACB-2E4F-48D6-BEC0-DB7D8BD3A9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8" authorId="0" shapeId="0" xr:uid="{D1AAC70D-E635-4EAE-A84C-8602D8A1D4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8" authorId="0" shapeId="0" xr:uid="{68538C6F-D527-49FD-B0F9-901FD786D9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8" authorId="0" shapeId="0" xr:uid="{93575A19-82FE-414C-8625-206ABF34BE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8" authorId="0" shapeId="0" xr:uid="{F53198CD-790F-41B5-AD18-6E38F4697A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8" authorId="0" shapeId="0" xr:uid="{E5D52251-7705-4E74-8B94-A6613C82D5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8" authorId="0" shapeId="0" xr:uid="{45883EC1-EDE9-4C9B-BDD4-DB4E0B0828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8" authorId="0" shapeId="0" xr:uid="{EB520345-A6FF-44C9-9511-F2FF7FA3B3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8" authorId="0" shapeId="0" xr:uid="{B0ED39FF-7EEB-4A17-ABE8-0ECB7A7066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8" authorId="0" shapeId="0" xr:uid="{8A99D65A-0259-44C4-B4C2-8802355250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8" authorId="0" shapeId="0" xr:uid="{3CFD73EA-2BDC-43DD-8A36-93FAF61F6C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8" authorId="0" shapeId="0" xr:uid="{511F5DC9-CA3E-4D7B-A1BF-7AAFAE8414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8" authorId="0" shapeId="0" xr:uid="{0786EE8F-C1FB-41B1-8443-80BA4841A6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8" authorId="0" shapeId="0" xr:uid="{143DAA44-0FD5-46E3-8257-192154D2F2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8" authorId="0" shapeId="0" xr:uid="{C456D45C-27F5-4354-B4AE-3C0962625E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9" authorId="0" shapeId="0" xr:uid="{4EDAB464-3803-478E-ABE7-184E65EE75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9" authorId="0" shapeId="0" xr:uid="{8F223D90-71B1-42BE-A8F1-716B149334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9" authorId="0" shapeId="0" xr:uid="{74C5C4DB-4FB7-46DD-BBC5-F7929A8A5D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79" authorId="0" shapeId="0" xr:uid="{3596026E-7BD3-492D-8B8A-B7DFBF142B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9" authorId="0" shapeId="0" xr:uid="{800E469C-A7FC-4804-9D37-06B5AEAFE3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9" authorId="0" shapeId="0" xr:uid="{DDF5FB49-0036-40AC-880E-04F840808F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9" authorId="0" shapeId="0" xr:uid="{4E0EEC92-6730-427A-9A00-8CDB4A8A33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9" authorId="0" shapeId="0" xr:uid="{C72BB9A6-920A-4F0E-B036-DD7F955E18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9" authorId="0" shapeId="0" xr:uid="{6DD58949-22E0-43B5-BA1A-7665899909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9" authorId="0" shapeId="0" xr:uid="{29140B22-D702-46CC-9F15-FFAC7D7F4F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9" authorId="0" shapeId="0" xr:uid="{71068C34-5782-4499-B0D3-F8A780F177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9" authorId="0" shapeId="0" xr:uid="{387A92AF-E66F-4A27-A65C-19C967301E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9" authorId="0" shapeId="0" xr:uid="{BCA8D99A-B144-4DFB-8733-BF76019934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9" authorId="0" shapeId="0" xr:uid="{87D6A9C8-A4AF-4C08-94B2-4D13DA64A9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79" authorId="0" shapeId="0" xr:uid="{973ED6CB-AB8B-43DF-BCC3-DEBBA2754A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0" authorId="0" shapeId="0" xr:uid="{75141689-83CA-400C-B3E9-E63501DC1A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0" authorId="0" shapeId="0" xr:uid="{1C2771EB-BBC0-4E09-8D6D-A364918CCB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0" authorId="0" shapeId="0" xr:uid="{D5D34913-F379-4458-94E9-1920F625AA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1" authorId="0" shapeId="0" xr:uid="{DCF543A8-043F-4016-B081-6D7E1B9352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1" authorId="0" shapeId="0" xr:uid="{D0C990C5-C00D-4931-94C1-69FB2062DC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1" authorId="0" shapeId="0" xr:uid="{1D502529-4D1F-48D3-81A3-E7DC4174A9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2" authorId="0" shapeId="0" xr:uid="{A885F85F-B1F0-4432-BAC9-40966D7685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2" authorId="0" shapeId="0" xr:uid="{960DA64E-B609-48F2-AF1B-D2E7FD858E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2" authorId="0" shapeId="0" xr:uid="{F4D7D2C3-36BD-49EB-9942-3CE5407D7B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2" authorId="0" shapeId="0" xr:uid="{45021EBB-C4AC-41D6-9C94-B8518AFDDA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2" authorId="0" shapeId="0" xr:uid="{BFCE5915-59E0-453A-8788-AE174B8F62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2" authorId="0" shapeId="0" xr:uid="{F5907CC7-4D9D-49C6-B9FC-EC782F8E97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2" authorId="0" shapeId="0" xr:uid="{56B15AE4-33E0-476E-BD3B-F84A045FC9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2" authorId="0" shapeId="0" xr:uid="{34914014-3A13-4295-80F1-1DFCA7B1C0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2" authorId="0" shapeId="0" xr:uid="{FEA1BEE6-F155-4E91-83D0-921A6CBBC3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3" authorId="0" shapeId="0" xr:uid="{3444D750-85F4-4A95-A0FE-C51DD9AF3E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3" authorId="0" shapeId="0" xr:uid="{CD0220FA-A286-4BAE-A187-8F1A5A8351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3" authorId="0" shapeId="0" xr:uid="{75116D34-59E3-4C6D-8078-E41365C633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3" authorId="0" shapeId="0" xr:uid="{85D3C20E-2C68-4836-80FB-BFB0D9B070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4" authorId="0" shapeId="0" xr:uid="{99BABED7-F401-4297-8DAE-3DF0D2D2BA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4" authorId="0" shapeId="0" xr:uid="{98BAB548-3705-43D0-97F1-B661D2EE7D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4" authorId="0" shapeId="0" xr:uid="{99ACACAC-6CBA-43AD-BA61-DD8F69565A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4" authorId="0" shapeId="0" xr:uid="{AF0575E8-6737-4366-9832-C813F14DCA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4" authorId="0" shapeId="0" xr:uid="{C7FF7F64-98A8-4145-B406-5D5ADE6D18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4" authorId="0" shapeId="0" xr:uid="{588E510C-3C86-4B5F-BEE9-4EDFF1199E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4" authorId="0" shapeId="0" xr:uid="{CE20C4AD-F3D4-4A3D-99E5-F9AA890F4F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4" authorId="0" shapeId="0" xr:uid="{DFA60FAA-6C5C-48E4-96B5-4CD92F223C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5" authorId="0" shapeId="0" xr:uid="{33B6FFD3-1747-4A0D-9B47-2A5EA40636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85" authorId="0" shapeId="0" xr:uid="{7554480D-5D6F-4730-AC1D-FFCA01D03D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85" authorId="0" shapeId="0" xr:uid="{A2AB834D-5819-43A6-A749-CE3B2663E6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5" authorId="0" shapeId="0" xr:uid="{854FEF5E-D373-4B96-99F2-94E202DE27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5" authorId="0" shapeId="0" xr:uid="{DA96930E-DC42-4369-B023-341C964EBF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5" authorId="0" shapeId="0" xr:uid="{9DA1C9FF-4032-4056-922C-43E19199A0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5" authorId="0" shapeId="0" xr:uid="{87E10CD6-BA53-4AF7-B6A2-83E04F9CBD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5" authorId="0" shapeId="0" xr:uid="{DA5DC9CD-0DFC-4D08-95F0-36767EC7C9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5" authorId="0" shapeId="0" xr:uid="{614202D8-E898-4FC5-883A-30D215CFB0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5" authorId="0" shapeId="0" xr:uid="{ADD53994-B7BD-4FEF-9F7C-8866D91704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5" authorId="0" shapeId="0" xr:uid="{8A2A06AD-2CAC-450D-A646-9053E34C58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6" authorId="0" shapeId="0" xr:uid="{6344801E-CF91-4BDB-BF02-C917E58D4B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86" authorId="0" shapeId="0" xr:uid="{7861CFDA-D276-42EB-8C16-3CBCDBC38B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6" authorId="0" shapeId="0" xr:uid="{DE89A818-1056-460C-84AA-3DFE3A028D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6" authorId="0" shapeId="0" xr:uid="{EECA30EB-CA5F-4A92-8893-0F0952F06E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6" authorId="0" shapeId="0" xr:uid="{EA7694A5-93B9-4F33-B1D2-63BCD257B9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6" authorId="0" shapeId="0" xr:uid="{60163F67-2466-40C4-8D56-139318EDF3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6" authorId="0" shapeId="0" xr:uid="{F31B385A-3BD1-48F1-A7EE-64504F3F9C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6" authorId="0" shapeId="0" xr:uid="{8E2A7AE6-5BF7-4449-A0FD-FC72FC3DCF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87" authorId="0" shapeId="0" xr:uid="{27955D04-9369-47FA-BDEB-3DC287CE30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87" authorId="0" shapeId="0" xr:uid="{6B2E591B-874D-4DC0-B84F-8B13830D3F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7" authorId="0" shapeId="0" xr:uid="{CAD94981-C21B-4BDD-B9D3-33D7F5140F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87" authorId="0" shapeId="0" xr:uid="{60680F16-A949-47F5-AC2F-21073DCFB7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7" authorId="0" shapeId="0" xr:uid="{7ABD55E4-4F21-4DD6-A664-2EEC62C636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7" authorId="0" shapeId="0" xr:uid="{5B50D943-E48C-4A29-952B-37D440EE41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7" authorId="0" shapeId="0" xr:uid="{C948F6DC-3AF4-427C-9F1C-B5B2986E20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7" authorId="0" shapeId="0" xr:uid="{6FFF0963-31B9-4EA3-ADDF-BAEB73D9DD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7" authorId="0" shapeId="0" xr:uid="{4EB07C08-30E2-411E-A608-FB7CBFBB0F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7" authorId="0" shapeId="0" xr:uid="{54DB96BA-DF39-4F5E-9A02-ECD1C43ACB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7" authorId="0" shapeId="0" xr:uid="{AFF495DB-4F76-48A7-9D48-94D2A16B31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7" authorId="0" shapeId="0" xr:uid="{6EEBC0E8-1C68-42A9-8E3F-4281027136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7" authorId="0" shapeId="0" xr:uid="{E7C0B01E-52A5-4759-95B7-1092E13B23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7" authorId="0" shapeId="0" xr:uid="{2BA289B7-246D-4677-94E5-34FB0FA5B8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88" authorId="0" shapeId="0" xr:uid="{3EAD69EC-B169-4D09-965B-DFA7B5A104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88" authorId="0" shapeId="0" xr:uid="{76B06F9B-AFAB-45B1-B76F-0461D2D206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88" authorId="0" shapeId="0" xr:uid="{E7E2F54F-2B3D-40AC-A896-09A67CDEA9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88" authorId="0" shapeId="0" xr:uid="{20D597E8-5AAF-4664-A08D-BB15306E42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8" authorId="0" shapeId="0" xr:uid="{6970A884-056D-4BFA-A0FB-DB26AEB848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8" authorId="0" shapeId="0" xr:uid="{34CC5964-E1C9-495B-A46F-5E0A9E1807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8" authorId="0" shapeId="0" xr:uid="{64F6D779-ABE1-4768-870F-F726AFF61C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8" authorId="0" shapeId="0" xr:uid="{0FC5DF2E-A6F9-4311-823C-F2A9EB1F97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8" authorId="0" shapeId="0" xr:uid="{71A8C695-021B-4573-9022-C29BC436B2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8" authorId="0" shapeId="0" xr:uid="{CDFDB163-26CB-4872-A6C7-FCEFA375A1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8" authorId="0" shapeId="0" xr:uid="{EB2F61AF-F07A-4A47-A233-D442CC4CC8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8" authorId="0" shapeId="0" xr:uid="{2519214B-D817-4409-A102-300F7E0E5E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8" authorId="0" shapeId="0" xr:uid="{1B254F4A-B117-4191-92C2-0B38F5F1C0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8" authorId="0" shapeId="0" xr:uid="{934F5245-E41E-4CEB-8AD6-04EE364B4B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8" authorId="0" shapeId="0" xr:uid="{E5C448D4-C495-4F15-906B-C49DDD9609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8" authorId="0" shapeId="0" xr:uid="{71361345-03D0-47DD-A867-9F8AC7271B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89" authorId="0" shapeId="0" xr:uid="{19233A27-C2FF-4F0E-B7EB-893D35E42B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9" authorId="0" shapeId="0" xr:uid="{07B09FBD-D2D2-4E74-B359-DC3827FEC4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9" authorId="0" shapeId="0" xr:uid="{64FE10C7-D632-4414-827C-0ACEC0416C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9" authorId="0" shapeId="0" xr:uid="{7633282A-BF2F-4F2D-A8B2-B555E29B14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9" authorId="0" shapeId="0" xr:uid="{63DF407B-7C2E-40B8-A26C-D9D6ECD448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9" authorId="0" shapeId="0" xr:uid="{D46CC232-4BA4-44E6-BF4D-35DF813858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9" authorId="0" shapeId="0" xr:uid="{34F159FB-115B-4DA3-B8A3-F433FA14EA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9" authorId="0" shapeId="0" xr:uid="{30DE85FE-B448-4106-A1E6-A54872CE74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9" authorId="0" shapeId="0" xr:uid="{40E030F8-7145-4266-BC27-9D0D74687B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0" authorId="0" shapeId="0" xr:uid="{5BB76A09-C259-473B-A4AD-7C7E92E908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0" authorId="0" shapeId="0" xr:uid="{21545101-D67E-4395-9274-295B0108C3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0" authorId="0" shapeId="0" xr:uid="{B1F6F86A-9357-4857-A657-CEF9F98FB3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0" authorId="0" shapeId="0" xr:uid="{87B57DCC-52EE-4ECA-A0BE-0D6E779DB3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0" authorId="0" shapeId="0" xr:uid="{0AD0FB16-EF32-4F15-AA22-BF6D779298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0" authorId="0" shapeId="0" xr:uid="{3A59A06F-C8B5-4DEE-8041-4208571FD9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0" authorId="0" shapeId="0" xr:uid="{D551EC2F-D4E0-405E-91FE-5540219F40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0" authorId="0" shapeId="0" xr:uid="{677C97F5-02A7-4F6B-B390-A70FAAFC1D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0" authorId="0" shapeId="0" xr:uid="{D8100DB9-C8FA-4D92-84D4-46657992F1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0" authorId="0" shapeId="0" xr:uid="{46464DCF-3E3C-49DC-AB48-F6ED0007D9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0" authorId="0" shapeId="0" xr:uid="{1D12B25F-793F-4FDB-9B04-7D9FDC8FBB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0" authorId="0" shapeId="0" xr:uid="{8DEC1111-6544-4C2A-B195-2397B3D764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0" authorId="0" shapeId="0" xr:uid="{3D66E035-14CB-4F71-A563-025BDF0429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0" authorId="0" shapeId="0" xr:uid="{896147F2-54CD-4ABE-B811-F5866C8474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0" authorId="0" shapeId="0" xr:uid="{EDD00FCC-2BAC-49DE-A897-E5FC275F39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1" authorId="0" shapeId="0" xr:uid="{504ED44F-A08E-4D1E-9DF7-DE6B65B5C0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1" authorId="0" shapeId="0" xr:uid="{E509E600-65D7-421F-8DDC-0E81CB0F7B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1" authorId="0" shapeId="0" xr:uid="{61B27B0C-B8B2-485C-99F5-C9D9CACD47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1" authorId="0" shapeId="0" xr:uid="{3A45C484-DA33-49F2-8535-097F191061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1" authorId="0" shapeId="0" xr:uid="{C86CF8CB-67E3-4F47-8BE2-259F68E751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1" authorId="0" shapeId="0" xr:uid="{DA2CD8B6-FD66-4BDD-8510-BC45341F67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1" authorId="0" shapeId="0" xr:uid="{CA377D11-160A-4048-8DA3-43B88F0AAC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1" authorId="0" shapeId="0" xr:uid="{72559446-63AF-431B-9444-B7AA7FC106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1" authorId="0" shapeId="0" xr:uid="{15E2BE92-7D3E-4906-B7AC-862345A973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1" authorId="0" shapeId="0" xr:uid="{9044E693-DC32-42CE-9EB4-062F192A13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1" authorId="0" shapeId="0" xr:uid="{1525E454-7853-40FB-B033-D1621F65D8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2" authorId="0" shapeId="0" xr:uid="{E068CA16-09D0-41C4-8E1A-DAEA632B5F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2" authorId="0" shapeId="0" xr:uid="{6D52E93A-AEAF-4343-9BF5-18EAB338D6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2" authorId="0" shapeId="0" xr:uid="{F05FA6A9-A08F-4248-AAA1-A70A3712B3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92" authorId="0" shapeId="0" xr:uid="{2F887595-9073-4BFD-8895-3689661D0E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2" authorId="0" shapeId="0" xr:uid="{1ADD4051-3F25-4FC0-95A5-DCF7174E9D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2" authorId="0" shapeId="0" xr:uid="{FEA9A032-885D-4084-A339-EB69273ACE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2" authorId="0" shapeId="0" xr:uid="{2BA7AD78-8F90-4BBE-94D7-09B0AC4BF2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2" authorId="0" shapeId="0" xr:uid="{41342D21-22DC-44B1-B796-9976019DBF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2" authorId="0" shapeId="0" xr:uid="{36A5B543-D020-42D0-8147-1A6D2B8291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2" authorId="0" shapeId="0" xr:uid="{F82F81EB-FE9C-4A2F-8022-057AD3EC56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2" authorId="0" shapeId="0" xr:uid="{74252496-D3F4-495D-AC33-39BB0D2862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2" authorId="0" shapeId="0" xr:uid="{907F6A48-8424-4040-B691-8D43AF3F9F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2" authorId="0" shapeId="0" xr:uid="{14FAD01A-E545-4DEC-8156-A0D0B69FC0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2" authorId="0" shapeId="0" xr:uid="{9AE65E7E-C849-4F1E-AC13-B23C13230F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2" authorId="0" shapeId="0" xr:uid="{00B92E7B-94E6-484B-8158-0EA29651A5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3" authorId="0" shapeId="0" xr:uid="{5F060B63-4FA2-4265-AFAC-48C0156EE7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3" authorId="0" shapeId="0" xr:uid="{39CADE0D-DCC6-48BE-8613-58F5F0831C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3" authorId="0" shapeId="0" xr:uid="{B8BC4836-1911-427E-A54C-9343D64AD5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3" authorId="0" shapeId="0" xr:uid="{48665359-DAE4-4788-8BE2-543FE74033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93" authorId="0" shapeId="0" xr:uid="{861559EA-5ACB-425B-9107-93BE087479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93" authorId="0" shapeId="0" xr:uid="{35B3B1C7-B8CD-4255-B644-C690FD4C56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3" authorId="0" shapeId="0" xr:uid="{9BF82018-A61B-4B61-9D85-AFDB615BAB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3" authorId="0" shapeId="0" xr:uid="{8655C5C1-ACAA-40FA-9958-54669E52E5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3" authorId="0" shapeId="0" xr:uid="{80E06646-5C1F-4D17-A54B-D0527CCE86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3" authorId="0" shapeId="0" xr:uid="{B1E667EE-40B9-4092-B1B9-084C49241B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3" authorId="0" shapeId="0" xr:uid="{C8240E84-D2AE-47E3-BC98-4B4921C9AA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3" authorId="0" shapeId="0" xr:uid="{57096CB5-BBBD-479F-9183-47C4CD1DAD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3" authorId="0" shapeId="0" xr:uid="{7C081F0E-3D89-494E-A448-6EA52318E2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3" authorId="0" shapeId="0" xr:uid="{408D50C0-0630-4F60-9D04-01A99F3C29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3" authorId="0" shapeId="0" xr:uid="{8DD17724-E5B2-4347-A809-792330BA5F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3" authorId="0" shapeId="0" xr:uid="{14800738-5B7C-4015-B378-D6350AF32F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3" authorId="0" shapeId="0" xr:uid="{08C1B1B6-B6A8-4B0A-9C2E-4BA9AC4599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93" authorId="0" shapeId="0" xr:uid="{90101DBC-625A-4CE2-A4B2-80B77B2043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G94" authorId="0" shapeId="0" xr:uid="{D62C27D2-D362-4F68-AA68-2DBCACA826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4" authorId="0" shapeId="0" xr:uid="{3E21E5C6-FC26-4010-AC62-704ADDEC97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94" authorId="0" shapeId="0" xr:uid="{1D627B39-F795-4198-A3EC-832FBC9186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4" authorId="0" shapeId="0" xr:uid="{2090B344-D9F5-446A-A4B5-D529DE153A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4" authorId="0" shapeId="0" xr:uid="{6AB2254F-620B-4C8E-A43C-D05A622674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4" authorId="0" shapeId="0" xr:uid="{A1324F8A-1117-432F-B664-F3042F731E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4" authorId="0" shapeId="0" xr:uid="{D04EC83B-BAB2-4D35-8C3D-B94CF085F1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4" authorId="0" shapeId="0" xr:uid="{1360BB1C-056B-4000-9B56-33706C9B59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4" authorId="0" shapeId="0" xr:uid="{F1321550-8492-4E79-A893-0AE4F959CF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4" authorId="0" shapeId="0" xr:uid="{8B97B1DA-6ED6-42C4-A37B-2063DC6917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4" authorId="0" shapeId="0" xr:uid="{D860DD84-2F1D-4607-935E-7E9DABBC95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4" authorId="0" shapeId="0" xr:uid="{12CED326-5CB7-44AD-903B-254C8C0116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4" authorId="0" shapeId="0" xr:uid="{C8A9E306-8810-465D-80EA-522BEC46E0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4" authorId="0" shapeId="0" xr:uid="{56D57959-FF9C-4AC1-A7F1-7A85DBC6A6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4" authorId="0" shapeId="0" xr:uid="{0DFCCBE3-F81D-4604-821E-2F477206FC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4" authorId="0" shapeId="0" xr:uid="{44AA79F4-016A-45C4-80CA-17B38C8C04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4" authorId="0" shapeId="0" xr:uid="{E32875F1-4747-436D-AC3A-B913BCBAAD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4" authorId="0" shapeId="0" xr:uid="{BA962C0B-13AB-47F4-AA0A-15669C0F7F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4" authorId="0" shapeId="0" xr:uid="{7E216D46-871E-4111-8026-2605A03AB1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5" authorId="0" shapeId="0" xr:uid="{75E13613-7B7C-490D-8CF3-EA79B7FF62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5" authorId="0" shapeId="0" xr:uid="{97339E01-9901-445A-B9D8-383169B114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5" authorId="0" shapeId="0" xr:uid="{DAD1C2D3-6C69-4193-A247-07059DF7CC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95" authorId="0" shapeId="0" xr:uid="{50D2F615-52A0-4511-A2C7-49A9B9AC60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5" authorId="0" shapeId="0" xr:uid="{DE7848B9-148B-4BFF-8176-3A0BAD2349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5" authorId="0" shapeId="0" xr:uid="{828944BD-13ED-4BB8-97AE-CF511117C8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5" authorId="0" shapeId="0" xr:uid="{2CFE4D6C-05CF-4C5C-9B41-B7CEEDB0BA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5" authorId="0" shapeId="0" xr:uid="{5B8B92B5-939F-4A81-8EB8-C21D4AEBB9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5" authorId="0" shapeId="0" xr:uid="{6F8D7FAD-7F04-4675-8F33-AB58FDF032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5" authorId="0" shapeId="0" xr:uid="{34966370-537F-4942-825E-B215945964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5" authorId="0" shapeId="0" xr:uid="{90EE6DFF-6D26-48D1-810A-511E6700DB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5" authorId="0" shapeId="0" xr:uid="{A14B99F8-3E5A-465B-8696-FF0A343EF4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5" authorId="0" shapeId="0" xr:uid="{0122C008-0D48-43A5-A343-3E1284FF55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5" authorId="0" shapeId="0" xr:uid="{F840171E-E366-4492-BC4D-0292CDFAAC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6" authorId="0" shapeId="0" xr:uid="{69677212-6204-4221-94DC-C84C3484EE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6" authorId="0" shapeId="0" xr:uid="{8820B5AE-3DA5-4A42-9469-1536674930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6" authorId="0" shapeId="0" xr:uid="{89DD8190-B3A1-4A6C-B487-4887AA9A3D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6" authorId="0" shapeId="0" xr:uid="{DBC23899-3476-4DF5-8DE7-185D8C60F5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6" authorId="0" shapeId="0" xr:uid="{5363F01A-7C2D-4DD1-86EE-A07AD12D78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97" authorId="0" shapeId="0" xr:uid="{9EFA5F6E-ADAD-4AF8-8A04-4DC0582150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7" authorId="0" shapeId="0" xr:uid="{FC17985C-64D3-4ECA-BA27-DDABDC7377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7" authorId="0" shapeId="0" xr:uid="{7289B0AE-5C16-4B95-95D5-1C72BC708D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7" authorId="0" shapeId="0" xr:uid="{D3ED63BD-1E50-4CB2-A8E0-72AAAD647E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7" authorId="0" shapeId="0" xr:uid="{3AB5D3DC-B500-4C2B-AD36-AFE75192FB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7" authorId="0" shapeId="0" xr:uid="{DDD80D5E-4D23-49B9-B100-AF85D5B88B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7" authorId="0" shapeId="0" xr:uid="{C86B0AA4-481D-49A3-B9E3-D966655779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8" authorId="0" shapeId="0" xr:uid="{0544834D-4573-4C13-9FB9-20BEC45368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8" authorId="0" shapeId="0" xr:uid="{C2150F70-F136-4210-91BD-750A4630EC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8" authorId="0" shapeId="0" xr:uid="{FF7EFABE-D0D7-497E-9601-417579A3AF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8" authorId="0" shapeId="0" xr:uid="{9EEDC985-3089-48E2-9DFB-5FEF11AFDE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8" authorId="0" shapeId="0" xr:uid="{A240D5BC-21D4-45C6-BD52-B152C2C3D9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8" authorId="0" shapeId="0" xr:uid="{B0DCB40F-FE54-4B41-8AF4-30F48BBE65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8" authorId="0" shapeId="0" xr:uid="{749BF38D-3FA3-4DB2-9A06-FE4CFB2744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8" authorId="0" shapeId="0" xr:uid="{C0E3B341-5F86-4112-8DE4-227000F022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9" authorId="0" shapeId="0" xr:uid="{6A63BF44-5665-4A0D-A241-CC40FE6C99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9" authorId="0" shapeId="0" xr:uid="{4BBFFD00-5E18-488B-BC98-5E6D226D22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9" authorId="0" shapeId="0" xr:uid="{1933BD65-356A-40C6-AB8C-AB734198A4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9" authorId="0" shapeId="0" xr:uid="{C4FD33A9-217E-480A-B336-6E5A7307D0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9" authorId="0" shapeId="0" xr:uid="{2E187994-CD24-4DA5-9935-D8B17F9F18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9" authorId="0" shapeId="0" xr:uid="{94D7D7B7-5304-4B52-9D97-F73980F392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9" authorId="0" shapeId="0" xr:uid="{2E12C423-93A5-43F1-A635-501A6C6E7A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9" authorId="0" shapeId="0" xr:uid="{366B6DD1-57F2-46EE-B429-83ADB03AFA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9" authorId="0" shapeId="0" xr:uid="{269C5EA3-86B3-4E5A-BE43-B5CABFC44F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9" authorId="0" shapeId="0" xr:uid="{0FAD26F4-8D7D-487B-A93D-FCD7D7E480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00" authorId="0" shapeId="0" xr:uid="{B3754BC1-857F-4421-A278-27CC442870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00" authorId="0" shapeId="0" xr:uid="{5947E471-5A24-4190-BA6A-B0C7DD0B3E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0" authorId="0" shapeId="0" xr:uid="{8D3F93A9-D947-4424-9E07-FAD6F7B353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100" authorId="0" shapeId="0" xr:uid="{BF29BB08-7DAD-4800-9211-7BF382C98B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00" authorId="0" shapeId="0" xr:uid="{91EB4E6E-563D-4EFD-B299-A59C1D2A51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00" authorId="0" shapeId="0" xr:uid="{BAC2157A-B2CE-480A-92BC-155BD51FDA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0" authorId="0" shapeId="0" xr:uid="{FA6B2235-52E5-423A-90DB-8EE39EE69C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0" authorId="0" shapeId="0" xr:uid="{FFE3ADC8-1C5B-4D35-9C40-6291B8F2DE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0" authorId="0" shapeId="0" xr:uid="{7B2F737B-D31F-4713-B032-9A2ED144CE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0" authorId="0" shapeId="0" xr:uid="{AE71EA95-94D7-4FD9-8031-BFC0AC0F34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0" authorId="0" shapeId="0" xr:uid="{95CEDFFF-CDD0-43F3-AD20-1A4C1112C6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0" authorId="0" shapeId="0" xr:uid="{F5A1EE85-4E20-4AE9-95F8-216A9BA2F3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0" authorId="0" shapeId="0" xr:uid="{40565B95-45FB-4CCD-943A-CF00151A2D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0" authorId="0" shapeId="0" xr:uid="{A33BEA42-B5F0-4B2C-834C-2243E67ABD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0" authorId="0" shapeId="0" xr:uid="{FA1B1B15-B19A-41CF-B2E0-BAC6FC69ED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00" authorId="0" shapeId="0" xr:uid="{CD039E68-76B5-42CC-9743-904879162A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1" authorId="0" shapeId="0" xr:uid="{62817A40-79E6-4201-9325-4C6C81D167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01" authorId="0" shapeId="0" xr:uid="{9736222F-0B28-42AF-BF34-33BC66B772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01" authorId="0" shapeId="0" xr:uid="{361EAFBC-ADFD-4CCA-B1E6-65907342F6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1" authorId="0" shapeId="0" xr:uid="{D10536C1-5FF0-47D9-AF30-DEE43E1A6F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1" authorId="0" shapeId="0" xr:uid="{8AC84A74-642D-43A4-8974-21558F4864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1" authorId="0" shapeId="0" xr:uid="{BA30225B-3F44-4907-A190-F4A5FE1965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1" authorId="0" shapeId="0" xr:uid="{F4FDE187-104E-4A52-8810-DFD75FDAC8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1" authorId="0" shapeId="0" xr:uid="{E036039D-4CC8-4F4E-93BB-E47D1ED80B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1" authorId="0" shapeId="0" xr:uid="{AB7E05C6-88BD-4C9A-9CCF-D09E41C87D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1" authorId="0" shapeId="0" xr:uid="{DE1984DC-1E1F-4E85-BD3B-05E7D68D72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1" authorId="0" shapeId="0" xr:uid="{0CA72D4A-E7B0-4133-840C-ABA1092C9E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1" authorId="0" shapeId="0" xr:uid="{AADE2FD4-BA24-4859-BF56-F84304B2FD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01" authorId="0" shapeId="0" xr:uid="{635A3063-7A24-4149-8841-3E7B90F307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101" authorId="0" shapeId="0" xr:uid="{0750F6F9-3413-4118-9DBE-57F197CCDE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101" authorId="0" shapeId="0" xr:uid="{D3982E0B-206D-409D-913C-4D9ED66F06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02" authorId="0" shapeId="0" xr:uid="{7DEA7AF1-4B45-4771-B1A9-32A8308D94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2" authorId="0" shapeId="0" xr:uid="{1B226041-4ED2-4375-B118-882790D3F7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2" authorId="0" shapeId="0" xr:uid="{3247FDA0-C953-4294-82E0-8BF055685E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2" authorId="0" shapeId="0" xr:uid="{289FA8DD-701E-46A8-83C2-6293D1F3A1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2" authorId="0" shapeId="0" xr:uid="{B3952F77-BF30-4F3F-A6D0-F10C6367C8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2" authorId="0" shapeId="0" xr:uid="{CF1F435A-58C3-442F-AC5C-B516CBC1D8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2" authorId="0" shapeId="0" xr:uid="{3EE6337C-3ED5-43A7-A7F6-9096847921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2" authorId="0" shapeId="0" xr:uid="{7EF73FF3-3B00-497F-B402-C13F14CB91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2" authorId="0" shapeId="0" xr:uid="{8B1B4BA5-7BC2-49CE-9BB2-37CC10DDBE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2" authorId="0" shapeId="0" xr:uid="{0BF5E873-232A-4181-A3E3-54A450187E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<sst xmlns="http://schemas.openxmlformats.org/spreadsheetml/2006/main" count="12136" uniqueCount="1800">
  <si>
    <t>Employed total ;  Persons ;</t>
  </si>
  <si>
    <t>Employed total ;  Males ;</t>
  </si>
  <si>
    <t>Employed total ;  Females ;</t>
  </si>
  <si>
    <t>&gt; Employed full-time ;  Persons ;</t>
  </si>
  <si>
    <t>&gt; Employed full-time ;  Males ;</t>
  </si>
  <si>
    <t>&gt; Employed full-time ;  Females ;</t>
  </si>
  <si>
    <t>&gt; Employed part-time ;  Persons ;</t>
  </si>
  <si>
    <t>&gt; Employed part-time ;  Males ;</t>
  </si>
  <si>
    <t>&gt; Employed part-time ;  Females ;</t>
  </si>
  <si>
    <t>Underemployed workers (expanded definition) ;  Persons ;</t>
  </si>
  <si>
    <t>Underemployed workers (expanded definition) ;  Males ;</t>
  </si>
  <si>
    <t>Underemployed workers (expanded definition) ;  Females ;</t>
  </si>
  <si>
    <t>&gt; Cyclical underemployed (reduced hours) ;  Persons ;</t>
  </si>
  <si>
    <t>&gt; Cyclical underemployed (reduced hours) ;  Males ;</t>
  </si>
  <si>
    <t>&gt; Cyclical underemployed (reduced hours) ;  Females ;</t>
  </si>
  <si>
    <t>&gt;&gt; Cyclical underemployed full-time workers ;  Persons ;</t>
  </si>
  <si>
    <t>&gt;&gt; Cyclical underemployed full-time workers ;  Males ;</t>
  </si>
  <si>
    <t>&gt;&gt; Cyclical underemployed full-time workers ;  Females ;</t>
  </si>
  <si>
    <t>&gt;&gt; Cyclical underemployed full-time workers ; Worked fewer than 35 hours ;  Persons ;</t>
  </si>
  <si>
    <t>&gt;&gt; Cyclical underemployed full-time workers ; Worked fewer than 35 hours ;  Males ;</t>
  </si>
  <si>
    <t>&gt;&gt; Cyclical underemployed full-time workers ; Worked fewer than 35 hours ;  Females ;</t>
  </si>
  <si>
    <t>&gt;&gt; Cyclical underemployed full-time workers ; Worked 35 hours or more ;  Persons ;</t>
  </si>
  <si>
    <t>&gt;&gt; Cyclical underemployed full-time workers ; Worked 35 hours or more ;  Males ;</t>
  </si>
  <si>
    <t>&gt;&gt; Cyclical underemployed full-time workers ; Worked 35 hours or more ;  Females ;</t>
  </si>
  <si>
    <t>&gt;&gt; Cyclical underemployed part-time workers ;  Persons ;</t>
  </si>
  <si>
    <t>&gt;&gt; Cyclical underemployed part-time workers ;  Males ;</t>
  </si>
  <si>
    <t>&gt;&gt; Cyclical underemployed part-time workers ;  Females ;</t>
  </si>
  <si>
    <t>&gt; Structural underemployed (prefer more hours) ;  Persons ;</t>
  </si>
  <si>
    <t>&gt; Structural underemployed (prefer more hours) ;  Males ;</t>
  </si>
  <si>
    <t>&gt; Structural underemployed (prefer more hours) ;  Females ;</t>
  </si>
  <si>
    <t>&gt;&gt; Structural underemployed full-time workers ;  Persons ;</t>
  </si>
  <si>
    <t>&gt;&gt; Structural underemployed full-time workers ;  Males ;</t>
  </si>
  <si>
    <t>&gt;&gt; Structural underemployed full-time workers ;  Females ;</t>
  </si>
  <si>
    <t>&gt;&gt; Structural underemployed part-time workers ;  Persons ;</t>
  </si>
  <si>
    <t>&gt;&gt; Structural underemployed part-time workers ;  Males ;</t>
  </si>
  <si>
    <t>&gt;&gt; Structural underemployed part-time workers ;  Females ;</t>
  </si>
  <si>
    <t>&gt; Underemployed full-time workers ;  Persons ;</t>
  </si>
  <si>
    <t>&gt; Underemployed full-time workers ;  Males ;</t>
  </si>
  <si>
    <t>&gt; Underemployed full-time workers ;  Females ;</t>
  </si>
  <si>
    <t>&gt; Underemployed part-time workers ;  Persons ;</t>
  </si>
  <si>
    <t>&gt; Underemployed part-time workers ;  Males ;</t>
  </si>
  <si>
    <t>&gt; Underemployed part-time workers ;  Females ;</t>
  </si>
  <si>
    <t>Underemployed workers (headline definition) ;  Persons ;</t>
  </si>
  <si>
    <t>Underemployed workers (headline definition) ;  Males ;</t>
  </si>
  <si>
    <t>Underemployed workers (headline definition) ;  Females ;</t>
  </si>
  <si>
    <t>15-64 years ;  Employed total ;  Persons ;</t>
  </si>
  <si>
    <t>15-64 years ;  Employed total ;  Males ;</t>
  </si>
  <si>
    <t>15-64 years ;  Employed total ;  Females ;</t>
  </si>
  <si>
    <t>15-64 years ;  &gt; Employed full-time ;  Persons ;</t>
  </si>
  <si>
    <t>15-64 years ;  &gt; Employed full-time ;  Males ;</t>
  </si>
  <si>
    <t>15-64 years ;  &gt; Employed full-time ;  Females ;</t>
  </si>
  <si>
    <t>15-64 years ;  &gt; Employed part-time ;  Persons ;</t>
  </si>
  <si>
    <t>15-64 years ;  &gt; Employed part-time ;  Males ;</t>
  </si>
  <si>
    <t>15-64 years ;  &gt; Employed part-time ;  Females ;</t>
  </si>
  <si>
    <t>15-64 years ;  Underemployed workers (expanded definition) ;  Persons ;</t>
  </si>
  <si>
    <t>15-64 years ;  Underemployed workers (expanded definition) ;  Males ;</t>
  </si>
  <si>
    <t>15-64 years ;  Underemployed workers (expanded definition) ;  Females ;</t>
  </si>
  <si>
    <t>15-64 years ;  &gt; Cyclical underemployed (reduced hours) ;  Persons ;</t>
  </si>
  <si>
    <t>15-64 years ;  &gt; Cyclical underemployed (reduced hours) ;  Males ;</t>
  </si>
  <si>
    <t>15-64 years ;  &gt; Cyclical underemployed (reduced hours) ;  Females ;</t>
  </si>
  <si>
    <t>15-64 years ;  &gt;&gt; Cyclical underemployed full-time workers ;  Persons ;</t>
  </si>
  <si>
    <t>15-64 years ;  &gt;&gt; Cyclical underemployed full-time workers ;  Males ;</t>
  </si>
  <si>
    <t>15-64 years ;  &gt;&gt; Cyclical underemployed full-time workers ;  Females ;</t>
  </si>
  <si>
    <t>15-64 years ;  &gt;&gt; Cyclical underemployed full-time workers ; Worked fewer than 35 hours ;  Persons ;</t>
  </si>
  <si>
    <t>15-64 years ;  &gt;&gt; Cyclical underemployed full-time workers ; Worked fewer than 35 hours ;  Males ;</t>
  </si>
  <si>
    <t>15-64 years ;  &gt;&gt; Cyclical underemployed full-time workers ; Worked fewer than 35 hours ;  Females ;</t>
  </si>
  <si>
    <t>15-64 years ;  &gt;&gt; Cyclical underemployed full-time workers ; Worked 35 hours or more ;  Persons ;</t>
  </si>
  <si>
    <t>15-64 years ;  &gt;&gt; Cyclical underemployed full-time workers ; Worked 35 hours or more ;  Males ;</t>
  </si>
  <si>
    <t>15-64 years ;  &gt;&gt; Cyclical underemployed full-time workers ; Worked 35 hours or more ;  Females ;</t>
  </si>
  <si>
    <t>15-64 years ;  &gt;&gt; Cyclical underemployed part-time workers ;  Persons ;</t>
  </si>
  <si>
    <t>15-64 years ;  &gt;&gt; Cyclical underemployed part-time workers ;  Males ;</t>
  </si>
  <si>
    <t>15-64 years ;  &gt;&gt; Cyclical underemployed part-time workers ;  Females ;</t>
  </si>
  <si>
    <t>15-64 years ;  &gt; Structural underemployed (prefer more hours) ;  Persons ;</t>
  </si>
  <si>
    <t>15-64 years ;  &gt; Structural underemployed (prefer more hours) ;  Males ;</t>
  </si>
  <si>
    <t>15-64 years ;  &gt; Structural underemployed (prefer more hours) ;  Females ;</t>
  </si>
  <si>
    <t>15-64 years ;  &gt;&gt; Structural underemployed full-time workers ;  Persons ;</t>
  </si>
  <si>
    <t>15-64 years ;  &gt;&gt; Structural underemployed full-time workers ;  Males ;</t>
  </si>
  <si>
    <t>15-64 years ;  &gt;&gt; Structural underemployed full-time workers ;  Females ;</t>
  </si>
  <si>
    <t>15-64 years ;  &gt;&gt; Structural underemployed part-time workers ;  Persons ;</t>
  </si>
  <si>
    <t>15-64 years ;  &gt;&gt; Structural underemployed part-time workers ;  Males ;</t>
  </si>
  <si>
    <t>15-64 years ;  &gt;&gt; Structural underemployed part-time workers ;  Females ;</t>
  </si>
  <si>
    <t>15-64 years ;  &gt; Underemployed full-time workers ;  Persons ;</t>
  </si>
  <si>
    <t>15-64 years ;  &gt; Underemployed full-time workers ;  Males ;</t>
  </si>
  <si>
    <t>15-64 years ;  &gt; Underemployed full-time workers ;  Females ;</t>
  </si>
  <si>
    <t>15-64 years ;  &gt; Underemployed part-time workers ;  Persons ;</t>
  </si>
  <si>
    <t>15-64 years ;  &gt; Underemployed part-time workers ;  Males ;</t>
  </si>
  <si>
    <t>15-64 years ;  &gt; Underemployed part-time workers ;  Females ;</t>
  </si>
  <si>
    <t>15-64 years ;  Underemployed workers (headline definition) ;  Persons ;</t>
  </si>
  <si>
    <t>15-64 years ;  Underemployed workers (headline definition) ;  Males ;</t>
  </si>
  <si>
    <t>15-64 years ;  Underemployed workers (headline definition) ;  Females ;</t>
  </si>
  <si>
    <t>&gt; 15-24 years ;  Employed total ;  Persons ;</t>
  </si>
  <si>
    <t>&gt; 15-24 years ;  Employed total ;  Males ;</t>
  </si>
  <si>
    <t>&gt; 15-24 years ;  Employed total ;  Females ;</t>
  </si>
  <si>
    <t>&gt; 15-24 years ;  &gt; Employed full-time ;  Persons ;</t>
  </si>
  <si>
    <t>&gt; 15-24 years ;  &gt; Employed full-time ;  Males ;</t>
  </si>
  <si>
    <t>&gt; 15-24 years ;  &gt; Employed full-time ;  Females ;</t>
  </si>
  <si>
    <t>&gt; 15-24 years ;  &gt; Employed part-time ;  Persons ;</t>
  </si>
  <si>
    <t>&gt; 15-24 years ;  &gt; Employed part-time ;  Males ;</t>
  </si>
  <si>
    <t>&gt; 15-24 years ;  &gt; Employed part-time ;  Females ;</t>
  </si>
  <si>
    <t>&gt; 15-24 years ;  Underemployed workers (expanded definition) ;  Persons ;</t>
  </si>
  <si>
    <t>&gt; 15-24 years ;  Underemployed workers (expanded definition) ;  Males ;</t>
  </si>
  <si>
    <t>&gt; 15-24 years ;  Underemployed workers (expanded definition) ;  Females ;</t>
  </si>
  <si>
    <t>&gt; 15-24 years ;  &gt; Cyclical underemployed (reduced hours) ;  Persons ;</t>
  </si>
  <si>
    <t>&gt; 15-24 years ;  &gt; Cyclical underemployed (reduced hours) ;  Males ;</t>
  </si>
  <si>
    <t>&gt; 15-24 years ;  &gt; Cyclical underemployed (reduced hours) ;  Females ;</t>
  </si>
  <si>
    <t>&gt; 15-24 years ;  &gt;&gt; Cyclical underemployed full-time workers ;  Persons ;</t>
  </si>
  <si>
    <t>&gt; 15-24 years ;  &gt;&gt; Cyclical underemployed full-time workers ;  Males ;</t>
  </si>
  <si>
    <t>&gt; 15-24 years ;  &gt;&gt; Cyclical underemployed full-time workers ;  Females ;</t>
  </si>
  <si>
    <t>&gt; 15-24 years ;  &gt;&gt; Cyclical underemployed full-time workers ; Worked fewer than 35 hours ;  Persons ;</t>
  </si>
  <si>
    <t>&gt; 15-24 years ;  &gt;&gt; Cyclical underemployed full-time workers ; Worked fewer than 35 hours ;  Males ;</t>
  </si>
  <si>
    <t>&gt; 15-24 years ;  &gt;&gt; Cyclical underemployed full-time workers ; Worked fewer than 35 hours ;  Females ;</t>
  </si>
  <si>
    <t>&gt; 15-24 years ;  &gt;&gt; Cyclical underemployed full-time workers ; Worked 35 hours or more ;  Persons ;</t>
  </si>
  <si>
    <t>&gt; 15-24 years ;  &gt;&gt; Cyclical underemployed full-time workers ; Worked 35 hours or more ;  Males ;</t>
  </si>
  <si>
    <t>&gt; 15-24 years ;  &gt;&gt; Cyclical underemployed full-time workers ; Worked 35 hours or more ;  Females ;</t>
  </si>
  <si>
    <t>&gt; 15-24 years ;  &gt;&gt; Cyclical underemployed part-time workers ;  Persons ;</t>
  </si>
  <si>
    <t>&gt; 15-24 years ;  &gt;&gt; Cyclical underemployed part-time workers ;  Males ;</t>
  </si>
  <si>
    <t>&gt; 15-24 years ;  &gt;&gt; Cyclical underemployed part-time workers ;  Females ;</t>
  </si>
  <si>
    <t>&gt; 15-24 years ;  &gt; Structural underemployed (prefer more hours) ;  Persons ;</t>
  </si>
  <si>
    <t>&gt; 15-24 years ;  &gt; Structural underemployed (prefer more hours) ;  Males ;</t>
  </si>
  <si>
    <t>&gt; 15-24 years ;  &gt; Structural underemployed (prefer more hours) ;  Females ;</t>
  </si>
  <si>
    <t>&gt; 15-24 years ;  &gt;&gt; Structural underemployed full-time workers ;  Persons ;</t>
  </si>
  <si>
    <t>&gt; 15-24 years ;  &gt;&gt; Structural underemployed full-time workers ;  Males ;</t>
  </si>
  <si>
    <t>&gt; 15-24 years ;  &gt;&gt; Structural underemployed full-time workers ;  Females ;</t>
  </si>
  <si>
    <t>&gt; 15-24 years ;  &gt;&gt; Structural underemployed part-time workers ;  Persons ;</t>
  </si>
  <si>
    <t>&gt; 15-24 years ;  &gt;&gt; Structural underemployed part-time workers ;  Males ;</t>
  </si>
  <si>
    <t>&gt; 15-24 years ;  &gt;&gt; Structural underemployed part-time workers ;  Females ;</t>
  </si>
  <si>
    <t>&gt; 15-24 years ;  &gt; Underemployed full-time workers ;  Persons ;</t>
  </si>
  <si>
    <t>&gt; 15-24 years ;  &gt; Underemployed full-time workers ;  Males ;</t>
  </si>
  <si>
    <t>&gt; 15-24 years ;  &gt; Underemployed full-time workers ;  Females ;</t>
  </si>
  <si>
    <t>&gt; 15-24 years ;  &gt; Underemployed part-time workers ;  Persons ;</t>
  </si>
  <si>
    <t>&gt; 15-24 years ;  &gt; Underemployed part-time workers ;  Males ;</t>
  </si>
  <si>
    <t>&gt; 15-24 years ;  &gt; Underemployed part-time workers ;  Females ;</t>
  </si>
  <si>
    <t>&gt; 15-24 years ;  Underemployed workers (headline definition) ;  Persons ;</t>
  </si>
  <si>
    <t>&gt; 15-24 years ;  Underemployed workers (headline definition) ;  Males ;</t>
  </si>
  <si>
    <t>&gt; 15-24 years ;  Underemployed workers (headline definition) ;  Females ;</t>
  </si>
  <si>
    <t>&gt;&gt; 15-19 years ;  Employed total ;  Persons ;</t>
  </si>
  <si>
    <t>&gt;&gt; 15-19 years ;  Employed total ;  Males ;</t>
  </si>
  <si>
    <t>&gt;&gt; 15-19 years ;  Employed total ;  Females ;</t>
  </si>
  <si>
    <t>&gt;&gt; 15-19 years ;  &gt; Employed full-time ;  Persons ;</t>
  </si>
  <si>
    <t>&gt;&gt; 15-19 years ;  &gt; Employed full-time ;  Males ;</t>
  </si>
  <si>
    <t>&gt;&gt; 15-19 years ;  &gt; Employed full-time ;  Females ;</t>
  </si>
  <si>
    <t>&gt;&gt; 15-19 years ;  &gt; Employed part-time ;  Persons ;</t>
  </si>
  <si>
    <t>&gt;&gt; 15-19 years ;  &gt; Employed part-time ;  Males ;</t>
  </si>
  <si>
    <t>&gt;&gt; 15-19 years ;  &gt; Employed part-time ;  Females ;</t>
  </si>
  <si>
    <t>&gt;&gt; 15-19 years ;  Underemployed workers (expanded definition) ;  Persons ;</t>
  </si>
  <si>
    <t>&gt;&gt; 15-19 years ;  Underemployed workers (expanded definition) ;  Males ;</t>
  </si>
  <si>
    <t>&gt;&gt; 15-19 years ;  Underemployed workers (expanded definition) ;  Females ;</t>
  </si>
  <si>
    <t>&gt;&gt; 15-19 years ;  &gt; Cyclical underemployed (reduced hours) ;  Persons ;</t>
  </si>
  <si>
    <t>&gt;&gt; 15-19 years ;  &gt; Cyclical underemployed (reduced hours) ;  Males ;</t>
  </si>
  <si>
    <t>&gt;&gt; 15-19 years ;  &gt; Cyclical underemployed (reduced hours) ;  Females ;</t>
  </si>
  <si>
    <t>&gt;&gt; 15-19 years ;  &gt;&gt; Cyclical underemployed full-time workers ;  Persons ;</t>
  </si>
  <si>
    <t>&gt;&gt; 15-19 years ;  &gt;&gt; Cyclical underemployed full-time workers ;  Males ;</t>
  </si>
  <si>
    <t>&gt;&gt; 15-19 years ;  &gt;&gt; Cyclical underemployed full-time workers ;  Females ;</t>
  </si>
  <si>
    <t>&gt;&gt; 15-19 years ;  &gt;&gt; Cyclical underemployed full-time workers ; Worked fewer than 35 hours ;  Persons ;</t>
  </si>
  <si>
    <t>&gt;&gt; 15-19 years ;  &gt;&gt; Cyclical underemployed full-time workers ; Worked fewer than 35 hours ;  Males ;</t>
  </si>
  <si>
    <t>&gt;&gt; 15-19 years ;  &gt;&gt; Cyclical underemployed full-time workers ; Worked fewer than 35 hours ;  Females ;</t>
  </si>
  <si>
    <t>&gt;&gt; 15-19 years ;  &gt;&gt; Cyclical underemployed full-time workers ; Worked 35 hours or more ;  Persons ;</t>
  </si>
  <si>
    <t>&gt;&gt; 15-19 years ;  &gt;&gt; Cyclical underemployed full-time workers ; Worked 35 hours or more ;  Males ;</t>
  </si>
  <si>
    <t>&gt;&gt; 15-19 years ;  &gt;&gt; Cyclical underemployed full-time workers ; Worked 35 hours or more ;  Females ;</t>
  </si>
  <si>
    <t>&gt;&gt; 15-19 years ;  &gt;&gt; Cyclical underemployed part-time workers ;  Persons ;</t>
  </si>
  <si>
    <t>&gt;&gt; 15-19 years ;  &gt;&gt; Cyclical underemployed part-time workers ;  Males ;</t>
  </si>
  <si>
    <t>&gt;&gt; 15-19 years ;  &gt;&gt; Cyclical underemployed part-time workers ;  Females ;</t>
  </si>
  <si>
    <t>&gt;&gt; 15-19 years ;  &gt; Structural underemployed (prefer more hours) ;  Persons ;</t>
  </si>
  <si>
    <t>&gt;&gt; 15-19 years ;  &gt; Structural underemployed (prefer more hours) ;  Males ;</t>
  </si>
  <si>
    <t>&gt;&gt; 15-19 years ;  &gt; Structural underemployed (prefer more hours) ;  Females ;</t>
  </si>
  <si>
    <t>&gt;&gt; 15-19 years ;  &gt;&gt; Structural underemployed full-time workers ;  Persons ;</t>
  </si>
  <si>
    <t>&gt;&gt; 15-19 years ;  &gt;&gt; Structural underemployed full-time workers ;  Males ;</t>
  </si>
  <si>
    <t>&gt;&gt; 15-19 years ;  &gt;&gt; Structural underemployed full-time workers ;  Females ;</t>
  </si>
  <si>
    <t>&gt;&gt; 15-19 years ;  &gt;&gt; Structural underemployed part-time workers ;  Persons ;</t>
  </si>
  <si>
    <t>&gt;&gt; 15-19 years ;  &gt;&gt; Structural underemployed part-time workers ;  Males ;</t>
  </si>
  <si>
    <t>&gt;&gt; 15-19 years ;  &gt;&gt; Structural underemployed part-time workers ;  Females ;</t>
  </si>
  <si>
    <t>&gt;&gt; 15-19 years ;  &gt; Underemployed full-time workers ;  Persons ;</t>
  </si>
  <si>
    <t>&gt;&gt; 15-19 years ;  &gt; Underemployed full-time workers ;  Males ;</t>
  </si>
  <si>
    <t>&gt;&gt; 15-19 years ;  &gt; Underemployed full-time workers ;  Females ;</t>
  </si>
  <si>
    <t>&gt;&gt; 15-19 years ;  &gt; Underemployed part-time workers ;  Persons ;</t>
  </si>
  <si>
    <t>&gt;&gt; 15-19 years ;  &gt; Underemployed part-time workers ;  Males ;</t>
  </si>
  <si>
    <t>&gt;&gt; 15-19 years ;  &gt; Underemployed part-time workers ;  Females ;</t>
  </si>
  <si>
    <t>&gt;&gt; 15-19 years ;  Underemployed workers (headline definition) ;  Persons ;</t>
  </si>
  <si>
    <t>&gt;&gt; 15-19 years ;  Underemployed workers (headline definition) ;  Males ;</t>
  </si>
  <si>
    <t>&gt;&gt; 15-19 years ;  Underemployed workers (headline definition) ;  Females ;</t>
  </si>
  <si>
    <t>&gt;&gt; 20-24 years ;  Employed total ;  Persons ;</t>
  </si>
  <si>
    <t>&gt;&gt; 20-24 years ;  Employed total ;  Males ;</t>
  </si>
  <si>
    <t>&gt;&gt; 20-24 years ;  Employed total ;  Females ;</t>
  </si>
  <si>
    <t>&gt;&gt; 20-24 years ;  &gt; Employed full-time ;  Persons ;</t>
  </si>
  <si>
    <t>&gt;&gt; 20-24 years ;  &gt; Employed full-time ;  Males ;</t>
  </si>
  <si>
    <t>&gt;&gt; 20-24 years ;  &gt; Employed full-time ;  Females ;</t>
  </si>
  <si>
    <t>&gt;&gt; 20-24 years ;  &gt; Employed part-time ;  Persons ;</t>
  </si>
  <si>
    <t>&gt;&gt; 20-24 years ;  &gt; Employed part-time ;  Males ;</t>
  </si>
  <si>
    <t>&gt;&gt; 20-24 years ;  &gt; Employed part-time ;  Females ;</t>
  </si>
  <si>
    <t>&gt;&gt; 20-24 years ;  Underemployed workers (expanded definition) ;  Persons ;</t>
  </si>
  <si>
    <t>&gt;&gt; 20-24 years ;  Underemployed workers (expanded definition) ;  Males ;</t>
  </si>
  <si>
    <t>&gt;&gt; 20-24 years ;  Underemployed workers (expanded definition) ;  Females ;</t>
  </si>
  <si>
    <t>&gt;&gt; 20-24 years ;  &gt; Cyclical underemployed (reduced hours) ;  Persons ;</t>
  </si>
  <si>
    <t>&gt;&gt; 20-24 years ;  &gt; Cyclical underemployed (reduced hours) ;  Males ;</t>
  </si>
  <si>
    <t>&gt;&gt; 20-24 years ;  &gt; Cyclical underemployed (reduced hours) ;  Females ;</t>
  </si>
  <si>
    <t>&gt;&gt; 20-24 years ;  &gt;&gt; Cyclical underemployed full-time workers ;  Persons ;</t>
  </si>
  <si>
    <t>&gt;&gt; 20-24 years ;  &gt;&gt; Cyclical underemployed full-time workers ;  Males ;</t>
  </si>
  <si>
    <t>&gt;&gt; 20-24 years ;  &gt;&gt; Cyclical underemployed full-time workers ;  Females ;</t>
  </si>
  <si>
    <t>&gt;&gt; 20-24 years ;  &gt;&gt; Cyclical underemployed full-time workers ; Worked fewer than 35 hours ;  Persons ;</t>
  </si>
  <si>
    <t>&gt;&gt; 20-24 years ;  &gt;&gt; Cyclical underemployed full-time workers ; Worked fewer than 35 hours ;  Males ;</t>
  </si>
  <si>
    <t>&gt;&gt; 20-24 years ;  &gt;&gt; Cyclical underemployed full-time workers ; Worked fewer than 35 hours ;  Females ;</t>
  </si>
  <si>
    <t>&gt;&gt; 20-24 years ;  &gt;&gt; Cyclical underemployed full-time workers ; Worked 35 hours or more ;  Persons ;</t>
  </si>
  <si>
    <t>&gt;&gt; 20-24 years ;  &gt;&gt; Cyclical underemployed full-time workers ; Worked 35 hours or more ;  Males ;</t>
  </si>
  <si>
    <t>&gt;&gt; 20-24 years ;  &gt;&gt; Cyclical underemployed full-time workers ; Worked 35 hours or more ;  Females ;</t>
  </si>
  <si>
    <t>&gt;&gt; 20-24 years ;  &gt;&gt; Cyclical underemployed part-time workers ;  Persons ;</t>
  </si>
  <si>
    <t>&gt;&gt; 20-24 years ;  &gt;&gt; Cyclical underemployed part-time workers ;  Males ;</t>
  </si>
  <si>
    <t>&gt;&gt; 20-24 years ;  &gt;&gt; Cyclical underemployed part-time workers ;  Females ;</t>
  </si>
  <si>
    <t>&gt;&gt; 20-24 years ;  &gt; Structural underemployed (prefer more hours) ;  Persons ;</t>
  </si>
  <si>
    <t>&gt;&gt; 20-24 years ;  &gt; Structural underemployed (prefer more hours) ;  Males ;</t>
  </si>
  <si>
    <t>&gt;&gt; 20-24 years ;  &gt; Structural underemployed (prefer more hours) ;  Females ;</t>
  </si>
  <si>
    <t>&gt;&gt; 20-24 years ;  &gt;&gt; Structural underemployed full-time workers ;  Persons ;</t>
  </si>
  <si>
    <t>&gt;&gt; 20-24 years ;  &gt;&gt; Structural underemployed full-time workers ;  Males ;</t>
  </si>
  <si>
    <t>&gt;&gt; 20-24 years ;  &gt;&gt; Structural underemployed full-time workers ;  Females ;</t>
  </si>
  <si>
    <t>&gt;&gt; 20-24 years ;  &gt;&gt; Structural underemployed part-time workers ;  Persons ;</t>
  </si>
  <si>
    <t>&gt;&gt; 20-24 years ;  &gt;&gt; Structural underemployed part-time workers ;  Males ;</t>
  </si>
  <si>
    <t>&gt;&gt; 20-24 years ;  &gt;&gt; Structural underemployed part-time workers ;  Females ;</t>
  </si>
  <si>
    <t>&gt;&gt; 20-24 years ;  &gt; Underemployed full-time workers ;  Persons ;</t>
  </si>
  <si>
    <t>&gt;&gt; 20-24 years ;  &gt; Underemployed full-time workers ;  Males ;</t>
  </si>
  <si>
    <t>&gt;&gt; 20-24 years ;  &gt; Underemployed full-time workers ;  Females ;</t>
  </si>
  <si>
    <t>&gt;&gt; 20-24 years ;  &gt; Underemployed part-time workers ;  Persons ;</t>
  </si>
  <si>
    <t>&gt;&gt; 20-24 years ;  &gt; Underemployed part-time workers ;  Males ;</t>
  </si>
  <si>
    <t>&gt;&gt; 20-24 years ;  &gt; Underemployed part-time workers ;  Females ;</t>
  </si>
  <si>
    <t>&gt;&gt; 20-24 years ;  Underemployed workers (headline definition) ;  Persons ;</t>
  </si>
  <si>
    <t>&gt;&gt; 20-24 years ;  Underemployed workers (headline definition) ;  Males ;</t>
  </si>
  <si>
    <t>&gt;&gt; 20-24 years ;  Underemployed workers (headline definition) ;  Females ;</t>
  </si>
  <si>
    <t>&gt; 25-34 years ;  Employed total ;  Persons ;</t>
  </si>
  <si>
    <t>&gt; 25-34 years ;  Employed total ;  Males ;</t>
  </si>
  <si>
    <t>&gt; 25-34 years ;  Employed total ;  Females ;</t>
  </si>
  <si>
    <t>&gt; 25-34 years ;  &gt; Employed full-time ;  Persons ;</t>
  </si>
  <si>
    <t>&gt; 25-34 years ;  &gt; Employed full-time ;  Males ;</t>
  </si>
  <si>
    <t>&gt; 25-34 years ;  &gt; Employed full-time ;  Females ;</t>
  </si>
  <si>
    <t>&gt; 25-34 years ;  &gt; Employed part-time ;  Persons ;</t>
  </si>
  <si>
    <t>&gt; 25-34 years ;  &gt; Employed part-time ;  Males ;</t>
  </si>
  <si>
    <t>&gt; 25-34 years ;  &gt; Employed part-time ;  Females ;</t>
  </si>
  <si>
    <t>&gt; 25-34 years ;  Underemployed workers (expanded definition) ;  Persons ;</t>
  </si>
  <si>
    <t>&gt; 25-34 years ;  Underemployed workers (expanded definition) ;  Males ;</t>
  </si>
  <si>
    <t>&gt; 25-34 years ;  Underemployed workers (expanded definition) ;  Females ;</t>
  </si>
  <si>
    <t>&gt; 25-34 years ;  &gt; Cyclical underemployed (reduced hours) ;  Persons ;</t>
  </si>
  <si>
    <t>&gt; 25-34 years ;  &gt; Cyclical underemployed (reduced hours) ;  Males ;</t>
  </si>
  <si>
    <t>&gt; 25-34 years ;  &gt; Cyclical underemployed (reduced hours) ;  Females ;</t>
  </si>
  <si>
    <t>&gt; 25-34 years ;  &gt;&gt; Cyclical underemployed full-time workers ;  Persons ;</t>
  </si>
  <si>
    <t>&gt; 25-34 years ;  &gt;&gt; Cyclical underemployed full-time workers ;  Males ;</t>
  </si>
  <si>
    <t>&gt; 25-34 years ;  &gt;&gt; Cyclical underemployed full-time workers ;  Females ;</t>
  </si>
  <si>
    <t>&gt; 25-34 years ;  &gt;&gt; Cyclical underemployed full-time workers ; Worked fewer than 35 hours ;  Persons ;</t>
  </si>
  <si>
    <t>&gt; 25-34 years ;  &gt;&gt; Cyclical underemployed full-time workers ; Worked fewer than 35 hours ;  Males ;</t>
  </si>
  <si>
    <t>&gt; 25-34 years ;  &gt;&gt; Cyclical underemployed full-time workers ; Worked fewer than 35 hours ;  Females ;</t>
  </si>
  <si>
    <t>&gt; 25-34 years ;  &gt;&gt; Cyclical underemployed full-time workers ; Worked 35 hours or more ;  Persons ;</t>
  </si>
  <si>
    <t>&gt; 25-34 years ;  &gt;&gt; Cyclical underemployed full-time workers ; Worked 35 hours or more ;  Males ;</t>
  </si>
  <si>
    <t>&gt; 25-34 years ;  &gt;&gt; Cyclical underemployed full-time workers ; Worked 35 hours or more ;  Females ;</t>
  </si>
  <si>
    <t>&gt; 25-34 years ;  &gt;&gt; Cyclical underemployed part-time workers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</si>
  <si>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</si>
  <si>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</si>
  <si>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</si>
  <si>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</si>
  <si>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</si>
  <si>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</si>
  <si>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</si>
  <si>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</si>
  <si>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</si>
  <si>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</si>
  <si>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</si>
  <si>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</si>
  <si>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Month</t>
  </si>
  <si>
    <t>A127833187R</t>
  </si>
  <si>
    <t>A127830217L</t>
  </si>
  <si>
    <t>A127827247T</t>
  </si>
  <si>
    <t>A127833189V</t>
  </si>
  <si>
    <t>A127830219T</t>
  </si>
  <si>
    <t>A127827249W</t>
  </si>
  <si>
    <t>A127833188T</t>
  </si>
  <si>
    <t>A127830218R</t>
  </si>
  <si>
    <t>A127827248V</t>
  </si>
  <si>
    <t>A127833182C</t>
  </si>
  <si>
    <t>A127830212A</t>
  </si>
  <si>
    <t>A127827242F</t>
  </si>
  <si>
    <t>A127833186L</t>
  </si>
  <si>
    <t>A127830216K</t>
  </si>
  <si>
    <t>A127827246R</t>
  </si>
  <si>
    <t>A127833181A</t>
  </si>
  <si>
    <t>A127830211X</t>
  </si>
  <si>
    <t>A127827241C</t>
  </si>
  <si>
    <t>A127833179R</t>
  </si>
  <si>
    <t>A127830209L</t>
  </si>
  <si>
    <t>A127827239T</t>
  </si>
  <si>
    <t>A127833190C</t>
  </si>
  <si>
    <t>A127830220A</t>
  </si>
  <si>
    <t>A127827250F</t>
  </si>
  <si>
    <t>A127833178L</t>
  </si>
  <si>
    <t>A127830208K</t>
  </si>
  <si>
    <t>A127827238R</t>
  </si>
  <si>
    <t>A127833185K</t>
  </si>
  <si>
    <t>A127830215J</t>
  </si>
  <si>
    <t>A127827245L</t>
  </si>
  <si>
    <t>A127833180X</t>
  </si>
  <si>
    <t>A127830210W</t>
  </si>
  <si>
    <t>A127827240A</t>
  </si>
  <si>
    <t>A127833177K</t>
  </si>
  <si>
    <t>A127830207J</t>
  </si>
  <si>
    <t>A127827237L</t>
  </si>
  <si>
    <t>A127833184J</t>
  </si>
  <si>
    <t>A127830214F</t>
  </si>
  <si>
    <t>A127827244K</t>
  </si>
  <si>
    <t>A127833183F</t>
  </si>
  <si>
    <t>A127830213C</t>
  </si>
  <si>
    <t>A127827243J</t>
  </si>
  <si>
    <t>A127833191F</t>
  </si>
  <si>
    <t>A127830221C</t>
  </si>
  <si>
    <t>A127827251J</t>
  </si>
  <si>
    <t>A127832947A</t>
  </si>
  <si>
    <t>A127829977F</t>
  </si>
  <si>
    <t>A127827007F</t>
  </si>
  <si>
    <t>A127832949F</t>
  </si>
  <si>
    <t>A127829979K</t>
  </si>
  <si>
    <t>A127827009K</t>
  </si>
  <si>
    <t>A127832948C</t>
  </si>
  <si>
    <t>A127829978J</t>
  </si>
  <si>
    <t>A127827008J</t>
  </si>
  <si>
    <t>A127832942R</t>
  </si>
  <si>
    <t>A127829972V</t>
  </si>
  <si>
    <t>A127827002V</t>
  </si>
  <si>
    <t>A127832946X</t>
  </si>
  <si>
    <t>A127829976C</t>
  </si>
  <si>
    <t>A127827006C</t>
  </si>
  <si>
    <t>A127832941L</t>
  </si>
  <si>
    <t>A127829971T</t>
  </si>
  <si>
    <t>A127827001T</t>
  </si>
  <si>
    <t>A127832939A</t>
  </si>
  <si>
    <t>A127829969F</t>
  </si>
  <si>
    <t>A127826999R</t>
  </si>
  <si>
    <t>A127832950R</t>
  </si>
  <si>
    <t>A127829980V</t>
  </si>
  <si>
    <t>A127827010V</t>
  </si>
  <si>
    <t>A127832938X</t>
  </si>
  <si>
    <t>A127829968C</t>
  </si>
  <si>
    <t>A127826998L</t>
  </si>
  <si>
    <t>A127832945W</t>
  </si>
  <si>
    <t>A127829975A</t>
  </si>
  <si>
    <t>A127827005A</t>
  </si>
  <si>
    <t>A127832940K</t>
  </si>
  <si>
    <t>A127829970R</t>
  </si>
  <si>
    <t>A127827000R</t>
  </si>
  <si>
    <t>A127832937W</t>
  </si>
  <si>
    <t>A127829967A</t>
  </si>
  <si>
    <t>A127826997K</t>
  </si>
  <si>
    <t>A127832944V</t>
  </si>
  <si>
    <t>A127829974X</t>
  </si>
  <si>
    <t>A127827004X</t>
  </si>
  <si>
    <t>A127832943T</t>
  </si>
  <si>
    <t>A127829973W</t>
  </si>
  <si>
    <t>A127827003W</t>
  </si>
  <si>
    <t>A127832951T</t>
  </si>
  <si>
    <t>A127829981W</t>
  </si>
  <si>
    <t>A127827011W</t>
  </si>
  <si>
    <t>A127833127L</t>
  </si>
  <si>
    <t>A127830157W</t>
  </si>
  <si>
    <t>A127827187A</t>
  </si>
  <si>
    <t>A127833129T</t>
  </si>
  <si>
    <t>A127830159A</t>
  </si>
  <si>
    <t>A127827189F</t>
  </si>
  <si>
    <t>A127833128R</t>
  </si>
  <si>
    <t>A127830158X</t>
  </si>
  <si>
    <t>A127827188C</t>
  </si>
  <si>
    <t>A127833122A</t>
  </si>
  <si>
    <t>A127830152K</t>
  </si>
  <si>
    <t>A127827182R</t>
  </si>
  <si>
    <t>A127833126K</t>
  </si>
  <si>
    <t>A127830156V</t>
  </si>
  <si>
    <t>A127827186X</t>
  </si>
  <si>
    <t>A127833121X</t>
  </si>
  <si>
    <t>A127830151J</t>
  </si>
  <si>
    <t>A127827181L</t>
  </si>
  <si>
    <t>A127833119L</t>
  </si>
  <si>
    <t>A127830149W</t>
  </si>
  <si>
    <t>A127827179A</t>
  </si>
  <si>
    <t>A127833130A</t>
  </si>
  <si>
    <t>A127830160K</t>
  </si>
  <si>
    <t>A127827190R</t>
  </si>
  <si>
    <t>A127833118K</t>
  </si>
  <si>
    <t>A127830148V</t>
  </si>
  <si>
    <t>A127827178X</t>
  </si>
  <si>
    <t>A127833125J</t>
  </si>
  <si>
    <t>A127830155T</t>
  </si>
  <si>
    <t>A127827185W</t>
  </si>
  <si>
    <t>A127833120W</t>
  </si>
  <si>
    <t>A127830150F</t>
  </si>
  <si>
    <t>A127827180K</t>
  </si>
  <si>
    <t>A127833117J</t>
  </si>
  <si>
    <t>A127830147T</t>
  </si>
  <si>
    <t>A127827177W</t>
  </si>
  <si>
    <t>A127833124F</t>
  </si>
  <si>
    <t>A127830154R</t>
  </si>
  <si>
    <t>A127827184V</t>
  </si>
  <si>
    <t>A127833123C</t>
  </si>
  <si>
    <t>A127830153L</t>
  </si>
  <si>
    <t>A127827183T</t>
  </si>
  <si>
    <t>A127833131C</t>
  </si>
  <si>
    <t>A127830161L</t>
  </si>
  <si>
    <t>A127827191T</t>
  </si>
  <si>
    <t>A127833067W</t>
  </si>
  <si>
    <t>A127830097F</t>
  </si>
  <si>
    <t>A127827127X</t>
  </si>
  <si>
    <t>A127833069A</t>
  </si>
  <si>
    <t>A127830099K</t>
  </si>
  <si>
    <t>A127827129C</t>
  </si>
  <si>
    <t>A127833068X</t>
  </si>
  <si>
    <t>A127830098J</t>
  </si>
  <si>
    <t>A127827128A</t>
  </si>
  <si>
    <t>A127833062K</t>
  </si>
  <si>
    <t>A127830092V</t>
  </si>
  <si>
    <t>A127827122L</t>
  </si>
  <si>
    <t>A127833066V</t>
  </si>
  <si>
    <t>A127830096C</t>
  </si>
  <si>
    <t>A127827126W</t>
  </si>
  <si>
    <t>A127833061J</t>
  </si>
  <si>
    <t>A127830091T</t>
  </si>
  <si>
    <t>A127827121K</t>
  </si>
  <si>
    <t>A127833059W</t>
  </si>
  <si>
    <t>A127830089F</t>
  </si>
  <si>
    <t>A127827119X</t>
  </si>
  <si>
    <t>A127833070K</t>
  </si>
  <si>
    <t>A127830100J</t>
  </si>
  <si>
    <t>A127827130L</t>
  </si>
  <si>
    <t>A127833058V</t>
  </si>
  <si>
    <t>A127830088C</t>
  </si>
  <si>
    <t>A127827118W</t>
  </si>
  <si>
    <t>A127833065T</t>
  </si>
  <si>
    <t>A127830095A</t>
  </si>
  <si>
    <t>A127827125V</t>
  </si>
  <si>
    <t>A127833060F</t>
  </si>
  <si>
    <t>A127830090R</t>
  </si>
  <si>
    <t>A127827120J</t>
  </si>
  <si>
    <t>A127833057T</t>
  </si>
  <si>
    <t>A127830087A</t>
  </si>
  <si>
    <t>A127827117V</t>
  </si>
  <si>
    <t>A127833064R</t>
  </si>
  <si>
    <t>A127830094X</t>
  </si>
  <si>
    <t>A127827124T</t>
  </si>
  <si>
    <t>A127833063L</t>
  </si>
  <si>
    <t>A127830093W</t>
  </si>
  <si>
    <t>A127827123R</t>
  </si>
  <si>
    <t>A127833071L</t>
  </si>
  <si>
    <t>A127830101K</t>
  </si>
  <si>
    <t>A127827131R</t>
  </si>
  <si>
    <t>A127833037J</t>
  </si>
  <si>
    <t>A127830067T</t>
  </si>
  <si>
    <t>A127827097W</t>
  </si>
  <si>
    <t>A127833039L</t>
  </si>
  <si>
    <t>A127830069W</t>
  </si>
  <si>
    <t>A127827099A</t>
  </si>
  <si>
    <t>A127833038K</t>
  </si>
  <si>
    <t>A127830068V</t>
  </si>
  <si>
    <t>A127827098X</t>
  </si>
  <si>
    <t>A127833032W</t>
  </si>
  <si>
    <t>A127830062F</t>
  </si>
  <si>
    <t>A127827092K</t>
  </si>
  <si>
    <t>A127833036F</t>
  </si>
  <si>
    <t>A127830066R</t>
  </si>
  <si>
    <t>A127827096V</t>
  </si>
  <si>
    <t>A127833031V</t>
  </si>
  <si>
    <t>A127830061C</t>
  </si>
  <si>
    <t>A127827091J</t>
  </si>
  <si>
    <t>A127833029J</t>
  </si>
  <si>
    <t>A127830059T</t>
  </si>
  <si>
    <t>A127827089W</t>
  </si>
  <si>
    <t>A127833040W</t>
  </si>
  <si>
    <t>A127830070F</t>
  </si>
  <si>
    <t>A127827100X</t>
  </si>
  <si>
    <t>A127833028F</t>
  </si>
  <si>
    <t>A127830058R</t>
  </si>
  <si>
    <t>A127827088V</t>
  </si>
  <si>
    <t>A127833035C</t>
  </si>
  <si>
    <t>A127830065L</t>
  </si>
  <si>
    <t>A127827095T</t>
  </si>
  <si>
    <t>A127833030T</t>
  </si>
  <si>
    <t>A127830060A</t>
  </si>
  <si>
    <t>A127827090F</t>
  </si>
  <si>
    <t>A127833027C</t>
  </si>
  <si>
    <t>A127830057L</t>
  </si>
  <si>
    <t>A127827087T</t>
  </si>
  <si>
    <t>A127833034A</t>
  </si>
  <si>
    <t>A127830064K</t>
  </si>
  <si>
    <t>A127827094R</t>
  </si>
  <si>
    <t>A127833033X</t>
  </si>
  <si>
    <t>A127830063J</t>
  </si>
  <si>
    <t>A127827093L</t>
  </si>
  <si>
    <t>A127833041X</t>
  </si>
  <si>
    <t>A127830071J</t>
  </si>
  <si>
    <t>A127827101A</t>
  </si>
  <si>
    <t>A127833217T</t>
  </si>
  <si>
    <t>A127830247A</t>
  </si>
  <si>
    <t>A127827277F</t>
  </si>
  <si>
    <t>A127833219W</t>
  </si>
  <si>
    <t>A127830249F</t>
  </si>
  <si>
    <t>A127827279K</t>
  </si>
  <si>
    <t>A127833218V</t>
  </si>
  <si>
    <t>A127830248C</t>
  </si>
  <si>
    <t>A127827278J</t>
  </si>
  <si>
    <t>A127833212F</t>
  </si>
  <si>
    <t>A127830242R</t>
  </si>
  <si>
    <t>A127827272V</t>
  </si>
  <si>
    <t>A127833216R</t>
  </si>
  <si>
    <t>A127830246X</t>
  </si>
  <si>
    <t>A127827276C</t>
  </si>
  <si>
    <t>A127833211C</t>
  </si>
  <si>
    <t>A127830241L</t>
  </si>
  <si>
    <t>A127827271T</t>
  </si>
  <si>
    <t>A127833209T</t>
  </si>
  <si>
    <t>A127830239A</t>
  </si>
  <si>
    <t>A127827269F</t>
  </si>
  <si>
    <t>A127833220F</t>
  </si>
  <si>
    <t>A127830250R</t>
  </si>
  <si>
    <t>A127827280V</t>
  </si>
  <si>
    <t>A127833208R</t>
  </si>
  <si>
    <t>&gt; 25-34 years ;  &gt;&gt; Cyclical underemployed part-time workers ;  Males ;</t>
  </si>
  <si>
    <t>&gt; 25-34 years ;  &gt;&gt; Cyclical underemployed part-time workers ;  Females ;</t>
  </si>
  <si>
    <t>&gt; 25-34 years ;  &gt; Structural underemployed (prefer more hours) ;  Persons ;</t>
  </si>
  <si>
    <t>&gt; 25-34 years ;  &gt; Structural underemployed (prefer more hours) ;  Males ;</t>
  </si>
  <si>
    <t>&gt; 25-34 years ;  &gt; Structural underemployed (prefer more hours) ;  Females ;</t>
  </si>
  <si>
    <t>&gt; 25-34 years ;  &gt;&gt; Structural underemployed full-time workers ;  Persons ;</t>
  </si>
  <si>
    <t>&gt; 25-34 years ;  &gt;&gt; Structural underemployed full-time workers ;  Males ;</t>
  </si>
  <si>
    <t>&gt; 25-34 years ;  &gt;&gt; Structural underemployed full-time workers ;  Females ;</t>
  </si>
  <si>
    <t>&gt; 25-34 years ;  &gt;&gt; Structural underemployed part-time workers ;  Persons ;</t>
  </si>
  <si>
    <t>&gt; 25-34 years ;  &gt;&gt; Structural underemployed part-time workers ;  Males ;</t>
  </si>
  <si>
    <t>&gt; 25-34 years ;  &gt;&gt; Structural underemployed part-time workers ;  Females ;</t>
  </si>
  <si>
    <t>&gt; 25-34 years ;  &gt; Underemployed full-time workers ;  Persons ;</t>
  </si>
  <si>
    <t>&gt; 25-34 years ;  &gt; Underemployed full-time workers ;  Males ;</t>
  </si>
  <si>
    <t>&gt; 25-34 years ;  &gt; Underemployed full-time workers ;  Females ;</t>
  </si>
  <si>
    <t>&gt; 25-34 years ;  &gt; Underemployed part-time workers ;  Persons ;</t>
  </si>
  <si>
    <t>&gt; 25-34 years ;  &gt; Underemployed part-time workers ;  Males ;</t>
  </si>
  <si>
    <t>&gt; 25-34 years ;  &gt; Underemployed part-time workers ;  Females ;</t>
  </si>
  <si>
    <t>&gt; 25-34 years ;  Underemployed workers (headline definition) ;  Persons ;</t>
  </si>
  <si>
    <t>&gt; 25-34 years ;  Underemployed workers (headline definition) ;  Males ;</t>
  </si>
  <si>
    <t>&gt; 25-34 years ;  Underemployed workers (headline definition) ;  Females ;</t>
  </si>
  <si>
    <t>&gt; 35-44 years ;  Employed total ;  Persons ;</t>
  </si>
  <si>
    <t>&gt; 35-44 years ;  Employed total ;  Males ;</t>
  </si>
  <si>
    <t>&gt; 35-44 years ;  Employed total ;  Females ;</t>
  </si>
  <si>
    <t>&gt; 35-44 years ;  &gt; Employed full-time ;  Persons ;</t>
  </si>
  <si>
    <t>&gt; 35-44 years ;  &gt; Employed full-time ;  Males ;</t>
  </si>
  <si>
    <t>&gt; 35-44 years ;  &gt; Employed full-time ;  Females ;</t>
  </si>
  <si>
    <t>&gt; 35-44 years ;  &gt; Employed part-time ;  Persons ;</t>
  </si>
  <si>
    <t>&gt; 35-44 years ;  &gt; Employed part-time ;  Males ;</t>
  </si>
  <si>
    <t>&gt; 35-44 years ;  &gt; Employed part-time ;  Females ;</t>
  </si>
  <si>
    <t>&gt; 35-44 years ;  Underemployed workers (expanded definition) ;  Persons ;</t>
  </si>
  <si>
    <t>&gt; 35-44 years ;  Underemployed workers (expanded definition) ;  Males ;</t>
  </si>
  <si>
    <t>&gt; 35-44 years ;  Underemployed workers (expanded definition) ;  Females ;</t>
  </si>
  <si>
    <t>&gt; 35-44 years ;  &gt; Cyclical underemployed (reduced hours) ;  Persons ;</t>
  </si>
  <si>
    <t>&gt; 35-44 years ;  &gt; Cyclical underemployed (reduced hours) ;  Males ;</t>
  </si>
  <si>
    <t>&gt; 35-44 years ;  &gt; Cyclical underemployed (reduced hours) ;  Females ;</t>
  </si>
  <si>
    <t>&gt; 35-44 years ;  &gt;&gt; Cyclical underemployed full-time workers ;  Persons ;</t>
  </si>
  <si>
    <t>&gt; 35-44 years ;  &gt;&gt; Cyclical underemployed full-time workers ;  Males ;</t>
  </si>
  <si>
    <t>&gt; 35-44 years ;  &gt;&gt; Cyclical underemployed full-time workers ;  Females ;</t>
  </si>
  <si>
    <t>&gt; 35-44 years ;  &gt;&gt; Cyclical underemployed full-time workers ; Worked fewer than 35 hours ;  Persons ;</t>
  </si>
  <si>
    <t>&gt; 35-44 years ;  &gt;&gt; Cyclical underemployed full-time workers ; Worked fewer than 35 hours ;  Males ;</t>
  </si>
  <si>
    <t>&gt; 35-44 years ;  &gt;&gt; Cyclical underemployed full-time workers ; Worked fewer than 35 hours ;  Females ;</t>
  </si>
  <si>
    <t>&gt; 35-44 years ;  &gt;&gt; Cyclical underemployed full-time workers ; Worked 35 hours or more ;  Persons ;</t>
  </si>
  <si>
    <t>&gt; 35-44 years ;  &gt;&gt; Cyclical underemployed full-time workers ; Worked 35 hours or more ;  Males ;</t>
  </si>
  <si>
    <t>&gt; 35-44 years ;  &gt;&gt; Cyclical underemployed full-time workers ; Worked 35 hours or more ;  Females ;</t>
  </si>
  <si>
    <t>&gt; 35-44 years ;  &gt;&gt; Cyclical underemployed part-time workers ;  Persons ;</t>
  </si>
  <si>
    <t>&gt; 35-44 years ;  &gt;&gt; Cyclical underemployed part-time workers ;  Males ;</t>
  </si>
  <si>
    <t>&gt; 35-44 years ;  &gt;&gt; Cyclical underemployed part-time workers ;  Females ;</t>
  </si>
  <si>
    <t>&gt; 35-44 years ;  &gt; Structural underemployed (prefer more hours) ;  Persons ;</t>
  </si>
  <si>
    <t>&gt; 35-44 years ;  &gt; Structural underemployed (prefer more hours) ;  Males ;</t>
  </si>
  <si>
    <t>&gt; 35-44 years ;  &gt; Structural underemployed (prefer more hours) ;  Females ;</t>
  </si>
  <si>
    <t>&gt; 35-44 years ;  &gt;&gt; Structural underemployed full-time workers ;  Persons ;</t>
  </si>
  <si>
    <t>&gt; 35-44 years ;  &gt;&gt; Structural underemployed full-time workers ;  Males ;</t>
  </si>
  <si>
    <t>&gt; 35-44 years ;  &gt;&gt; Structural underemployed full-time workers ;  Females ;</t>
  </si>
  <si>
    <t>&gt; 35-44 years ;  &gt;&gt; Structural underemployed part-time workers ;  Persons ;</t>
  </si>
  <si>
    <t>&gt; 35-44 years ;  &gt;&gt; Structural underemployed part-time workers ;  Males ;</t>
  </si>
  <si>
    <t>&gt; 35-44 years ;  &gt;&gt; Structural underemployed part-time workers ;  Females ;</t>
  </si>
  <si>
    <t>&gt; 35-44 years ;  &gt; Underemployed full-time workers ;  Persons ;</t>
  </si>
  <si>
    <t>&gt; 35-44 years ;  &gt; Underemployed full-time workers ;  Males ;</t>
  </si>
  <si>
    <t>&gt; 35-44 years ;  &gt; Underemployed full-time workers ;  Females ;</t>
  </si>
  <si>
    <t>&gt; 35-44 years ;  &gt; Underemployed part-time workers ;  Persons ;</t>
  </si>
  <si>
    <t>&gt; 35-44 years ;  &gt; Underemployed part-time workers ;  Males ;</t>
  </si>
  <si>
    <t>&gt; 35-44 years ;  &gt; Underemployed part-time workers ;  Females ;</t>
  </si>
  <si>
    <t>&gt; 35-44 years ;  Underemployed workers (headline definition) ;  Persons ;</t>
  </si>
  <si>
    <t>&gt; 35-44 years ;  Underemployed workers (headline definition) ;  Males ;</t>
  </si>
  <si>
    <t>&gt; 35-44 years ;  Underemployed workers (headline definition) ;  Females ;</t>
  </si>
  <si>
    <t>&gt; 45-54 years ;  Employed total ;  Persons ;</t>
  </si>
  <si>
    <t>&gt; 45-54 years ;  Employed total ;  Males ;</t>
  </si>
  <si>
    <t>&gt; 45-54 years ;  Employed total ;  Females ;</t>
  </si>
  <si>
    <t>&gt; 45-54 years ;  &gt; Employed full-time ;  Persons ;</t>
  </si>
  <si>
    <t>&gt; 45-54 years ;  &gt; Employed full-time ;  Males ;</t>
  </si>
  <si>
    <t>&gt; 45-54 years ;  &gt; Employed full-time ;  Females ;</t>
  </si>
  <si>
    <t>&gt; 45-54 years ;  &gt; Employed part-time ;  Persons ;</t>
  </si>
  <si>
    <t>&gt; 45-54 years ;  &gt; Employed part-time ;  Males ;</t>
  </si>
  <si>
    <t>&gt; 45-54 years ;  &gt; Employed part-time ;  Females ;</t>
  </si>
  <si>
    <t>&gt; 45-54 years ;  Underemployed workers (expanded definition) ;  Persons ;</t>
  </si>
  <si>
    <t>&gt; 45-54 years ;  Underemployed workers (expanded definition) ;  Males ;</t>
  </si>
  <si>
    <t>&gt; 45-54 years ;  Underemployed workers (expanded definition) ;  Females ;</t>
  </si>
  <si>
    <t>&gt; 45-54 years ;  &gt; Cyclical underemployed (reduced hours) ;  Persons ;</t>
  </si>
  <si>
    <t>&gt; 45-54 years ;  &gt; Cyclical underemployed (reduced hours) ;  Males ;</t>
  </si>
  <si>
    <t>&gt; 45-54 years ;  &gt; Cyclical underemployed (reduced hours) ;  Females ;</t>
  </si>
  <si>
    <t>&gt; 45-54 years ;  &gt;&gt; Cyclical underemployed full-time workers ;  Persons ;</t>
  </si>
  <si>
    <t>&gt; 45-54 years ;  &gt;&gt; Cyclical underemployed full-time workers ;  Males ;</t>
  </si>
  <si>
    <t>&gt; 45-54 years ;  &gt;&gt; Cyclical underemployed full-time workers ;  Females ;</t>
  </si>
  <si>
    <t>&gt; 45-54 years ;  &gt;&gt; Cyclical underemployed full-time workers ; Worked fewer than 35 hours ;  Persons ;</t>
  </si>
  <si>
    <t>&gt; 45-54 years ;  &gt;&gt; Cyclical underemployed full-time workers ; Worked fewer than 35 hours ;  Males ;</t>
  </si>
  <si>
    <t>&gt; 45-54 years ;  &gt;&gt; Cyclical underemployed full-time workers ; Worked fewer than 35 hours ;  Females ;</t>
  </si>
  <si>
    <t>&gt; 45-54 years ;  &gt;&gt; Cyclical underemployed full-time workers ; Worked 35 hours or more ;  Persons ;</t>
  </si>
  <si>
    <t>&gt; 45-54 years ;  &gt;&gt; Cyclical underemployed full-time workers ; Worked 35 hours or more ;  Males ;</t>
  </si>
  <si>
    <t>&gt; 45-54 years ;  &gt;&gt; Cyclical underemployed full-time workers ; Worked 35 hours or more ;  Females ;</t>
  </si>
  <si>
    <t>&gt; 45-54 years ;  &gt;&gt; Cyclical underemployed part-time workers ;  Persons ;</t>
  </si>
  <si>
    <t>&gt; 45-54 years ;  &gt;&gt; Cyclical underemployed part-time workers ;  Males ;</t>
  </si>
  <si>
    <t>&gt; 45-54 years ;  &gt;&gt; Cyclical underemployed part-time workers ;  Females ;</t>
  </si>
  <si>
    <t>&gt; 45-54 years ;  &gt; Structural underemployed (prefer more hours) ;  Persons ;</t>
  </si>
  <si>
    <t>&gt; 45-54 years ;  &gt; Structural underemployed (prefer more hours) ;  Males ;</t>
  </si>
  <si>
    <t>&gt; 45-54 years ;  &gt; Structural underemployed (prefer more hours) ;  Females ;</t>
  </si>
  <si>
    <t>&gt; 45-54 years ;  &gt;&gt; Structural underemployed full-time workers ;  Persons ;</t>
  </si>
  <si>
    <t>&gt; 45-54 years ;  &gt;&gt; Structural underemployed full-time workers ;  Males ;</t>
  </si>
  <si>
    <t>&gt; 45-54 years ;  &gt;&gt; Structural underemployed full-time workers ;  Females ;</t>
  </si>
  <si>
    <t>&gt; 45-54 years ;  &gt;&gt; Structural underemployed part-time workers ;  Persons ;</t>
  </si>
  <si>
    <t>&gt; 45-54 years ;  &gt;&gt; Structural underemployed part-time workers ;  Males ;</t>
  </si>
  <si>
    <t>&gt; 45-54 years ;  &gt;&gt; Structural underemployed part-time workers ;  Females ;</t>
  </si>
  <si>
    <t>&gt; 45-54 years ;  &gt; Underemployed full-time workers ;  Persons ;</t>
  </si>
  <si>
    <t>&gt; 45-54 years ;  &gt; Underemployed full-time workers ;  Males ;</t>
  </si>
  <si>
    <t>&gt; 45-54 years ;  &gt; Underemployed full-time workers ;  Females ;</t>
  </si>
  <si>
    <t>&gt; 45-54 years ;  &gt; Underemployed part-time workers ;  Persons ;</t>
  </si>
  <si>
    <t>&gt; 45-54 years ;  &gt; Underemployed part-time workers ;  Males ;</t>
  </si>
  <si>
    <t>&gt; 45-54 years ;  &gt; Underemployed part-time workers ;  Females ;</t>
  </si>
  <si>
    <t>&gt; 45-54 years ;  Underemployed workers (headline definition) ;  Persons ;</t>
  </si>
  <si>
    <t>&gt; 45-54 years ;  Underemployed workers (headline definition) ;  Males ;</t>
  </si>
  <si>
    <t>&gt; 45-54 years ;  Underemployed workers (headline definition) ;  Females ;</t>
  </si>
  <si>
    <t>&gt; 55 years and over ;  Employed total ;  Persons ;</t>
  </si>
  <si>
    <t>&gt; 55 years and over ;  Employed total ;  Males ;</t>
  </si>
  <si>
    <t>&gt; 55 years and over ;  Employed total ;  Females ;</t>
  </si>
  <si>
    <t>&gt; 55 years and over ;  &gt; Employed full-time ;  Persons ;</t>
  </si>
  <si>
    <t>&gt; 55 years and over ;  &gt; Employed full-time ;  Males ;</t>
  </si>
  <si>
    <t>&gt; 55 years and over ;  &gt; Employed full-time ;  Females ;</t>
  </si>
  <si>
    <t>&gt; 55 years and over ;  &gt; Employed part-time ;  Persons ;</t>
  </si>
  <si>
    <t>&gt; 55 years and over ;  &gt; Employed part-time ;  Males ;</t>
  </si>
  <si>
    <t>&gt; 55 years and over ;  &gt; Employed part-time ;  Females ;</t>
  </si>
  <si>
    <t>&gt; 55 years and over ;  Underemployed workers (expanded definition) ;  Persons ;</t>
  </si>
  <si>
    <t>&gt; 55 years and over ;  Underemployed workers (expanded definition) ;  Males ;</t>
  </si>
  <si>
    <t>&gt; 55 years and over ;  Underemployed workers (expanded definition) ;  Females ;</t>
  </si>
  <si>
    <t>&gt; 55 years and over ;  &gt; Cyclical underemployed (reduced hours) ;  Persons ;</t>
  </si>
  <si>
    <t>&gt; 55 years and over ;  &gt; Cyclical underemployed (reduced hours) ;  Males ;</t>
  </si>
  <si>
    <t>&gt; 55 years and over ;  &gt; Cyclical underemployed (reduced hours) ;  Females ;</t>
  </si>
  <si>
    <t>&gt; 55 years and over ;  &gt;&gt; Cyclical underemployed full-time workers ;  Persons ;</t>
  </si>
  <si>
    <t>&gt; 55 years and over ;  &gt;&gt; Cyclical underemployed full-time workers ;  Males ;</t>
  </si>
  <si>
    <t>&gt; 55 years and over ;  &gt;&gt; Cyclical underemployed full-time workers ;  Females ;</t>
  </si>
  <si>
    <t>&gt; 55 years and over ;  &gt;&gt; Cyclical underemployed full-time workers ; Worked fewer than 35 hours ;  Persons ;</t>
  </si>
  <si>
    <t>&gt; 55 years and over ;  &gt;&gt; Cyclical underemployed full-time workers ; Worked fewer than 35 hours ;  Males ;</t>
  </si>
  <si>
    <t>&gt; 55 years and over ;  &gt;&gt; Cyclical underemployed full-time workers ; Worked fewer than 35 hours ;  Females ;</t>
  </si>
  <si>
    <t>&gt; 55 years and over ;  &gt;&gt; Cyclical underemployed full-time workers ; Worked 35 hours or more ;  Persons ;</t>
  </si>
  <si>
    <t>&gt; 55 years and over ;  &gt;&gt; Cyclical underemployed full-time workers ; Worked 35 hours or more ;  Males ;</t>
  </si>
  <si>
    <t>&gt; 55 years and over ;  &gt;&gt; Cyclical underemployed full-time workers ; Worked 35 hours or more ;  Females ;</t>
  </si>
  <si>
    <t>&gt; 55 years and over ;  &gt;&gt; Cyclical underemployed part-time workers ;  Persons ;</t>
  </si>
  <si>
    <t>&gt; 55 years and over ;  &gt;&gt; Cyclical underemployed part-time workers ;  Males ;</t>
  </si>
  <si>
    <t>&gt; 55 years and over ;  &gt;&gt; Cyclical underemployed part-time workers ;  Females ;</t>
  </si>
  <si>
    <t>&gt; 55 years and over ;  &gt; Structural underemployed (prefer more hours) ;  Persons ;</t>
  </si>
  <si>
    <t>&gt; 55 years and over ;  &gt; Structural underemployed (prefer more hours) ;  Males ;</t>
  </si>
  <si>
    <t>&gt; 55 years and over ;  &gt; Structural underemployed (prefer more hours) ;  Females ;</t>
  </si>
  <si>
    <t>&gt; 55 years and over ;  &gt;&gt; Structural underemployed full-time workers ;  Persons ;</t>
  </si>
  <si>
    <t>&gt; 55 years and over ;  &gt;&gt; Structural underemployed full-time workers ;  Males ;</t>
  </si>
  <si>
    <t>&gt; 55 years and over ;  &gt;&gt; Structural underemployed full-time workers ;  Females ;</t>
  </si>
  <si>
    <t>&gt; 55 years and over ;  &gt;&gt; Structural underemployed part-time workers ;  Persons ;</t>
  </si>
  <si>
    <t>&gt; 55 years and over ;  &gt;&gt; Structural underemployed part-time workers ;  Males ;</t>
  </si>
  <si>
    <t>&gt; 55 years and over ;  &gt;&gt; Structural underemployed part-time workers ;  Females ;</t>
  </si>
  <si>
    <t>&gt; 55 years and over ;  &gt; Underemployed full-time workers ;  Persons ;</t>
  </si>
  <si>
    <t>&gt; 55 years and over ;  &gt; Underemployed full-time workers ;  Males ;</t>
  </si>
  <si>
    <t>&gt; 55 years and over ;  &gt; Underemployed full-time workers ;  Females ;</t>
  </si>
  <si>
    <t>&gt; 55 years and over ;  &gt; Underemployed part-time workers ;  Persons ;</t>
  </si>
  <si>
    <t>&gt; 55 years and over ;  &gt; Underemployed part-time workers ;  Males ;</t>
  </si>
  <si>
    <t>&gt; 55 years and over ;  &gt; Underemployed part-time workers ;  Females ;</t>
  </si>
  <si>
    <t>&gt; 55 years and over ;  Underemployed workers (headline definition) ;  Persons ;</t>
  </si>
  <si>
    <t>&gt; 55 years and over ;  Underemployed workers (headline definition) ;  Males ;</t>
  </si>
  <si>
    <t>&gt; 55 years and over ;  Underemployed workers (headline definition) ;  Females ;</t>
  </si>
  <si>
    <t>&gt;&gt; 55-64 years ;  Employed total ;  Persons ;</t>
  </si>
  <si>
    <t>&gt;&gt; 55-64 years ;  Employed total ;  Males ;</t>
  </si>
  <si>
    <t>&gt;&gt; 55-64 years ;  Employed total ;  Females ;</t>
  </si>
  <si>
    <t>&gt;&gt; 55-64 years ;  &gt; Employed full-time ;  Persons ;</t>
  </si>
  <si>
    <t>&gt;&gt; 55-64 years ;  &gt; Employed full-time ;  Males ;</t>
  </si>
  <si>
    <t>&gt;&gt; 55-64 years ;  &gt; Employed full-time ;  Females ;</t>
  </si>
  <si>
    <t>&gt;&gt; 55-64 years ;  &gt; Employed part-time ;  Persons ;</t>
  </si>
  <si>
    <t>&gt;&gt; 55-64 years ;  &gt; Employed part-time ;  Males ;</t>
  </si>
  <si>
    <t>&gt;&gt; 55-64 years ;  &gt; Employed part-time ;  Females ;</t>
  </si>
  <si>
    <t>&gt;&gt; 55-64 years ;  Underemployed workers (expanded definition) ;  Persons ;</t>
  </si>
  <si>
    <t>&gt;&gt; 55-64 years ;  Underemployed workers (expanded definition) ;  Males ;</t>
  </si>
  <si>
    <t>&gt;&gt; 55-64 years ;  Underemployed workers (expanded definition) ;  Females ;</t>
  </si>
  <si>
    <t>&gt;&gt; 55-64 years ;  &gt; Cyclical underemployed (reduced hours) ;  Persons ;</t>
  </si>
  <si>
    <t>&gt;&gt; 55-64 years ;  &gt; Cyclical underemployed (reduced hours) ;  Males ;</t>
  </si>
  <si>
    <t>&gt;&gt; 55-64 years ;  &gt; Cyclical underemployed (reduced hours) ;  Females ;</t>
  </si>
  <si>
    <t>&gt;&gt; 55-64 years ;  &gt;&gt; Cyclical underemployed full-time workers ;  Persons ;</t>
  </si>
  <si>
    <t>&gt;&gt; 55-64 years ;  &gt;&gt; Cyclical underemployed full-time workers ;  Males ;</t>
  </si>
  <si>
    <t>&gt;&gt; 55-64 years ;  &gt;&gt; Cyclical underemployed full-time workers ;  Females ;</t>
  </si>
  <si>
    <t>&gt;&gt; 55-64 years ;  &gt;&gt; Cyclical underemployed full-time workers ; Worked fewer than 35 hours ;  Persons ;</t>
  </si>
  <si>
    <t>&gt;&gt; 55-64 years ;  &gt;&gt; Cyclical underemployed full-time workers ; Worked fewer than 35 hours ;  Males ;</t>
  </si>
  <si>
    <t>&gt;&gt; 55-64 years ;  &gt;&gt; Cyclical underemployed full-time workers ; Worked fewer than 35 hours ;  Females ;</t>
  </si>
  <si>
    <t>&gt;&gt; 55-64 years ;  &gt;&gt; Cyclical underemployed full-time workers ; Worked 35 hours or more ;  Persons ;</t>
  </si>
  <si>
    <t>&gt;&gt; 55-64 years ;  &gt;&gt; Cyclical underemployed full-time workers ; Worked 35 hours or more ;  Males ;</t>
  </si>
  <si>
    <t>&gt;&gt; 55-64 years ;  &gt;&gt; Cyclical underemployed full-time workers ; Worked 35 hours or more ;  Females ;</t>
  </si>
  <si>
    <t>&gt;&gt; 55-64 years ;  &gt;&gt; Cyclical underemployed part-time workers ;  Persons ;</t>
  </si>
  <si>
    <t>&gt;&gt; 55-64 years ;  &gt;&gt; Cyclical underemployed part-time workers ;  Males ;</t>
  </si>
  <si>
    <t>&gt;&gt; 55-64 years ;  &gt;&gt; Cyclical underemployed part-time workers ;  Females ;</t>
  </si>
  <si>
    <t>&gt;&gt; 55-64 years ;  &gt; Structural underemployed (prefer more hours) ;  Persons ;</t>
  </si>
  <si>
    <t>&gt;&gt; 55-64 years ;  &gt; Structural underemployed (prefer more hours) ;  Males ;</t>
  </si>
  <si>
    <t>&gt;&gt; 55-64 years ;  &gt; Structural underemployed (prefer more hours) ;  Females ;</t>
  </si>
  <si>
    <t>&gt;&gt; 55-64 years ;  &gt;&gt; Structural underemployed full-time workers ;  Persons ;</t>
  </si>
  <si>
    <t>&gt;&gt; 55-64 years ;  &gt;&gt; Structural underemployed full-time workers ;  Males ;</t>
  </si>
  <si>
    <t>&gt;&gt; 55-64 years ;  &gt;&gt; Structural underemployed full-time workers ;  Females ;</t>
  </si>
  <si>
    <t>&gt;&gt; 55-64 years ;  &gt;&gt; Structural underemployed part-time workers ;  Persons ;</t>
  </si>
  <si>
    <t>&gt;&gt; 55-64 years ;  &gt;&gt; Structural underemployed part-time workers ;  Males ;</t>
  </si>
  <si>
    <t>&gt;&gt; 55-64 years ;  &gt;&gt; Structural underemployed part-time workers ;  Females ;</t>
  </si>
  <si>
    <t>&gt;&gt; 55-64 years ;  &gt; Underemployed full-time workers ;  Persons ;</t>
  </si>
  <si>
    <t>&gt;&gt; 55-64 years ;  &gt; Underemployed full-time workers ;  Males ;</t>
  </si>
  <si>
    <t>&gt;&gt; 55-64 years ;  &gt; Underemployed full-time workers ;  Females ;</t>
  </si>
  <si>
    <t>&gt;&gt; 55-64 years ;  &gt; Underemployed part-time workers ;  Persons ;</t>
  </si>
  <si>
    <t>&gt;&gt; 55-64 years ;  &gt; Underemployed part-time workers ;  Males ;</t>
  </si>
  <si>
    <t>&gt;&gt; 55-64 years ;  &gt; Underemployed part-time workers ;  Females ;</t>
  </si>
  <si>
    <t>&gt;&gt; 55-64 years ;  Underemployed workers (headline definition) ;  Persons ;</t>
  </si>
  <si>
    <t>&gt;&gt; 55-64 years ;  Underemployed workers (headline definition) ;  Males ;</t>
  </si>
  <si>
    <t>&gt;&gt; 55-64 years ;  Underemployed workers (headline definition) ;  Females ;</t>
  </si>
  <si>
    <t>&gt;&gt; 65 years and over ;  Employed total ;  Persons ;</t>
  </si>
  <si>
    <t>&gt;&gt; 65 years and over ;  Employed total ;  Males ;</t>
  </si>
  <si>
    <t>&gt;&gt; 65 years and over ;  Employed total ;  Females ;</t>
  </si>
  <si>
    <t>&gt;&gt; 65 years and over ;  &gt; Employed full-time ;  Persons ;</t>
  </si>
  <si>
    <t>&gt;&gt; 65 years and over ;  &gt; Employed full-time ;  Males ;</t>
  </si>
  <si>
    <t>&gt;&gt; 65 years and over ;  &gt; Employed full-time ;  Females ;</t>
  </si>
  <si>
    <t>&gt;&gt; 65 years and over ;  &gt; Employed part-time ;  Persons ;</t>
  </si>
  <si>
    <t>&gt;&gt; 65 years and over ;  &gt; Employed part-time ;  Males ;</t>
  </si>
  <si>
    <t>&gt;&gt; 65 years and over ;  &gt; Employed part-time ;  Females ;</t>
  </si>
  <si>
    <t>&gt;&gt; 65 years and over ;  Underemployed workers (expanded definition) ;  Persons ;</t>
  </si>
  <si>
    <t>&gt;&gt; 65 years and over ;  Underemployed workers (expanded definition) ;  Males ;</t>
  </si>
  <si>
    <t>&gt;&gt; 65 years and over ;  Underemployed workers (expanded definition) ;  Females ;</t>
  </si>
  <si>
    <t>&gt;&gt; 65 years and over ;  &gt; Cyclical underemployed (reduced hours) ;  Persons ;</t>
  </si>
  <si>
    <t>&gt;&gt; 65 years and over ;  &gt; Cyclical underemployed (reduced hours) ;  Males ;</t>
  </si>
  <si>
    <t>&gt;&gt; 65 years and over ;  &gt; Cyclical underemployed (reduced hours) ;  Females ;</t>
  </si>
  <si>
    <t>&gt;&gt; 65 years and over ;  &gt;&gt; Cyclical underemployed full-time workers ;  Persons ;</t>
  </si>
  <si>
    <t>&gt;&gt; 65 years and over ;  &gt;&gt; Cyclical underemployed full-time workers ;  Males ;</t>
  </si>
  <si>
    <t>&gt;&gt; 65 years and over ;  &gt;&gt; Cyclical underemployed full-time workers ;  Females ;</t>
  </si>
  <si>
    <t>&gt;&gt; 65 years and over ;  &gt;&gt; Cyclical underemployed full-time workers ; Worked fewer than 35 hours ;  Persons ;</t>
  </si>
  <si>
    <t>&gt;&gt; 65 years and over ;  &gt;&gt; Cyclical underemployed full-time workers ; Worked fewer than 35 hours ;  Males ;</t>
  </si>
  <si>
    <t>&gt;&gt; 65 years and over ;  &gt;&gt; Cyclical underemployed full-time workers ; Worked fewer than 35 hours ;  Females ;</t>
  </si>
  <si>
    <t>&gt;&gt; 65 years and over ;  &gt;&gt; Cyclical underemployed full-time workers ; Worked 35 hours or more ;  Persons ;</t>
  </si>
  <si>
    <t>&gt;&gt; 65 years and over ;  &gt;&gt; Cyclical underemployed full-time workers ; Worked 35 hours or more ;  Males ;</t>
  </si>
  <si>
    <t>&gt;&gt; 65 years and over ;  &gt;&gt; Cyclical underemployed full-time workers ; Worked 35 hours or more ;  Females ;</t>
  </si>
  <si>
    <t>&gt;&gt; 65 years and over ;  &gt;&gt; Cyclical underemployed part-time workers ;  Persons ;</t>
  </si>
  <si>
    <t>&gt;&gt; 65 years and over ;  &gt;&gt; Cyclical underemployed part-time workers ;  Males ;</t>
  </si>
  <si>
    <t>&gt;&gt; 65 years and over ;  &gt;&gt; Cyclical underemployed part-time workers ;  Females ;</t>
  </si>
  <si>
    <t>&gt;&gt; 65 years and over ;  &gt; Structural underemployed (prefer more hours) ;  Persons ;</t>
  </si>
  <si>
    <t>&gt;&gt; 65 years and over ;  &gt; Structural underemployed (prefer more hours) ;  Males ;</t>
  </si>
  <si>
    <t>&gt;&gt; 65 years and over ;  &gt; Structural underemployed (prefer more hours) ;  Females ;</t>
  </si>
  <si>
    <t>&gt;&gt; 65 years and over ;  &gt;&gt; Structural underemployed full-time workers ;  Persons ;</t>
  </si>
  <si>
    <t>&gt;&gt; 65 years and over ;  &gt;&gt; Structural underemployed full-time workers ;  Males ;</t>
  </si>
  <si>
    <t>&gt;&gt; 65 years and over ;  &gt;&gt; Structural underemployed full-time workers ;  Females ;</t>
  </si>
  <si>
    <t>&gt;&gt; 65 years and over ;  &gt;&gt; Structural underemployed part-time workers ;  Persons ;</t>
  </si>
  <si>
    <t>&gt;&gt; 65 years and over ;  &gt;&gt; Structural underemployed part-time workers ;  Males ;</t>
  </si>
  <si>
    <t>&gt;&gt; 65 years and over ;  &gt;&gt; Structural underemployed part-time workers ;  Females ;</t>
  </si>
  <si>
    <t>&gt;&gt; 65 years and over ;  &gt; Underemployed full-time workers ;  Persons ;</t>
  </si>
  <si>
    <t>&gt;&gt; 65 years and over ;  &gt; Underemployed full-time workers ;  Males ;</t>
  </si>
  <si>
    <t>&gt;&gt; 65 years and over ;  &gt; Underemployed full-time workers ;  Females ;</t>
  </si>
  <si>
    <t>&gt;&gt; 65 years and over ;  &gt; Underemployed part-time workers ;  Persons ;</t>
  </si>
  <si>
    <t>&gt;&gt; 65 years and over ;  &gt; Underemployed part-time workers ;  Males ;</t>
  </si>
  <si>
    <t>&gt;&gt; 65 years and over ;  &gt; Underemployed part-time workers ;  Females ;</t>
  </si>
  <si>
    <t>&gt;&gt; 65 years and over ;  Underemployed workers (headline definition) ;  Persons ;</t>
  </si>
  <si>
    <t>&gt;&gt; 65 years and over ;  Underemployed workers (headline definition) ;  Males ;</t>
  </si>
  <si>
    <t>&gt;&gt; 65 years and over ;  Underemployed workers (headline definition) ;  Females ;</t>
  </si>
  <si>
    <t>New South Wales ;  Employed total ;  Persons ;</t>
  </si>
  <si>
    <t>New South Wales ;  Employed total ;  Males ;</t>
  </si>
  <si>
    <t>New South Wales ;  Employed total ;  Females ;</t>
  </si>
  <si>
    <t>New South Wales ;  &gt; Employed full-time ;  Persons ;</t>
  </si>
  <si>
    <t>New South Wales ;  &gt; Employed full-time ;  Males ;</t>
  </si>
  <si>
    <t>A127830238X</t>
  </si>
  <si>
    <t>A127827268C</t>
  </si>
  <si>
    <t>A127833215L</t>
  </si>
  <si>
    <t>A127830245W</t>
  </si>
  <si>
    <t>A127827275A</t>
  </si>
  <si>
    <t>A127833210A</t>
  </si>
  <si>
    <t>A127830240K</t>
  </si>
  <si>
    <t>A127827270R</t>
  </si>
  <si>
    <t>A127833207L</t>
  </si>
  <si>
    <t>A127830237W</t>
  </si>
  <si>
    <t>A127827267A</t>
  </si>
  <si>
    <t>A127833214K</t>
  </si>
  <si>
    <t>A127830244V</t>
  </si>
  <si>
    <t>A127827274X</t>
  </si>
  <si>
    <t>A127833213J</t>
  </si>
  <si>
    <t>A127830243T</t>
  </si>
  <si>
    <t>A127827273W</t>
  </si>
  <si>
    <t>A127833221J</t>
  </si>
  <si>
    <t>A127830251T</t>
  </si>
  <si>
    <t>A127827281W</t>
  </si>
  <si>
    <t>A127833247F</t>
  </si>
  <si>
    <t>A127830277R</t>
  </si>
  <si>
    <t>A127827307J</t>
  </si>
  <si>
    <t>A127833249K</t>
  </si>
  <si>
    <t>A127830279V</t>
  </si>
  <si>
    <t>A127827309L</t>
  </si>
  <si>
    <t>A127833248J</t>
  </si>
  <si>
    <t>A127830278T</t>
  </si>
  <si>
    <t>A127827308K</t>
  </si>
  <si>
    <t>A127833242V</t>
  </si>
  <si>
    <t>A127830272C</t>
  </si>
  <si>
    <t>A127827302W</t>
  </si>
  <si>
    <t>A127833246C</t>
  </si>
  <si>
    <t>A127830276L</t>
  </si>
  <si>
    <t>A127827306F</t>
  </si>
  <si>
    <t>A127833241T</t>
  </si>
  <si>
    <t>A127830271A</t>
  </si>
  <si>
    <t>A127827301V</t>
  </si>
  <si>
    <t>A127833239F</t>
  </si>
  <si>
    <t>A127830269R</t>
  </si>
  <si>
    <t>A127827299V</t>
  </si>
  <si>
    <t>A127833250V</t>
  </si>
  <si>
    <t>A127830280C</t>
  </si>
  <si>
    <t>A127827310W</t>
  </si>
  <si>
    <t>A127833238C</t>
  </si>
  <si>
    <t>A127830268L</t>
  </si>
  <si>
    <t>A127827298T</t>
  </si>
  <si>
    <t>A127833245A</t>
  </si>
  <si>
    <t>A127830275K</t>
  </si>
  <si>
    <t>A127827305C</t>
  </si>
  <si>
    <t>A127833240R</t>
  </si>
  <si>
    <t>A127830270X</t>
  </si>
  <si>
    <t>A127827300T</t>
  </si>
  <si>
    <t>A127833237A</t>
  </si>
  <si>
    <t>A127830267K</t>
  </si>
  <si>
    <t>A127827297R</t>
  </si>
  <si>
    <t>A127833244X</t>
  </si>
  <si>
    <t>A127830274J</t>
  </si>
  <si>
    <t>A127827304A</t>
  </si>
  <si>
    <t>A127833243W</t>
  </si>
  <si>
    <t>A127830273F</t>
  </si>
  <si>
    <t>A127827303X</t>
  </si>
  <si>
    <t>A127833251W</t>
  </si>
  <si>
    <t>A127830281F</t>
  </si>
  <si>
    <t>A127827311X</t>
  </si>
  <si>
    <t>A127833157A</t>
  </si>
  <si>
    <t>A127830187K</t>
  </si>
  <si>
    <t>A127827217C</t>
  </si>
  <si>
    <t>A127833159F</t>
  </si>
  <si>
    <t>A127830189R</t>
  </si>
  <si>
    <t>A127827219J</t>
  </si>
  <si>
    <t>A127833158C</t>
  </si>
  <si>
    <t>A127830188L</t>
  </si>
  <si>
    <t>A127827218F</t>
  </si>
  <si>
    <t>A127833152R</t>
  </si>
  <si>
    <t>A127830182X</t>
  </si>
  <si>
    <t>A127827212T</t>
  </si>
  <si>
    <t>A127833156X</t>
  </si>
  <si>
    <t>A127830186J</t>
  </si>
  <si>
    <t>A127827216A</t>
  </si>
  <si>
    <t>A127833151L</t>
  </si>
  <si>
    <t>A127830181W</t>
  </si>
  <si>
    <t>A127827211R</t>
  </si>
  <si>
    <t>A127833149A</t>
  </si>
  <si>
    <t>A127830179K</t>
  </si>
  <si>
    <t>A127827209C</t>
  </si>
  <si>
    <t>A127833160R</t>
  </si>
  <si>
    <t>A127830190X</t>
  </si>
  <si>
    <t>A127827220T</t>
  </si>
  <si>
    <t>A127833148X</t>
  </si>
  <si>
    <t>A127830178J</t>
  </si>
  <si>
    <t>A127827208A</t>
  </si>
  <si>
    <t>A127833155W</t>
  </si>
  <si>
    <t>A127830185F</t>
  </si>
  <si>
    <t>A127827215X</t>
  </si>
  <si>
    <t>A127833150K</t>
  </si>
  <si>
    <t>A127830180V</t>
  </si>
  <si>
    <t>A127827210L</t>
  </si>
  <si>
    <t>A127833147W</t>
  </si>
  <si>
    <t>A127830177F</t>
  </si>
  <si>
    <t>A127827207X</t>
  </si>
  <si>
    <t>A127833154V</t>
  </si>
  <si>
    <t>A127830184C</t>
  </si>
  <si>
    <t>A127827214W</t>
  </si>
  <si>
    <t>A127833153T</t>
  </si>
  <si>
    <t>A127830183A</t>
  </si>
  <si>
    <t>A127827213V</t>
  </si>
  <si>
    <t>A127833161T</t>
  </si>
  <si>
    <t>A127830191A</t>
  </si>
  <si>
    <t>A127827221V</t>
  </si>
  <si>
    <t>A127833007V</t>
  </si>
  <si>
    <t>A127830037C</t>
  </si>
  <si>
    <t>A127827067J</t>
  </si>
  <si>
    <t>A127833009X</t>
  </si>
  <si>
    <t>A127830039J</t>
  </si>
  <si>
    <t>A127827069L</t>
  </si>
  <si>
    <t>A127833008W</t>
  </si>
  <si>
    <t>A127830038F</t>
  </si>
  <si>
    <t>A127827068K</t>
  </si>
  <si>
    <t>A127833002J</t>
  </si>
  <si>
    <t>A127830032T</t>
  </si>
  <si>
    <t>A127827062W</t>
  </si>
  <si>
    <t>A127833006T</t>
  </si>
  <si>
    <t>A127830036A</t>
  </si>
  <si>
    <t>A127827066F</t>
  </si>
  <si>
    <t>A127833001F</t>
  </si>
  <si>
    <t>A127830031R</t>
  </si>
  <si>
    <t>A127827061V</t>
  </si>
  <si>
    <t>A127832999C</t>
  </si>
  <si>
    <t>A127830029C</t>
  </si>
  <si>
    <t>A127827059J</t>
  </si>
  <si>
    <t>A127833010J</t>
  </si>
  <si>
    <t>A127830040T</t>
  </si>
  <si>
    <t>A127827070W</t>
  </si>
  <si>
    <t>A127832998A</t>
  </si>
  <si>
    <t>A127830028A</t>
  </si>
  <si>
    <t>A127827058F</t>
  </si>
  <si>
    <t>A127833005R</t>
  </si>
  <si>
    <t>A127830035X</t>
  </si>
  <si>
    <t>A127827065C</t>
  </si>
  <si>
    <t>A127833000C</t>
  </si>
  <si>
    <t>A127830030L</t>
  </si>
  <si>
    <t>A127827060T</t>
  </si>
  <si>
    <t>A127832997X</t>
  </si>
  <si>
    <t>A127830027X</t>
  </si>
  <si>
    <t>A127827057C</t>
  </si>
  <si>
    <t>A127833004L</t>
  </si>
  <si>
    <t>A127830034W</t>
  </si>
  <si>
    <t>A127827064A</t>
  </si>
  <si>
    <t>A127833003K</t>
  </si>
  <si>
    <t>A127830033V</t>
  </si>
  <si>
    <t>A127827063X</t>
  </si>
  <si>
    <t>A127833011K</t>
  </si>
  <si>
    <t>A127830041V</t>
  </si>
  <si>
    <t>A127827071X</t>
  </si>
  <si>
    <t>A127832977R</t>
  </si>
  <si>
    <t>A127830007R</t>
  </si>
  <si>
    <t>A127827037V</t>
  </si>
  <si>
    <t>A127832979V</t>
  </si>
  <si>
    <t>A127830009V</t>
  </si>
  <si>
    <t>A127827039X</t>
  </si>
  <si>
    <t>A127832978T</t>
  </si>
  <si>
    <t>A127830008T</t>
  </si>
  <si>
    <t>A127827038W</t>
  </si>
  <si>
    <t>A127832972C</t>
  </si>
  <si>
    <t>A127830002C</t>
  </si>
  <si>
    <t>A127827032J</t>
  </si>
  <si>
    <t>A127832976L</t>
  </si>
  <si>
    <t>A127830006L</t>
  </si>
  <si>
    <t>A127827036T</t>
  </si>
  <si>
    <t>A127832971A</t>
  </si>
  <si>
    <t>A127830001A</t>
  </si>
  <si>
    <t>A127827031F</t>
  </si>
  <si>
    <t>A127832969R</t>
  </si>
  <si>
    <t>A127829999V</t>
  </si>
  <si>
    <t>A127827029V</t>
  </si>
  <si>
    <t>A127832980C</t>
  </si>
  <si>
    <t>A127830010C</t>
  </si>
  <si>
    <t>A127827040J</t>
  </si>
  <si>
    <t>A127832968L</t>
  </si>
  <si>
    <t>A127829998T</t>
  </si>
  <si>
    <t>A127827028T</t>
  </si>
  <si>
    <t>A127832975K</t>
  </si>
  <si>
    <t>A127830005K</t>
  </si>
  <si>
    <t>A127827035R</t>
  </si>
  <si>
    <t>A127832970X</t>
  </si>
  <si>
    <t>A127830000X</t>
  </si>
  <si>
    <t>A127827030C</t>
  </si>
  <si>
    <t>A127832967K</t>
  </si>
  <si>
    <t>A127829997R</t>
  </si>
  <si>
    <t>A127827027R</t>
  </si>
  <si>
    <t>A127832974J</t>
  </si>
  <si>
    <t>A127830004J</t>
  </si>
  <si>
    <t>A127827034L</t>
  </si>
  <si>
    <t>A127832973F</t>
  </si>
  <si>
    <t>A127830003F</t>
  </si>
  <si>
    <t>A127827033K</t>
  </si>
  <si>
    <t>A127832981F</t>
  </si>
  <si>
    <t>A127830011F</t>
  </si>
  <si>
    <t>A127827041K</t>
  </si>
  <si>
    <t>A127833097K</t>
  </si>
  <si>
    <t>A127830127J</t>
  </si>
  <si>
    <t>A127827157L</t>
  </si>
  <si>
    <t>A127833099R</t>
  </si>
  <si>
    <t>A127830129L</t>
  </si>
  <si>
    <t>A127827159T</t>
  </si>
  <si>
    <t>A127833098L</t>
  </si>
  <si>
    <t>A127830128K</t>
  </si>
  <si>
    <t>A127827158R</t>
  </si>
  <si>
    <t>A127833092X</t>
  </si>
  <si>
    <t>A127830122W</t>
  </si>
  <si>
    <t>A127827152A</t>
  </si>
  <si>
    <t>A127833096J</t>
  </si>
  <si>
    <t>A127830126F</t>
  </si>
  <si>
    <t>A127827156K</t>
  </si>
  <si>
    <t>A127833091W</t>
  </si>
  <si>
    <t>A127830121V</t>
  </si>
  <si>
    <t>A127827151X</t>
  </si>
  <si>
    <t>A127833089K</t>
  </si>
  <si>
    <t>A127830119J</t>
  </si>
  <si>
    <t>A127827149L</t>
  </si>
  <si>
    <t>A127833100L</t>
  </si>
  <si>
    <t>A127830130W</t>
  </si>
  <si>
    <t>A127827160A</t>
  </si>
  <si>
    <t>A127833088J</t>
  </si>
  <si>
    <t>A127830118F</t>
  </si>
  <si>
    <t>A127827148K</t>
  </si>
  <si>
    <t>A127833095F</t>
  </si>
  <si>
    <t>A127830125C</t>
  </si>
  <si>
    <t>A127827155J</t>
  </si>
  <si>
    <t>A127833090V</t>
  </si>
  <si>
    <t>A127830120T</t>
  </si>
  <si>
    <t>A127827150W</t>
  </si>
  <si>
    <t>A127833087F</t>
  </si>
  <si>
    <t>A127830117C</t>
  </si>
  <si>
    <t>A127827147J</t>
  </si>
  <si>
    <t>A127833094C</t>
  </si>
  <si>
    <t>A127830124A</t>
  </si>
  <si>
    <t>A127827154F</t>
  </si>
  <si>
    <t>A127833093A</t>
  </si>
  <si>
    <t>A127830123X</t>
  </si>
  <si>
    <t>A127827153C</t>
  </si>
  <si>
    <t>A127833101R</t>
  </si>
  <si>
    <t>A127830131X</t>
  </si>
  <si>
    <t>A127827161C</t>
  </si>
  <si>
    <t>A127834837X</t>
  </si>
  <si>
    <t>A127831867J</t>
  </si>
  <si>
    <t>A127828897L</t>
  </si>
  <si>
    <t>A127834839C</t>
  </si>
  <si>
    <t>A127831869L</t>
  </si>
  <si>
    <t>New South Wales ;  &gt; Employed full-time ;  Females ;</t>
  </si>
  <si>
    <t>New South Wales ;  &gt; Employed part-time ;  Persons ;</t>
  </si>
  <si>
    <t>New South Wales ;  &gt; Employed part-time ;  Males ;</t>
  </si>
  <si>
    <t>New South Wales ;  &gt; Employed part-time ;  Females ;</t>
  </si>
  <si>
    <t>New South Wales ;  Underemployed workers (expanded definition) ;  Persons ;</t>
  </si>
  <si>
    <t>New South Wales ;  Underemployed workers (expanded definition) ;  Males ;</t>
  </si>
  <si>
    <t>New South Wales ;  Underemployed workers (expanded definition) ;  Females ;</t>
  </si>
  <si>
    <t>New South Wales ;  &gt; Cyclical underemployed (reduced hours) ;  Persons ;</t>
  </si>
  <si>
    <t>New South Wales ;  &gt; Cyclical underemployed (reduced hours) ;  Males ;</t>
  </si>
  <si>
    <t>New South Wales ;  &gt; Cyclical underemployed (reduced hours) ;  Females ;</t>
  </si>
  <si>
    <t>New South Wales ;  &gt;&gt; Cyclical underemployed full-time workers ;  Persons ;</t>
  </si>
  <si>
    <t>New South Wales ;  &gt;&gt; Cyclical underemployed full-time workers ;  Males ;</t>
  </si>
  <si>
    <t>New South Wales ;  &gt;&gt; Cyclical underemployed full-time workers ;  Females ;</t>
  </si>
  <si>
    <t>New South Wales ;  &gt;&gt; Cyclical underemployed full-time workers ; Worked fewer than 35 hours ;  Persons ;</t>
  </si>
  <si>
    <t>New South Wales ;  &gt;&gt; Cyclical underemployed full-time workers ; Worked fewer than 35 hours ;  Males ;</t>
  </si>
  <si>
    <t>New South Wales ;  &gt;&gt; Cyclical underemployed full-time workers ; Worked fewer than 35 hours ;  Females ;</t>
  </si>
  <si>
    <t>New South Wales ;  &gt;&gt; Cyclical underemployed full-time workers ; Worked 35 hours or more ;  Persons ;</t>
  </si>
  <si>
    <t>New South Wales ;  &gt;&gt; Cyclical underemployed full-time workers ; Worked 35 hours or more ;  Males ;</t>
  </si>
  <si>
    <t>New South Wales ;  &gt;&gt; Cyclical underemployed full-time workers ; Worked 35 hours or more ;  Females ;</t>
  </si>
  <si>
    <t>New South Wales ;  &gt;&gt; Cyclical underemployed part-time workers ;  Persons ;</t>
  </si>
  <si>
    <t>New South Wales ;  &gt;&gt; Cyclical underemployed part-time workers ;  Males ;</t>
  </si>
  <si>
    <t>New South Wales ;  &gt;&gt; Cyclical underemployed part-time workers ;  Females ;</t>
  </si>
  <si>
    <t>New South Wales ;  &gt; Structural underemployed (prefer more hours) ;  Persons ;</t>
  </si>
  <si>
    <t>New South Wales ;  &gt; Structural underemployed (prefer more hours) ;  Males ;</t>
  </si>
  <si>
    <t>New South Wales ;  &gt; Structural underemployed (prefer more hours) ;  Females ;</t>
  </si>
  <si>
    <t>New South Wales ;  &gt;&gt; Structural underemployed full-time workers ;  Persons ;</t>
  </si>
  <si>
    <t>New South Wales ;  &gt;&gt; Structural underemployed full-time workers ;  Males ;</t>
  </si>
  <si>
    <t>New South Wales ;  &gt;&gt; Structural underemployed full-time workers ;  Females ;</t>
  </si>
  <si>
    <t>New South Wales ;  &gt;&gt; Structural underemployed part-time workers ;  Persons ;</t>
  </si>
  <si>
    <t>New South Wales ;  &gt;&gt; Structural underemployed part-time workers ;  Males ;</t>
  </si>
  <si>
    <t>New South Wales ;  &gt;&gt; Structural underemployed part-time workers ;  Females ;</t>
  </si>
  <si>
    <t>New South Wales ;  &gt; Underemployed full-time workers ;  Persons ;</t>
  </si>
  <si>
    <t>New South Wales ;  &gt; Underemployed full-time workers ;  Males ;</t>
  </si>
  <si>
    <t>New South Wales ;  &gt; Underemployed full-time workers ;  Females ;</t>
  </si>
  <si>
    <t>New South Wales ;  &gt; Underemployed part-time workers ;  Persons ;</t>
  </si>
  <si>
    <t>New South Wales ;  &gt; Underemployed part-time workers ;  Males ;</t>
  </si>
  <si>
    <t>New South Wales ;  &gt; Underemployed part-time workers ;  Females ;</t>
  </si>
  <si>
    <t>New South Wales ;  Underemployed workers (headline definition) ;  Persons ;</t>
  </si>
  <si>
    <t>New South Wales ;  Underemployed workers (headline definition) ;  Males ;</t>
  </si>
  <si>
    <t>New South Wales ;  Underemployed workers (headline definition) ;  Females ;</t>
  </si>
  <si>
    <t>Victoria ;  Employed total ;  Persons ;</t>
  </si>
  <si>
    <t>Victoria ;  Employed total ;  Males ;</t>
  </si>
  <si>
    <t>Victoria ;  Employed total ;  Females ;</t>
  </si>
  <si>
    <t>Victoria ;  &gt; Employed full-time ;  Persons ;</t>
  </si>
  <si>
    <t>Victoria ;  &gt; Employed full-time ;  Males ;</t>
  </si>
  <si>
    <t>Victoria ;  &gt; Employed full-time ;  Females ;</t>
  </si>
  <si>
    <t>Victoria ;  &gt; Employed part-time ;  Persons ;</t>
  </si>
  <si>
    <t>Victoria ;  &gt; Employed part-time ;  Males ;</t>
  </si>
  <si>
    <t>Victoria ;  &gt; Employed part-time ;  Females ;</t>
  </si>
  <si>
    <t>Victoria ;  Underemployed workers (expanded definition) ;  Persons ;</t>
  </si>
  <si>
    <t>Victoria ;  Underemployed workers (expanded definition) ;  Males ;</t>
  </si>
  <si>
    <t>Victoria ;  Underemployed workers (expanded definition) ;  Females ;</t>
  </si>
  <si>
    <t>Victoria ;  &gt; Cyclical underemployed (reduced hours) ;  Persons ;</t>
  </si>
  <si>
    <t>Victoria ;  &gt; Cyclical underemployed (reduced hours) ;  Males ;</t>
  </si>
  <si>
    <t>Victoria ;  &gt; Cyclical underemployed (reduced hours) ;  Females ;</t>
  </si>
  <si>
    <t>Victoria ;  &gt;&gt; Cyclical underemployed full-time workers ;  Persons ;</t>
  </si>
  <si>
    <t>Victoria ;  &gt;&gt; Cyclical underemployed full-time workers ;  Males ;</t>
  </si>
  <si>
    <t>Victoria ;  &gt;&gt; Cyclical underemployed full-time workers ;  Females ;</t>
  </si>
  <si>
    <t>Victoria ;  &gt;&gt; Cyclical underemployed full-time workers ; Worked fewer than 35 hours ;  Persons ;</t>
  </si>
  <si>
    <t>Victoria ;  &gt;&gt; Cyclical underemployed full-time workers ; Worked fewer than 35 hours ;  Males ;</t>
  </si>
  <si>
    <t>Victoria ;  &gt;&gt; Cyclical underemployed full-time workers ; Worked fewer than 35 hours ;  Females ;</t>
  </si>
  <si>
    <t>Victoria ;  &gt;&gt; Cyclical underemployed full-time workers ; Worked 35 hours or more ;  Persons ;</t>
  </si>
  <si>
    <t>Victoria ;  &gt;&gt; Cyclical underemployed full-time workers ; Worked 35 hours or more ;  Males ;</t>
  </si>
  <si>
    <t>Victoria ;  &gt;&gt; Cyclical underemployed full-time workers ; Worked 35 hours or more ;  Females ;</t>
  </si>
  <si>
    <t>Victoria ;  &gt;&gt; Cyclical underemployed part-time workers ;  Persons ;</t>
  </si>
  <si>
    <t>Victoria ;  &gt;&gt; Cyclical underemployed part-time workers ;  Males ;</t>
  </si>
  <si>
    <t>Victoria ;  &gt;&gt; Cyclical underemployed part-time workers ;  Females ;</t>
  </si>
  <si>
    <t>Victoria ;  &gt; Structural underemployed (prefer more hours) ;  Persons ;</t>
  </si>
  <si>
    <t>Victoria ;  &gt; Structural underemployed (prefer more hours) ;  Males ;</t>
  </si>
  <si>
    <t>Victoria ;  &gt; Structural underemployed (prefer more hours) ;  Females ;</t>
  </si>
  <si>
    <t>Victoria ;  &gt;&gt; Structural underemployed full-time workers ;  Persons ;</t>
  </si>
  <si>
    <t>Victoria ;  &gt;&gt; Structural underemployed full-time workers ;  Males ;</t>
  </si>
  <si>
    <t>Victoria ;  &gt;&gt; Structural underemployed full-time workers ;  Females ;</t>
  </si>
  <si>
    <t>Victoria ;  &gt;&gt; Structural underemployed part-time workers ;  Persons ;</t>
  </si>
  <si>
    <t>Victoria ;  &gt;&gt; Structural underemployed part-time workers ;  Males ;</t>
  </si>
  <si>
    <t>Victoria ;  &gt;&gt; Structural underemployed part-time workers ;  Females ;</t>
  </si>
  <si>
    <t>Victoria ;  &gt; Underemployed full-time workers ;  Persons ;</t>
  </si>
  <si>
    <t>Victoria ;  &gt; Underemployed full-time workers ;  Males ;</t>
  </si>
  <si>
    <t>Victoria ;  &gt; Underemployed full-time workers ;  Females ;</t>
  </si>
  <si>
    <t>Victoria ;  &gt; Underemployed part-time workers ;  Persons ;</t>
  </si>
  <si>
    <t>Victoria ;  &gt; Underemployed part-time workers ;  Males ;</t>
  </si>
  <si>
    <t>Victoria ;  &gt; Underemployed part-time workers ;  Females ;</t>
  </si>
  <si>
    <t>Victoria ;  Underemployed workers (headline definition) ;  Persons ;</t>
  </si>
  <si>
    <t>Victoria ;  Underemployed workers (headline definition) ;  Males ;</t>
  </si>
  <si>
    <t>Victoria ;  Underemployed workers (headline definition) ;  Females ;</t>
  </si>
  <si>
    <t>Queensland ;  Employed total ;  Persons ;</t>
  </si>
  <si>
    <t>Queensland ;  Employed total ;  Males ;</t>
  </si>
  <si>
    <t>Queensland ;  Employed total ;  Females ;</t>
  </si>
  <si>
    <t>Queensland ;  &gt; Employed full-time ;  Persons ;</t>
  </si>
  <si>
    <t>Queensland ;  &gt; Employed full-time ;  Males ;</t>
  </si>
  <si>
    <t>Queensland ;  &gt; Employed full-time ;  Females ;</t>
  </si>
  <si>
    <t>Queensland ;  &gt; Employed part-time ;  Persons ;</t>
  </si>
  <si>
    <t>Queensland ;  &gt; Employed part-time ;  Males ;</t>
  </si>
  <si>
    <t>Queensland ;  &gt; Employed part-time ;  Females ;</t>
  </si>
  <si>
    <t>Queensland ;  Underemployed workers (expanded definition) ;  Persons ;</t>
  </si>
  <si>
    <t>Queensland ;  Underemployed workers (expanded definition) ;  Males ;</t>
  </si>
  <si>
    <t>Queensland ;  Underemployed workers (expanded definition) ;  Females ;</t>
  </si>
  <si>
    <t>Queensland ;  &gt; Cyclical underemployed (reduced hours) ;  Persons ;</t>
  </si>
  <si>
    <t>Queensland ;  &gt; Cyclical underemployed (reduced hours) ;  Males ;</t>
  </si>
  <si>
    <t>Queensland ;  &gt; Cyclical underemployed (reduced hours) ;  Females ;</t>
  </si>
  <si>
    <t>Queensland ;  &gt;&gt; Cyclical underemployed full-time workers ;  Persons ;</t>
  </si>
  <si>
    <t>Queensland ;  &gt;&gt; Cyclical underemployed full-time workers ;  Males ;</t>
  </si>
  <si>
    <t>Queensland ;  &gt;&gt; Cyclical underemployed full-time workers ;  Females ;</t>
  </si>
  <si>
    <t>Queensland ;  &gt;&gt; Cyclical underemployed full-time workers ; Worked fewer than 35 hours ;  Persons ;</t>
  </si>
  <si>
    <t>Queensland ;  &gt;&gt; Cyclical underemployed full-time workers ; Worked fewer than 35 hours ;  Males ;</t>
  </si>
  <si>
    <t>Queensland ;  &gt;&gt; Cyclical underemployed full-time workers ; Worked fewer than 35 hours ;  Females ;</t>
  </si>
  <si>
    <t>Queensland ;  &gt;&gt; Cyclical underemployed full-time workers ; Worked 35 hours or more ;  Persons ;</t>
  </si>
  <si>
    <t>Queensland ;  &gt;&gt; Cyclical underemployed full-time workers ; Worked 35 hours or more ;  Males ;</t>
  </si>
  <si>
    <t>Queensland ;  &gt;&gt; Cyclical underemployed full-time workers ; Worked 35 hours or more ;  Females ;</t>
  </si>
  <si>
    <t>Queensland ;  &gt;&gt; Cyclical underemployed part-time workers ;  Persons ;</t>
  </si>
  <si>
    <t>Queensland ;  &gt;&gt; Cyclical underemployed part-time workers ;  Males ;</t>
  </si>
  <si>
    <t>Queensland ;  &gt;&gt; Cyclical underemployed part-time workers ;  Females ;</t>
  </si>
  <si>
    <t>Queensland ;  &gt; Structural underemployed (prefer more hours) ;  Persons ;</t>
  </si>
  <si>
    <t>Queensland ;  &gt; Structural underemployed (prefer more hours) ;  Males ;</t>
  </si>
  <si>
    <t>Queensland ;  &gt; Structural underemployed (prefer more hours) ;  Females ;</t>
  </si>
  <si>
    <t>Queensland ;  &gt;&gt; Structural underemployed full-time workers ;  Persons ;</t>
  </si>
  <si>
    <t>Queensland ;  &gt;&gt; Structural underemployed full-time workers ;  Males ;</t>
  </si>
  <si>
    <t>Queensland ;  &gt;&gt; Structural underemployed full-time workers ;  Females ;</t>
  </si>
  <si>
    <t>Queensland ;  &gt;&gt; Structural underemployed part-time workers ;  Persons ;</t>
  </si>
  <si>
    <t>Queensland ;  &gt;&gt; Structural underemployed part-time workers ;  Males ;</t>
  </si>
  <si>
    <t>Queensland ;  &gt;&gt; Structural underemployed part-time workers ;  Females ;</t>
  </si>
  <si>
    <t>Queensland ;  &gt; Underemployed full-time workers ;  Persons ;</t>
  </si>
  <si>
    <t>Queensland ;  &gt; Underemployed full-time workers ;  Males ;</t>
  </si>
  <si>
    <t>Queensland ;  &gt; Underemployed full-time workers ;  Females ;</t>
  </si>
  <si>
    <t>Queensland ;  &gt; Underemployed part-time workers ;  Persons ;</t>
  </si>
  <si>
    <t>Queensland ;  &gt; Underemployed part-time workers ;  Males ;</t>
  </si>
  <si>
    <t>Queensland ;  &gt; Underemployed part-time workers ;  Females ;</t>
  </si>
  <si>
    <t>Queensland ;  Underemployed workers (headline definition) ;  Persons ;</t>
  </si>
  <si>
    <t>Queensland ;  Underemployed workers (headline definition) ;  Males ;</t>
  </si>
  <si>
    <t>Queensland ;  Underemployed workers (headline definition) ;  Females ;</t>
  </si>
  <si>
    <t>South Australia ;  Employed total ;  Persons ;</t>
  </si>
  <si>
    <t>South Australia ;  Employed total ;  Males ;</t>
  </si>
  <si>
    <t>South Australia ;  Employed total ;  Females ;</t>
  </si>
  <si>
    <t>South Australia ;  &gt; Employed full-time ;  Persons ;</t>
  </si>
  <si>
    <t>South Australia ;  &gt; Employed full-time ;  Males ;</t>
  </si>
  <si>
    <t>South Australia ;  &gt; Employed full-time ;  Females ;</t>
  </si>
  <si>
    <t>South Australia ;  &gt; Employed part-time ;  Persons ;</t>
  </si>
  <si>
    <t>South Australia ;  &gt; Employed part-time ;  Males ;</t>
  </si>
  <si>
    <t>South Australia ;  &gt; Employed part-time ;  Females ;</t>
  </si>
  <si>
    <t>South Australia ;  Underemployed workers (expanded definition) ;  Persons ;</t>
  </si>
  <si>
    <t>South Australia ;  Underemployed workers (expanded definition) ;  Males ;</t>
  </si>
  <si>
    <t>South Australia ;  Underemployed workers (expanded definition) ;  Females ;</t>
  </si>
  <si>
    <t>South Australia ;  &gt; Cyclical underemployed (reduced hours) ;  Persons ;</t>
  </si>
  <si>
    <t>South Australia ;  &gt; Cyclical underemployed (reduced hours) ;  Males ;</t>
  </si>
  <si>
    <t>South Australia ;  &gt; Cyclical underemployed (reduced hours) ;  Females ;</t>
  </si>
  <si>
    <t>South Australia ;  &gt;&gt; Cyclical underemployed full-time workers ;  Persons ;</t>
  </si>
  <si>
    <t>South Australia ;  &gt;&gt; Cyclical underemployed full-time workers ;  Males ;</t>
  </si>
  <si>
    <t>South Australia ;  &gt;&gt; Cyclical underemployed full-time workers ;  Females ;</t>
  </si>
  <si>
    <t>South Australia ;  &gt;&gt; Cyclical underemployed full-time workers ; Worked fewer than 35 hours ;  Persons ;</t>
  </si>
  <si>
    <t>South Australia ;  &gt;&gt; Cyclical underemployed full-time workers ; Worked fewer than 35 hours ;  Males ;</t>
  </si>
  <si>
    <t>South Australia ;  &gt;&gt; Cyclical underemployed full-time workers ; Worked fewer than 35 hours ;  Females ;</t>
  </si>
  <si>
    <t>South Australia ;  &gt;&gt; Cyclical underemployed full-time workers ; Worked 35 hours or more ;  Persons ;</t>
  </si>
  <si>
    <t>South Australia ;  &gt;&gt; Cyclical underemployed full-time workers ; Worked 35 hours or more ;  Males ;</t>
  </si>
  <si>
    <t>South Australia ;  &gt;&gt; Cyclical underemployed full-time workers ; Worked 35 hours or more ;  Females ;</t>
  </si>
  <si>
    <t>South Australia ;  &gt;&gt; Cyclical underemployed part-time workers ;  Persons ;</t>
  </si>
  <si>
    <t>South Australia ;  &gt;&gt; Cyclical underemployed part-time workers ;  Males ;</t>
  </si>
  <si>
    <t>South Australia ;  &gt;&gt; Cyclical underemployed part-time workers ;  Females ;</t>
  </si>
  <si>
    <t>South Australia ;  &gt; Structural underemployed (prefer more hours) ;  Persons ;</t>
  </si>
  <si>
    <t>South Australia ;  &gt; Structural underemployed (prefer more hours) ;  Males ;</t>
  </si>
  <si>
    <t>South Australia ;  &gt; Structural underemployed (prefer more hours) ;  Females ;</t>
  </si>
  <si>
    <t>South Australia ;  &gt;&gt; Structural underemployed full-time workers ;  Persons ;</t>
  </si>
  <si>
    <t>South Australia ;  &gt;&gt; Structural underemployed full-time workers ;  Males ;</t>
  </si>
  <si>
    <t>South Australia ;  &gt;&gt; Structural underemployed full-time workers ;  Females ;</t>
  </si>
  <si>
    <t>South Australia ;  &gt;&gt; Structural underemployed part-time workers ;  Persons ;</t>
  </si>
  <si>
    <t>South Australia ;  &gt;&gt; Structural underemployed part-time workers ;  Males ;</t>
  </si>
  <si>
    <t>South Australia ;  &gt;&gt; Structural underemployed part-time workers ;  Females ;</t>
  </si>
  <si>
    <t>South Australia ;  &gt; Underemployed full-time workers ;  Persons ;</t>
  </si>
  <si>
    <t>South Australia ;  &gt; Underemployed full-time workers ;  Males ;</t>
  </si>
  <si>
    <t>South Australia ;  &gt; Underemployed full-time workers ;  Females ;</t>
  </si>
  <si>
    <t>South Australia ;  &gt; Underemployed part-time workers ;  Persons ;</t>
  </si>
  <si>
    <t>South Australia ;  &gt; Underemployed part-time workers ;  Males ;</t>
  </si>
  <si>
    <t>South Australia ;  &gt; Underemployed part-time workers ;  Females ;</t>
  </si>
  <si>
    <t>South Australia ;  Underemployed workers (headline definition) ;  Persons ;</t>
  </si>
  <si>
    <t>South Australia ;  Underemployed workers (headline definition) ;  Males ;</t>
  </si>
  <si>
    <t>South Australia ;  Underemployed workers (headline definition) ;  Females ;</t>
  </si>
  <si>
    <t>Western Australia ;  Employed total ;  Persons ;</t>
  </si>
  <si>
    <t>Western Australia ;  Employed total ;  Males ;</t>
  </si>
  <si>
    <t>Western Australia ;  Employed total ;  Females ;</t>
  </si>
  <si>
    <t>Western Australia ;  &gt; Employed full-time ;  Persons ;</t>
  </si>
  <si>
    <t>Western Australia ;  &gt; Employed full-time ;  Males ;</t>
  </si>
  <si>
    <t>Western Australia ;  &gt; Employed full-time ;  Females ;</t>
  </si>
  <si>
    <t>Western Australia ;  &gt; Employed part-time ;  Persons ;</t>
  </si>
  <si>
    <t>Western Australia ;  &gt; Employed part-time ;  Males ;</t>
  </si>
  <si>
    <t>Western Australia ;  &gt; Employed part-time ;  Females ;</t>
  </si>
  <si>
    <t>Western Australia ;  Underemployed workers (expanded definition) ;  Persons ;</t>
  </si>
  <si>
    <t>Western Australia ;  Underemployed workers (expanded definition) ;  Males ;</t>
  </si>
  <si>
    <t>Western Australia ;  Underemployed workers (expanded definition) ;  Females ;</t>
  </si>
  <si>
    <t>Western Australia ;  &gt; Cyclical underemployed (reduced hours) ;  Persons ;</t>
  </si>
  <si>
    <t>Western Australia ;  &gt; Cyclical underemployed (reduced hours) ;  Males ;</t>
  </si>
  <si>
    <t>Western Australia ;  &gt; Cyclical underemployed (reduced hours) ;  Females ;</t>
  </si>
  <si>
    <t>Western Australia ;  &gt;&gt; Cyclical underemployed full-time workers ;  Persons ;</t>
  </si>
  <si>
    <t>Western Australia ;  &gt;&gt; Cyclical underemployed full-time workers ;  Males ;</t>
  </si>
  <si>
    <t>Western Australia ;  &gt;&gt; Cyclical underemployed full-time workers ;  Females ;</t>
  </si>
  <si>
    <t>Western Australia ;  &gt;&gt; Cyclical underemployed full-time workers ; Worked fewer than 35 hours ;  Persons ;</t>
  </si>
  <si>
    <t>Western Australia ;  &gt;&gt; Cyclical underemployed full-time workers ; Worked fewer than 35 hours ;  Males ;</t>
  </si>
  <si>
    <t>Western Australia ;  &gt;&gt; Cyclical underemployed full-time workers ; Worked fewer than 35 hours ;  Females ;</t>
  </si>
  <si>
    <t>Western Australia ;  &gt;&gt; Cyclical underemployed full-time workers ; Worked 35 hours or more ;  Persons ;</t>
  </si>
  <si>
    <t>Western Australia ;  &gt;&gt; Cyclical underemployed full-time workers ; Worked 35 hours or more ;  Males ;</t>
  </si>
  <si>
    <t>Western Australia ;  &gt;&gt; Cyclical underemployed full-time workers ; Worked 35 hours or more ;  Females ;</t>
  </si>
  <si>
    <t>Western Australia ;  &gt;&gt; Cyclical underemployed part-time workers ;  Persons ;</t>
  </si>
  <si>
    <t>Western Australia ;  &gt;&gt; Cyclical underemployed part-time workers ;  Males ;</t>
  </si>
  <si>
    <t>Western Australia ;  &gt;&gt; Cyclical underemployed part-time workers ;  Females ;</t>
  </si>
  <si>
    <t>Western Australia ;  &gt; Structural underemployed (prefer more hours) ;  Persons ;</t>
  </si>
  <si>
    <t>Western Australia ;  &gt; Structural underemployed (prefer more hours) ;  Males ;</t>
  </si>
  <si>
    <t>Western Australia ;  &gt; Structural underemployed (prefer more hours) ;  Females ;</t>
  </si>
  <si>
    <t>Western Australia ;  &gt;&gt; Structural underemployed full-time workers ;  Persons ;</t>
  </si>
  <si>
    <t>Western Australia ;  &gt;&gt; Structural underemployed full-time workers ;  Males ;</t>
  </si>
  <si>
    <t>Western Australia ;  &gt;&gt; Structural underemployed full-time workers ;  Females ;</t>
  </si>
  <si>
    <t>Western Australia ;  &gt;&gt; Structural underemployed part-time workers ;  Persons ;</t>
  </si>
  <si>
    <t>Western Australia ;  &gt;&gt; Structural underemployed part-time workers ;  Males ;</t>
  </si>
  <si>
    <t>Western Australia ;  &gt;&gt; Structural underemployed part-time workers ;  Females ;</t>
  </si>
  <si>
    <t>Western Australia ;  &gt; Underemployed full-time workers ;  Persons ;</t>
  </si>
  <si>
    <t>Western Australia ;  &gt; Underemployed full-time workers ;  Males ;</t>
  </si>
  <si>
    <t>Western Australia ;  &gt; Underemployed full-time workers ;  Females ;</t>
  </si>
  <si>
    <t>Western Australia ;  &gt; Underemployed part-time workers ;  Persons ;</t>
  </si>
  <si>
    <t>Western Australia ;  &gt; Underemployed part-time workers ;  Males ;</t>
  </si>
  <si>
    <t>Western Australia ;  &gt; Underemployed part-time workers ;  Females ;</t>
  </si>
  <si>
    <t>Western Australia ;  Underemployed workers (headline definition) ;  Persons ;</t>
  </si>
  <si>
    <t>Western Australia ;  Underemployed workers (headline definition) ;  Males ;</t>
  </si>
  <si>
    <t>Western Australia ;  Underemployed workers (headline definition) ;  Females ;</t>
  </si>
  <si>
    <t>Tasmania ;  Employed total ;  Persons ;</t>
  </si>
  <si>
    <t>Tasmania ;  Employed total ;  Males ;</t>
  </si>
  <si>
    <t>Tasmania ;  Employed total ;  Females ;</t>
  </si>
  <si>
    <t>Tasmania ;  &gt; Employed full-time ;  Persons ;</t>
  </si>
  <si>
    <t>Tasmania ;  &gt; Employed full-time ;  Males ;</t>
  </si>
  <si>
    <t>Tasmania ;  &gt; Employed full-time ;  Females ;</t>
  </si>
  <si>
    <t>Tasmania ;  &gt; Employed part-time ;  Persons ;</t>
  </si>
  <si>
    <t>Tasmania ;  &gt; Employed part-time ;  Males ;</t>
  </si>
  <si>
    <t>Tasmania ;  &gt; Employed part-time ;  Females ;</t>
  </si>
  <si>
    <t>Tasmania ;  Underemployed workers (expanded definition) ;  Persons ;</t>
  </si>
  <si>
    <t>Tasmania ;  Underemployed workers (expanded definition) ;  Males ;</t>
  </si>
  <si>
    <t>Tasmania ;  Underemployed workers (expanded definition) ;  Females ;</t>
  </si>
  <si>
    <t>Tasmania ;  &gt; Cyclical underemployed (reduced hours) ;  Persons ;</t>
  </si>
  <si>
    <t>Tasmania ;  &gt; Cyclical underemployed (reduced hours) ;  Males ;</t>
  </si>
  <si>
    <t>Tasmania ;  &gt; Cyclical underemployed (reduced hours) ;  Females ;</t>
  </si>
  <si>
    <t>Tasmania ;  &gt;&gt; Cyclical underemployed full-time workers ;  Persons ;</t>
  </si>
  <si>
    <t>Tasmania ;  &gt;&gt; Cyclical underemployed full-time workers ;  Males ;</t>
  </si>
  <si>
    <t>Tasmania ;  &gt;&gt; Cyclical underemployed full-time workers ;  Females ;</t>
  </si>
  <si>
    <t>Tasmania ;  &gt;&gt; Cyclical underemployed full-time workers ; Worked fewer than 35 hours ;  Persons ;</t>
  </si>
  <si>
    <t>Tasmania ;  &gt;&gt; Cyclical underemployed full-time workers ; Worked fewer than 35 hours ;  Males ;</t>
  </si>
  <si>
    <t>Tasmania ;  &gt;&gt; Cyclical underemployed full-time workers ; Worked fewer than 35 hours ;  Females ;</t>
  </si>
  <si>
    <t>Tasmania ;  &gt;&gt; Cyclical underemployed full-time workers ; Worked 35 hours or more ;  Persons ;</t>
  </si>
  <si>
    <t>Tasmania ;  &gt;&gt; Cyclical underemployed full-time workers ; Worked 35 hours or more ;  Males ;</t>
  </si>
  <si>
    <t>Tasmania ;  &gt;&gt; Cyclical underemployed full-time workers ; Worked 35 hours or more ;  Females ;</t>
  </si>
  <si>
    <t>Tasmania ;  &gt;&gt; Cyclical underemployed part-time workers ;  Persons ;</t>
  </si>
  <si>
    <t>Tasmania ;  &gt;&gt; Cyclical underemployed part-time workers ;  Males ;</t>
  </si>
  <si>
    <t>Tasmania ;  &gt;&gt; Cyclical underemployed part-time workers ;  Females ;</t>
  </si>
  <si>
    <t>Tasmania ;  &gt; Structural underemployed (prefer more hours) ;  Persons ;</t>
  </si>
  <si>
    <t>Tasmania ;  &gt; Structural underemployed (prefer more hours) ;  Males ;</t>
  </si>
  <si>
    <t>Tasmania ;  &gt; Structural underemployed (prefer more hours) ;  Females ;</t>
  </si>
  <si>
    <t>A127828899T</t>
  </si>
  <si>
    <t>A127834838A</t>
  </si>
  <si>
    <t>A127831868K</t>
  </si>
  <si>
    <t>A127828898R</t>
  </si>
  <si>
    <t>A127834832L</t>
  </si>
  <si>
    <t>A127831862W</t>
  </si>
  <si>
    <t>A127828892A</t>
  </si>
  <si>
    <t>A127834836W</t>
  </si>
  <si>
    <t>A127831866F</t>
  </si>
  <si>
    <t>A127828896K</t>
  </si>
  <si>
    <t>A127834831K</t>
  </si>
  <si>
    <t>A127831861V</t>
  </si>
  <si>
    <t>A127828891X</t>
  </si>
  <si>
    <t>A127834829X</t>
  </si>
  <si>
    <t>A127831859J</t>
  </si>
  <si>
    <t>A127828889L</t>
  </si>
  <si>
    <t>A127834840L</t>
  </si>
  <si>
    <t>A127831870W</t>
  </si>
  <si>
    <t>A127828900R</t>
  </si>
  <si>
    <t>A127834828W</t>
  </si>
  <si>
    <t>A127831858F</t>
  </si>
  <si>
    <t>A127828888K</t>
  </si>
  <si>
    <t>A127834835V</t>
  </si>
  <si>
    <t>A127831865C</t>
  </si>
  <si>
    <t>A127828895J</t>
  </si>
  <si>
    <t>A127834830J</t>
  </si>
  <si>
    <t>A127831860T</t>
  </si>
  <si>
    <t>A127828890W</t>
  </si>
  <si>
    <t>A127834827V</t>
  </si>
  <si>
    <t>A127831857C</t>
  </si>
  <si>
    <t>A127828887J</t>
  </si>
  <si>
    <t>A127834834T</t>
  </si>
  <si>
    <t>A127831864A</t>
  </si>
  <si>
    <t>A127828894F</t>
  </si>
  <si>
    <t>A127834833R</t>
  </si>
  <si>
    <t>A127831863X</t>
  </si>
  <si>
    <t>A127828893C</t>
  </si>
  <si>
    <t>A127834841R</t>
  </si>
  <si>
    <t>A127831871X</t>
  </si>
  <si>
    <t>A127828901T</t>
  </si>
  <si>
    <t>A127833517V</t>
  </si>
  <si>
    <t>A127830547C</t>
  </si>
  <si>
    <t>A127827577J</t>
  </si>
  <si>
    <t>A127833519X</t>
  </si>
  <si>
    <t>A127830549J</t>
  </si>
  <si>
    <t>A127827579L</t>
  </si>
  <si>
    <t>A127833518W</t>
  </si>
  <si>
    <t>A127830548F</t>
  </si>
  <si>
    <t>A127827578K</t>
  </si>
  <si>
    <t>A127833512J</t>
  </si>
  <si>
    <t>A127830542T</t>
  </si>
  <si>
    <t>A127827572W</t>
  </si>
  <si>
    <t>A127833516T</t>
  </si>
  <si>
    <t>A127830546A</t>
  </si>
  <si>
    <t>A127827576F</t>
  </si>
  <si>
    <t>A127833511F</t>
  </si>
  <si>
    <t>A127830541R</t>
  </si>
  <si>
    <t>A127827571V</t>
  </si>
  <si>
    <t>A127833509V</t>
  </si>
  <si>
    <t>A127830539C</t>
  </si>
  <si>
    <t>A127827569J</t>
  </si>
  <si>
    <t>A127833520J</t>
  </si>
  <si>
    <t>A127830550T</t>
  </si>
  <si>
    <t>A127827580W</t>
  </si>
  <si>
    <t>A127833508T</t>
  </si>
  <si>
    <t>A127830538A</t>
  </si>
  <si>
    <t>A127827568F</t>
  </si>
  <si>
    <t>A127833515R</t>
  </si>
  <si>
    <t>A127830545X</t>
  </si>
  <si>
    <t>A127827575C</t>
  </si>
  <si>
    <t>A127833510C</t>
  </si>
  <si>
    <t>A127830540L</t>
  </si>
  <si>
    <t>A127827570T</t>
  </si>
  <si>
    <t>A127833507R</t>
  </si>
  <si>
    <t>A127830537X</t>
  </si>
  <si>
    <t>A127827567C</t>
  </si>
  <si>
    <t>A127833514L</t>
  </si>
  <si>
    <t>A127830544W</t>
  </si>
  <si>
    <t>A127827574A</t>
  </si>
  <si>
    <t>A127833513K</t>
  </si>
  <si>
    <t>A127830543V</t>
  </si>
  <si>
    <t>A127827573X</t>
  </si>
  <si>
    <t>A127833521K</t>
  </si>
  <si>
    <t>A127830551V</t>
  </si>
  <si>
    <t>A127827581X</t>
  </si>
  <si>
    <t>A127835167T</t>
  </si>
  <si>
    <t>A127832197A</t>
  </si>
  <si>
    <t>A127829227V</t>
  </si>
  <si>
    <t>A127835169W</t>
  </si>
  <si>
    <t>A127832199F</t>
  </si>
  <si>
    <t>A127829229X</t>
  </si>
  <si>
    <t>A127835168V</t>
  </si>
  <si>
    <t>A127832198C</t>
  </si>
  <si>
    <t>A127829228W</t>
  </si>
  <si>
    <t>A127835162F</t>
  </si>
  <si>
    <t>A127832192R</t>
  </si>
  <si>
    <t>A127829222J</t>
  </si>
  <si>
    <t>A127835166R</t>
  </si>
  <si>
    <t>A127832196X</t>
  </si>
  <si>
    <t>A127829226T</t>
  </si>
  <si>
    <t>A127835161C</t>
  </si>
  <si>
    <t>A127832191L</t>
  </si>
  <si>
    <t>A127829221F</t>
  </si>
  <si>
    <t>A127835159T</t>
  </si>
  <si>
    <t>A127832189A</t>
  </si>
  <si>
    <t>A127829219V</t>
  </si>
  <si>
    <t>A127835170F</t>
  </si>
  <si>
    <t>A127832200C</t>
  </si>
  <si>
    <t>A127829230J</t>
  </si>
  <si>
    <t>A127835158R</t>
  </si>
  <si>
    <t>A127832188X</t>
  </si>
  <si>
    <t>A127829218T</t>
  </si>
  <si>
    <t>A127835165L</t>
  </si>
  <si>
    <t>A127832195W</t>
  </si>
  <si>
    <t>A127829225R</t>
  </si>
  <si>
    <t>A127835160A</t>
  </si>
  <si>
    <t>A127832190K</t>
  </si>
  <si>
    <t>A127829220C</t>
  </si>
  <si>
    <t>A127835157L</t>
  </si>
  <si>
    <t>A127832187W</t>
  </si>
  <si>
    <t>A127829217R</t>
  </si>
  <si>
    <t>A127835164K</t>
  </si>
  <si>
    <t>A127832194V</t>
  </si>
  <si>
    <t>A127829224L</t>
  </si>
  <si>
    <t>A127835163J</t>
  </si>
  <si>
    <t>A127832193T</t>
  </si>
  <si>
    <t>A127829223K</t>
  </si>
  <si>
    <t>A127835171J</t>
  </si>
  <si>
    <t>A127832201F</t>
  </si>
  <si>
    <t>A127829231K</t>
  </si>
  <si>
    <t>A127835497J</t>
  </si>
  <si>
    <t>A127832527F</t>
  </si>
  <si>
    <t>A127829557K</t>
  </si>
  <si>
    <t>A127835499L</t>
  </si>
  <si>
    <t>A127832529K</t>
  </si>
  <si>
    <t>A127829559R</t>
  </si>
  <si>
    <t>A127835498K</t>
  </si>
  <si>
    <t>A127832528J</t>
  </si>
  <si>
    <t>A127829558L</t>
  </si>
  <si>
    <t>A127835492W</t>
  </si>
  <si>
    <t>A127832522V</t>
  </si>
  <si>
    <t>A127829552X</t>
  </si>
  <si>
    <t>A127835496F</t>
  </si>
  <si>
    <t>A127832526C</t>
  </si>
  <si>
    <t>A127829556J</t>
  </si>
  <si>
    <t>A127835491V</t>
  </si>
  <si>
    <t>A127832521T</t>
  </si>
  <si>
    <t>A127829551W</t>
  </si>
  <si>
    <t>A127835489J</t>
  </si>
  <si>
    <t>A127832519F</t>
  </si>
  <si>
    <t>A127829549K</t>
  </si>
  <si>
    <t>A127835500K</t>
  </si>
  <si>
    <t>A127832530V</t>
  </si>
  <si>
    <t>A127829560X</t>
  </si>
  <si>
    <t>A127835488F</t>
  </si>
  <si>
    <t>A127832518C</t>
  </si>
  <si>
    <t>A127829548J</t>
  </si>
  <si>
    <t>A127835495C</t>
  </si>
  <si>
    <t>A127832525A</t>
  </si>
  <si>
    <t>A127829555F</t>
  </si>
  <si>
    <t>A127835490T</t>
  </si>
  <si>
    <t>A127832520R</t>
  </si>
  <si>
    <t>A127829550V</t>
  </si>
  <si>
    <t>A127835487C</t>
  </si>
  <si>
    <t>A127832517A</t>
  </si>
  <si>
    <t>A127829547F</t>
  </si>
  <si>
    <t>A127835494A</t>
  </si>
  <si>
    <t>A127832524X</t>
  </si>
  <si>
    <t>A127829554C</t>
  </si>
  <si>
    <t>A127835493X</t>
  </si>
  <si>
    <t>A127832523W</t>
  </si>
  <si>
    <t>A127829553A</t>
  </si>
  <si>
    <t>A127835501L</t>
  </si>
  <si>
    <t>A127832531W</t>
  </si>
  <si>
    <t>A127829561A</t>
  </si>
  <si>
    <t>A127833847K</t>
  </si>
  <si>
    <t>A127830877V</t>
  </si>
  <si>
    <t>A127827907L</t>
  </si>
  <si>
    <t>A127833849R</t>
  </si>
  <si>
    <t>A127830879X</t>
  </si>
  <si>
    <t>A127827909T</t>
  </si>
  <si>
    <t>A127833848L</t>
  </si>
  <si>
    <t>A127830878W</t>
  </si>
  <si>
    <t>A127827908R</t>
  </si>
  <si>
    <t>A127833842X</t>
  </si>
  <si>
    <t>A127830872J</t>
  </si>
  <si>
    <t>A127827902A</t>
  </si>
  <si>
    <t>A127833846J</t>
  </si>
  <si>
    <t>A127830876T</t>
  </si>
  <si>
    <t>A127827906K</t>
  </si>
  <si>
    <t>A127833841W</t>
  </si>
  <si>
    <t>A127830871F</t>
  </si>
  <si>
    <t>A127827901X</t>
  </si>
  <si>
    <t>A127833839K</t>
  </si>
  <si>
    <t>A127830869V</t>
  </si>
  <si>
    <t>A127827899X</t>
  </si>
  <si>
    <t>A127833850X</t>
  </si>
  <si>
    <t>A127830880J</t>
  </si>
  <si>
    <t>A127827910A</t>
  </si>
  <si>
    <t>A127833838J</t>
  </si>
  <si>
    <t>A127830868T</t>
  </si>
  <si>
    <t>A127827898W</t>
  </si>
  <si>
    <t>A127833845F</t>
  </si>
  <si>
    <t>A127830875R</t>
  </si>
  <si>
    <t>A127827905J</t>
  </si>
  <si>
    <t>A127833840V</t>
  </si>
  <si>
    <t>A127830870C</t>
  </si>
  <si>
    <t>A127827900W</t>
  </si>
  <si>
    <t>A127833837F</t>
  </si>
  <si>
    <t>A127830867R</t>
  </si>
  <si>
    <t>A127827897V</t>
  </si>
  <si>
    <t>A127833844C</t>
  </si>
  <si>
    <t>A127830874L</t>
  </si>
  <si>
    <t>A127827904F</t>
  </si>
  <si>
    <t>A127833843A</t>
  </si>
  <si>
    <t>A127830873K</t>
  </si>
  <si>
    <t>A127827903C</t>
  </si>
  <si>
    <t>A127833851A</t>
  </si>
  <si>
    <t>A127830881K</t>
  </si>
  <si>
    <t>A127827911C</t>
  </si>
  <si>
    <t>A127834177C</t>
  </si>
  <si>
    <t>A127831207A</t>
  </si>
  <si>
    <t>A127828237F</t>
  </si>
  <si>
    <t>A127834179J</t>
  </si>
  <si>
    <t>A127831209F</t>
  </si>
  <si>
    <t>A127828239K</t>
  </si>
  <si>
    <t>A127834178F</t>
  </si>
  <si>
    <t>A127831208C</t>
  </si>
  <si>
    <t>A127828238J</t>
  </si>
  <si>
    <t>A127834172T</t>
  </si>
  <si>
    <t>A127831202R</t>
  </si>
  <si>
    <t>A127828232V</t>
  </si>
  <si>
    <t>A127834176A</t>
  </si>
  <si>
    <t>A127831206X</t>
  </si>
  <si>
    <t>A127828236C</t>
  </si>
  <si>
    <t>A127834171R</t>
  </si>
  <si>
    <t>A127831201L</t>
  </si>
  <si>
    <t>A127828231T</t>
  </si>
  <si>
    <t>A127834169C</t>
  </si>
  <si>
    <t>A127831199L</t>
  </si>
  <si>
    <t>A127828229F</t>
  </si>
  <si>
    <t>A127834180T</t>
  </si>
  <si>
    <t>A127831210R</t>
  </si>
  <si>
    <t>A127828240V</t>
  </si>
  <si>
    <t>A127834168A</t>
  </si>
  <si>
    <t>A127831198K</t>
  </si>
  <si>
    <t>A127828228C</t>
  </si>
  <si>
    <t>A127834175X</t>
  </si>
  <si>
    <t>A127831205W</t>
  </si>
  <si>
    <t>A127828235A</t>
  </si>
  <si>
    <t>Tasmania ;  &gt;&gt; Structural underemployed full-time workers ;  Persons ;</t>
  </si>
  <si>
    <t>Tasmania ;  &gt;&gt; Structural underemployed full-time workers ;  Males ;</t>
  </si>
  <si>
    <t>Tasmania ;  &gt;&gt; Structural underemployed full-time workers ;  Females ;</t>
  </si>
  <si>
    <t>Tasmania ;  &gt;&gt; Structural underemployed part-time workers ;  Persons ;</t>
  </si>
  <si>
    <t>Tasmania ;  &gt;&gt; Structural underemployed part-time workers ;  Males ;</t>
  </si>
  <si>
    <t>Tasmania ;  &gt;&gt; Structural underemployed part-time workers ;  Females ;</t>
  </si>
  <si>
    <t>Tasmania ;  &gt; Underemployed full-time workers ;  Persons ;</t>
  </si>
  <si>
    <t>Tasmania ;  &gt; Underemployed full-time workers ;  Males ;</t>
  </si>
  <si>
    <t>Tasmania ;  &gt; Underemployed full-time workers ;  Females ;</t>
  </si>
  <si>
    <t>Tasmania ;  &gt; Underemployed part-time workers ;  Persons ;</t>
  </si>
  <si>
    <t>Tasmania ;  &gt; Underemployed part-time workers ;  Males ;</t>
  </si>
  <si>
    <t>Tasmania ;  &gt; Underemployed part-time workers ;  Females ;</t>
  </si>
  <si>
    <t>Tasmania ;  Underemployed workers (headline definition) ;  Persons ;</t>
  </si>
  <si>
    <t>Tasmania ;  Underemployed workers (headline definition) ;  Males ;</t>
  </si>
  <si>
    <t>Tasmania ;  Underemployed workers (headline definition) ;  Females ;</t>
  </si>
  <si>
    <t>Northern Territory ;  Employed total ;  Persons ;</t>
  </si>
  <si>
    <t>Northern Territory ;  Employed total ;  Males ;</t>
  </si>
  <si>
    <t>Northern Territory ;  Employed total ;  Females ;</t>
  </si>
  <si>
    <t>Northern Territory ;  &gt; Employed full-time ;  Persons ;</t>
  </si>
  <si>
    <t>Northern Territory ;  &gt; Employed full-time ;  Males ;</t>
  </si>
  <si>
    <t>Northern Territory ;  &gt; Employed full-time ;  Females ;</t>
  </si>
  <si>
    <t>Northern Territory ;  &gt; Employed part-time ;  Persons ;</t>
  </si>
  <si>
    <t>Northern Territory ;  &gt; Employed part-time ;  Males ;</t>
  </si>
  <si>
    <t>Northern Territory ;  &gt; Employed part-time ;  Females ;</t>
  </si>
  <si>
    <t>Northern Territory ;  Underemployed workers (expanded definition) ;  Persons ;</t>
  </si>
  <si>
    <t>Northern Territory ;  Underemployed workers (expanded definition) ;  Males ;</t>
  </si>
  <si>
    <t>Northern Territory ;  Underemployed workers (expanded definition) ;  Females ;</t>
  </si>
  <si>
    <t>Northern Territory ;  &gt; Cyclical underemployed (reduced hours) ;  Persons ;</t>
  </si>
  <si>
    <t>Northern Territory ;  &gt; Cyclical underemployed (reduced hours) ;  Males ;</t>
  </si>
  <si>
    <t>Northern Territory ;  &gt; Cyclical underemployed (reduced hours) ;  Females ;</t>
  </si>
  <si>
    <t>Northern Territory ;  &gt;&gt; Cyclical underemployed full-time workers ;  Persons ;</t>
  </si>
  <si>
    <t>Northern Territory ;  &gt;&gt; Cyclical underemployed full-time workers ;  Males ;</t>
  </si>
  <si>
    <t>Northern Territory ;  &gt;&gt; Cyclical underemployed full-time workers ;  Females ;</t>
  </si>
  <si>
    <t>Northern Territory ;  &gt;&gt; Cyclical underemployed full-time workers ; Worked fewer than 35 hours ;  Persons ;</t>
  </si>
  <si>
    <t>Northern Territory ;  &gt;&gt; Cyclical underemployed full-time workers ; Worked fewer than 35 hours ;  Males ;</t>
  </si>
  <si>
    <t>Northern Territory ;  &gt;&gt; Cyclical underemployed full-time workers ; Worked fewer than 35 hours ;  Females ;</t>
  </si>
  <si>
    <t>Northern Territory ;  &gt;&gt; Cyclical underemployed full-time workers ; Worked 35 hours or more ;  Persons ;</t>
  </si>
  <si>
    <t>Northern Territory ;  &gt;&gt; Cyclical underemployed full-time workers ; Worked 35 hours or more ;  Males ;</t>
  </si>
  <si>
    <t>Northern Territory ;  &gt;&gt; Cyclical underemployed full-time workers ; Worked 35 hours or more ;  Females ;</t>
  </si>
  <si>
    <t>Northern Territory ;  &gt;&gt; Cyclical underemployed part-time workers ;  Persons ;</t>
  </si>
  <si>
    <t>Northern Territory ;  &gt;&gt; Cyclical underemployed part-time workers ;  Males ;</t>
  </si>
  <si>
    <t>Northern Territory ;  &gt;&gt; Cyclical underemployed part-time workers ;  Females ;</t>
  </si>
  <si>
    <t>Northern Territory ;  &gt; Structural underemployed (prefer more hours) ;  Persons ;</t>
  </si>
  <si>
    <t>Northern Territory ;  &gt; Structural underemployed (prefer more hours) ;  Males ;</t>
  </si>
  <si>
    <t>Northern Territory ;  &gt; Structural underemployed (prefer more hours) ;  Females ;</t>
  </si>
  <si>
    <t>Northern Territory ;  &gt;&gt; Structural underemployed full-time workers ;  Persons ;</t>
  </si>
  <si>
    <t>Northern Territory ;  &gt;&gt; Structural underemployed full-time workers ;  Males ;</t>
  </si>
  <si>
    <t>Northern Territory ;  &gt;&gt; Structural underemployed full-time workers ;  Females ;</t>
  </si>
  <si>
    <t>Northern Territory ;  &gt;&gt; Structural underemployed part-time workers ;  Persons ;</t>
  </si>
  <si>
    <t>Northern Territory ;  &gt;&gt; Structural underemployed part-time workers ;  Males ;</t>
  </si>
  <si>
    <t>Northern Territory ;  &gt;&gt; Structural underemployed part-time workers ;  Females ;</t>
  </si>
  <si>
    <t>Northern Territory ;  &gt; Underemployed full-time workers ;  Persons ;</t>
  </si>
  <si>
    <t>Northern Territory ;  &gt; Underemployed full-time workers ;  Males ;</t>
  </si>
  <si>
    <t>Northern Territory ;  &gt; Underemployed full-time workers ;  Females ;</t>
  </si>
  <si>
    <t>Northern Territory ;  &gt; Underemployed part-time workers ;  Persons ;</t>
  </si>
  <si>
    <t>Northern Territory ;  &gt; Underemployed part-time workers ;  Males ;</t>
  </si>
  <si>
    <t>Northern Territory ;  &gt; Underemployed part-time workers ;  Females ;</t>
  </si>
  <si>
    <t>Northern Territory ;  Underemployed workers (headline definition) ;  Persons ;</t>
  </si>
  <si>
    <t>Northern Territory ;  Underemployed workers (headline definition) ;  Males ;</t>
  </si>
  <si>
    <t>Northern Territory ;  Underemployed workers (headline definition) ;  Females ;</t>
  </si>
  <si>
    <t>Australian Capital Territory ;  Employed total ;  Persons ;</t>
  </si>
  <si>
    <t>Australian Capital Territory ;  Employed total ;  Males ;</t>
  </si>
  <si>
    <t>Australian Capital Territory ;  Employed total ;  Females ;</t>
  </si>
  <si>
    <t>Australian Capital Territory ;  &gt; Employed full-time ;  Persons ;</t>
  </si>
  <si>
    <t>Australian Capital Territory ;  &gt; Employed full-time ;  Males ;</t>
  </si>
  <si>
    <t>Australian Capital Territory ;  &gt; Employed full-time ;  Females ;</t>
  </si>
  <si>
    <t>Australian Capital Territory ;  &gt; Employed part-time ;  Persons ;</t>
  </si>
  <si>
    <t>Australian Capital Territory ;  &gt; Employed part-time ;  Males ;</t>
  </si>
  <si>
    <t>Australian Capital Territory ;  &gt; Employed part-time ;  Females ;</t>
  </si>
  <si>
    <t>Australian Capital Territory ;  Underemployed workers (expanded definition) ;  Persons ;</t>
  </si>
  <si>
    <t>Australian Capital Territory ;  Underemployed workers (expanded definition) ;  Males ;</t>
  </si>
  <si>
    <t>Australian Capital Territory ;  Underemployed workers (expanded definition) ;  Females ;</t>
  </si>
  <si>
    <t>Australian Capital Territory ;  &gt; Cyclical underemployed (reduced hours) ;  Persons ;</t>
  </si>
  <si>
    <t>Australian Capital Territory ;  &gt; Cyclical underemployed (reduced hours) ;  Males ;</t>
  </si>
  <si>
    <t>Australian Capital Territory ;  &gt; Cyclical underemployed (reduced hours) ;  Females ;</t>
  </si>
  <si>
    <t>Australian Capital Territory ;  &gt;&gt; Cyclical underemployed full-time workers ;  Persons ;</t>
  </si>
  <si>
    <t>Australian Capital Territory ;  &gt;&gt; Cyclical underemployed full-time workers ;  Males ;</t>
  </si>
  <si>
    <t>Australian Capital Territory ;  &gt;&gt; Cyclical underemployed full-time workers ;  Females ;</t>
  </si>
  <si>
    <t>Australian Capital Territory ;  &gt;&gt; Cyclical underemployed full-time workers ; Worked fewer than 35 hours ;  Persons ;</t>
  </si>
  <si>
    <t>Australian Capital Territory ;  &gt;&gt; Cyclical underemployed full-time workers ; Worked fewer than 35 hours ;  Males ;</t>
  </si>
  <si>
    <t>Australian Capital Territory ;  &gt;&gt; Cyclical underemployed full-time workers ; Worked fewer than 35 hours ;  Females ;</t>
  </si>
  <si>
    <t>Australian Capital Territory ;  &gt;&gt; Cyclical underemployed full-time workers ; Worked 35 hours or more ;  Persons ;</t>
  </si>
  <si>
    <t>Australian Capital Territory ;  &gt;&gt; Cyclical underemployed full-time workers ; Worked 35 hours or more ;  Males ;</t>
  </si>
  <si>
    <t>Australian Capital Territory ;  &gt;&gt; Cyclical underemployed full-time workers ; Worked 35 hours or more ;  Females ;</t>
  </si>
  <si>
    <t>Australian Capital Territory ;  &gt;&gt; Cyclical underemployed part-time workers ;  Persons ;</t>
  </si>
  <si>
    <t>Australian Capital Territory ;  &gt;&gt; Cyclical underemployed part-time workers ;  Males ;</t>
  </si>
  <si>
    <t>Australian Capital Territory ;  &gt;&gt; Cyclical underemployed part-time workers ;  Females ;</t>
  </si>
  <si>
    <t>Australian Capital Territory ;  &gt; Structural underemployed (prefer more hours) ;  Persons ;</t>
  </si>
  <si>
    <t>Australian Capital Territory ;  &gt; Structural underemployed (prefer more hours) ;  Males ;</t>
  </si>
  <si>
    <t>Australian Capital Territory ;  &gt; Structural underemployed (prefer more hours) ;  Females ;</t>
  </si>
  <si>
    <t>Australian Capital Territory ;  &gt;&gt; Structural underemployed full-time workers ;  Persons ;</t>
  </si>
  <si>
    <t>Australian Capital Territory ;  &gt;&gt; Structural underemployed full-time workers ;  Males ;</t>
  </si>
  <si>
    <t>Australian Capital Territory ;  &gt;&gt; Structural underemployed full-time workers ;  Females ;</t>
  </si>
  <si>
    <t>Australian Capital Territory ;  &gt;&gt; Structural underemployed part-time workers ;  Persons ;</t>
  </si>
  <si>
    <t>Australian Capital Territory ;  &gt;&gt; Structural underemployed part-time workers ;  Males ;</t>
  </si>
  <si>
    <t>Australian Capital Territory ;  &gt;&gt; Structural underemployed part-time workers ;  Females ;</t>
  </si>
  <si>
    <t>Australian Capital Territory ;  &gt; Underemployed full-time workers ;  Persons ;</t>
  </si>
  <si>
    <t>Australian Capital Territory ;  &gt; Underemployed full-time workers ;  Males ;</t>
  </si>
  <si>
    <t>Australian Capital Territory ;  &gt; Underemployed full-time workers ;  Females ;</t>
  </si>
  <si>
    <t>Australian Capital Territory ;  &gt; Underemployed part-time workers ;  Persons ;</t>
  </si>
  <si>
    <t>Australian Capital Territory ;  &gt; Underemployed part-time workers ;  Males ;</t>
  </si>
  <si>
    <t>Australian Capital Territory ;  &gt; Underemployed part-time workers ;  Females ;</t>
  </si>
  <si>
    <t>Australian Capital Territory ;  Underemployed workers (headline definition) ;  Persons ;</t>
  </si>
  <si>
    <t>Australian Capital Territory ;  Underemployed workers (headline definition) ;  Males ;</t>
  </si>
  <si>
    <t>Australian Capital Territory ;  Underemployed workers (headline definition) ;  Females ;</t>
  </si>
  <si>
    <t>A127834170L</t>
  </si>
  <si>
    <t>A127831200K</t>
  </si>
  <si>
    <t>A127828230R</t>
  </si>
  <si>
    <t>A127834167X</t>
  </si>
  <si>
    <t>A127831197J</t>
  </si>
  <si>
    <t>A127828227A</t>
  </si>
  <si>
    <t>A127834174W</t>
  </si>
  <si>
    <t>A127831204V</t>
  </si>
  <si>
    <t>A127828234X</t>
  </si>
  <si>
    <t>A127834173V</t>
  </si>
  <si>
    <t>A127831203T</t>
  </si>
  <si>
    <t>A127828233W</t>
  </si>
  <si>
    <t>A127834181V</t>
  </si>
  <si>
    <t>A127831211T</t>
  </si>
  <si>
    <t>A127828241W</t>
  </si>
  <si>
    <t>A127834507J</t>
  </si>
  <si>
    <t>A127831537T</t>
  </si>
  <si>
    <t>A127828567W</t>
  </si>
  <si>
    <t>A127834509L</t>
  </si>
  <si>
    <t>A127831539W</t>
  </si>
  <si>
    <t>A127828569A</t>
  </si>
  <si>
    <t>A127834508K</t>
  </si>
  <si>
    <t>A127831538V</t>
  </si>
  <si>
    <t>A127828568X</t>
  </si>
  <si>
    <t>A127834502W</t>
  </si>
  <si>
    <t>A127831532F</t>
  </si>
  <si>
    <t>A127828562K</t>
  </si>
  <si>
    <t>A127834506F</t>
  </si>
  <si>
    <t>A127831536R</t>
  </si>
  <si>
    <t>A127828566V</t>
  </si>
  <si>
    <t>A127834501V</t>
  </si>
  <si>
    <t>A127831531C</t>
  </si>
  <si>
    <t>A127828561J</t>
  </si>
  <si>
    <t>A127834499V</t>
  </si>
  <si>
    <t>A127831529T</t>
  </si>
  <si>
    <t>A127828559W</t>
  </si>
  <si>
    <t>A127834510W</t>
  </si>
  <si>
    <t>A127831540F</t>
  </si>
  <si>
    <t>A127828570K</t>
  </si>
  <si>
    <t>A127834498T</t>
  </si>
  <si>
    <t>A127831528R</t>
  </si>
  <si>
    <t>A127828558V</t>
  </si>
  <si>
    <t>A127834505C</t>
  </si>
  <si>
    <t>A127831535L</t>
  </si>
  <si>
    <t>A127828565T</t>
  </si>
  <si>
    <t>A127834500T</t>
  </si>
  <si>
    <t>A127831530A</t>
  </si>
  <si>
    <t>A127828560F</t>
  </si>
  <si>
    <t>A127834497R</t>
  </si>
  <si>
    <t>A127831527L</t>
  </si>
  <si>
    <t>A127828557T</t>
  </si>
  <si>
    <t>A127834504A</t>
  </si>
  <si>
    <t>A127831534K</t>
  </si>
  <si>
    <t>A127828564R</t>
  </si>
  <si>
    <t>A127834503X</t>
  </si>
  <si>
    <t>A127831533J</t>
  </si>
  <si>
    <t>A127828563L</t>
  </si>
  <si>
    <t>A127834511X</t>
  </si>
  <si>
    <t>A127831541J</t>
  </si>
  <si>
    <t>A127828571L</t>
  </si>
  <si>
    <t>A127832857W</t>
  </si>
  <si>
    <t>A127829887A</t>
  </si>
  <si>
    <t>A127826917X</t>
  </si>
  <si>
    <t>A127832859A</t>
  </si>
  <si>
    <t>A127829889F</t>
  </si>
  <si>
    <t>A127826919C</t>
  </si>
  <si>
    <t>A127832858X</t>
  </si>
  <si>
    <t>A127829888C</t>
  </si>
  <si>
    <t>A127826918A</t>
  </si>
  <si>
    <t>A127832852K</t>
  </si>
  <si>
    <t>A127829882R</t>
  </si>
  <si>
    <t>A127826912L</t>
  </si>
  <si>
    <t>A127832856V</t>
  </si>
  <si>
    <t>A127829886X</t>
  </si>
  <si>
    <t>A127826916W</t>
  </si>
  <si>
    <t>A127832851J</t>
  </si>
  <si>
    <t>A127829881L</t>
  </si>
  <si>
    <t>A127826911K</t>
  </si>
  <si>
    <t>A127832849W</t>
  </si>
  <si>
    <t>A127829879A</t>
  </si>
  <si>
    <t>A127826909X</t>
  </si>
  <si>
    <t>A127832860K</t>
  </si>
  <si>
    <t>A127829890R</t>
  </si>
  <si>
    <t>A127826920L</t>
  </si>
  <si>
    <t>A127832848V</t>
  </si>
  <si>
    <t>A127829878X</t>
  </si>
  <si>
    <t>A127826908W</t>
  </si>
  <si>
    <t>A127832855T</t>
  </si>
  <si>
    <t>A127829885W</t>
  </si>
  <si>
    <t>A127826915V</t>
  </si>
  <si>
    <t>A127832850F</t>
  </si>
  <si>
    <t>A127829880K</t>
  </si>
  <si>
    <t>A127826910J</t>
  </si>
  <si>
    <t>A127832847T</t>
  </si>
  <si>
    <t>A127829877W</t>
  </si>
  <si>
    <t>A127826907V</t>
  </si>
  <si>
    <t>A127832854R</t>
  </si>
  <si>
    <t>A127829884V</t>
  </si>
  <si>
    <t>A127826914T</t>
  </si>
  <si>
    <t>A127832853L</t>
  </si>
  <si>
    <t>A127829883T</t>
  </si>
  <si>
    <t>A127826913R</t>
  </si>
  <si>
    <t>A127832861L</t>
  </si>
  <si>
    <t>A127829891T</t>
  </si>
  <si>
    <t>A127826921R</t>
  </si>
  <si>
    <t>Time Series Workbook</t>
  </si>
  <si>
    <t>6229.0 Underemployed workers</t>
  </si>
  <si>
    <t>Table 1. Cyclical and structural underemployment of full-time and part-time workers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</si>
  <si>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</si>
  <si>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</si>
  <si>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</si>
  <si>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</si>
  <si>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</si>
  <si>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</si>
  <si>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Contents</t>
  </si>
  <si>
    <t>Tables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</si>
  <si>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</si>
  <si>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</si>
  <si>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</si>
  <si>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</si>
  <si>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</si>
  <si>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</si>
  <si>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</si>
  <si>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an age group:</t>
  </si>
  <si>
    <t>15 years and over</t>
  </si>
  <si>
    <t>Time Series IDs</t>
  </si>
  <si>
    <t>Persons</t>
  </si>
  <si>
    <t>Males</t>
  </si>
  <si>
    <t>Females</t>
  </si>
  <si>
    <t>'000</t>
  </si>
  <si>
    <t>Cyclical and structural underemployed workers (expanded definition)</t>
  </si>
  <si>
    <t>Underemployed workers (expanded definition)</t>
  </si>
  <si>
    <t>Cyclical underemployed workers (reduced hours)</t>
  </si>
  <si>
    <t>Cyclical underemployed full-time workers</t>
  </si>
  <si>
    <t>Worked fewer than 35 hours</t>
  </si>
  <si>
    <t>Worked 35 hours or more</t>
  </si>
  <si>
    <t>Cyclical underemployed part-time workers</t>
  </si>
  <si>
    <t>Structural underemployed workers (prefer more hours)</t>
  </si>
  <si>
    <t>Structural underemployed full-time workers</t>
  </si>
  <si>
    <t>Structural underemployed part-time workers</t>
  </si>
  <si>
    <t>Full-time and part-time underemployed workers (expanded definition)</t>
  </si>
  <si>
    <t>Underemployed full-time workers</t>
  </si>
  <si>
    <t>Underemployed part-time workers</t>
  </si>
  <si>
    <t>Underemployed workers (headline definition)</t>
  </si>
  <si>
    <t>Cyclical underemployed full-time workers who worked fewer than 35 hours</t>
  </si>
  <si>
    <t>Full-time and part-time employment</t>
  </si>
  <si>
    <t>Employed total</t>
  </si>
  <si>
    <t>Employed full-time</t>
  </si>
  <si>
    <t>Employed part-time</t>
  </si>
  <si>
    <t>15 to 64 years</t>
  </si>
  <si>
    <t>15 to 24 years</t>
  </si>
  <si>
    <t>15 to 19 years</t>
  </si>
  <si>
    <t>20 to 24 years</t>
  </si>
  <si>
    <t>25 to 34 years</t>
  </si>
  <si>
    <t>35 to 44 years</t>
  </si>
  <si>
    <t>45 to 54 years</t>
  </si>
  <si>
    <t>55 years and over</t>
  </si>
  <si>
    <t>55 to 64 years</t>
  </si>
  <si>
    <t>65 years and over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</si>
  <si>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</si>
  <si>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</si>
  <si>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</si>
  <si>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</si>
  <si>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</si>
  <si>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</si>
  <si>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</si>
  <si>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</si>
  <si>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</si>
  <si>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Aust</t>
  </si>
  <si>
    <t>NSW</t>
  </si>
  <si>
    <t>Vic</t>
  </si>
  <si>
    <t>Qld</t>
  </si>
  <si>
    <t>SA</t>
  </si>
  <si>
    <t>WA</t>
  </si>
  <si>
    <t>Tas</t>
  </si>
  <si>
    <t>NT</t>
  </si>
  <si>
    <t>ACT</t>
  </si>
  <si>
    <t>Table 1.1 - Cyclical and structural underemployment of full-time and part-time workers by age, February 2022</t>
  </si>
  <si>
    <t>Table 1.2 - Cyclical and structural underemployment of full-time and part-time workers by state and territory, February 2022</t>
  </si>
  <si>
    <t>Released at 11:30 am (Canberra time) Tue 24 May 2022</t>
  </si>
  <si>
    <t>Underemployed workers, February 2022</t>
  </si>
  <si>
    <t>Select a state or territory: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</si>
</sst>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6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u/>
      <sz val="8"/>
      <color theme="10"/>
      <name val="Arial"/>
      <family val="2"/>
    </font>
    <font>
      <b/>
      <sz val="10"/>
      <name val="Tahoma"/>
      <family val="2"/>
    </font>
    <font>
      <sz val="8"/>
      <color rgb="FFFF0000"/>
      <name val="Arial"/>
      <family val="2"/>
    </font>
    <font>
      <b/>
      <sz val="10"/>
      <color rgb="FFFF0000"/>
      <name val="Tahoma"/>
      <family val="2"/>
    </font>
    <font>
      <sz val="10"/>
      <color rgb="FFFF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9" fillId="0" borderId="0"/>
  </cellStyleXfs>
  <cellXfs count="69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8" fillId="0" borderId="0" xfId="9" quotePrefix="1" applyNumberFormat="1" applyFont="1" applyAlignment="1">
      <alignment wrapText="1"/>
    </xf>
    <xf numFmtId="0" fontId="11" fillId="0" borderId="0" xfId="3" applyFont="1" applyAlignment="1">
      <alignment horizontal="right"/>
    </xf>
    <xf numFmtId="0" fontId="2" fillId="0" borderId="0" xfId="0" applyFont="1" applyAlignment="1">
      <alignment horizontal="left"/>
    </xf>
    <xf numFmtId="1" fontId="30" fillId="0" borderId="0" xfId="4" quotePrefix="1" applyNumberFormat="1" applyFont="1" applyAlignment="1">
      <alignment horizontal="center"/>
    </xf>
    <xf numFmtId="166" fontId="19" fillId="0" borderId="0" xfId="7" applyNumberFormat="1" applyFont="1" applyAlignment="1">
      <alignment horizontal="right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indent="2"/>
    </xf>
    <xf numFmtId="0" fontId="1" fillId="0" borderId="0" xfId="0" applyFont="1" applyAlignment="1">
      <alignment horizontal="left" indent="3"/>
    </xf>
    <xf numFmtId="0" fontId="31" fillId="0" borderId="0" xfId="1" applyFont="1" applyAlignment="1">
      <alignment horizontal="left"/>
    </xf>
    <xf numFmtId="0" fontId="32" fillId="0" borderId="0" xfId="7" applyFont="1"/>
    <xf numFmtId="0" fontId="13" fillId="0" borderId="0" xfId="7"/>
    <xf numFmtId="0" fontId="10" fillId="0" borderId="0" xfId="0" applyFont="1"/>
    <xf numFmtId="3" fontId="33" fillId="0" borderId="0" xfId="7" applyNumberFormat="1" applyFont="1" applyAlignment="1">
      <alignment horizontal="right"/>
    </xf>
    <xf numFmtId="166" fontId="33" fillId="0" borderId="0" xfId="7" applyNumberFormat="1" applyFont="1" applyAlignment="1">
      <alignment horizontal="right"/>
    </xf>
    <xf numFmtId="0" fontId="34" fillId="0" borderId="0" xfId="7" applyFont="1"/>
    <xf numFmtId="0" fontId="35" fillId="0" borderId="0" xfId="7" applyFont="1"/>
    <xf numFmtId="0" fontId="16" fillId="0" borderId="0" xfId="4" quotePrefix="1" applyFont="1" applyAlignment="1">
      <alignment horizontal="right"/>
    </xf>
    <xf numFmtId="0" fontId="12" fillId="0" borderId="0" xfId="7" applyFont="1"/>
    <xf numFmtId="0" fontId="11" fillId="0" borderId="0" xfId="10" applyFont="1" applyAlignment="1">
      <alignment horizontal="left" indent="1"/>
    </xf>
    <xf numFmtId="0" fontId="1" fillId="0" borderId="0" xfId="0" applyFont="1" applyAlignment="1">
      <alignment horizontal="left"/>
    </xf>
    <xf numFmtId="0" fontId="2" fillId="0" borderId="0" xfId="0" applyFont="1"/>
    <xf numFmtId="0" fontId="1" fillId="0" borderId="0" xfId="0" applyFont="1"/>
    <xf numFmtId="164" fontId="2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17" fontId="28" fillId="0" borderId="4" xfId="9" quotePrefix="1" applyNumberFormat="1" applyFont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5" fillId="3" borderId="1" xfId="6" applyFont="1" applyFill="1" applyBorder="1" applyAlignment="1">
      <alignment horizontal="left" vertical="center" indent="13"/>
    </xf>
    <xf numFmtId="17" fontId="29" fillId="4" borderId="3" xfId="9" quotePrefix="1" applyNumberFormat="1" applyFont="1" applyFill="1" applyBorder="1" applyAlignment="1">
      <alignment horizontal="center" wrapText="1"/>
    </xf>
    <xf numFmtId="17" fontId="28" fillId="4" borderId="3" xfId="9" quotePrefix="1" applyNumberFormat="1" applyFont="1" applyFill="1" applyBorder="1" applyAlignment="1">
      <alignment horizontal="center" wrapText="1"/>
    </xf>
  </cellXfs>
  <cellStyles count="11">
    <cellStyle name="Hyperlink" xfId="1" builtinId="8"/>
    <cellStyle name="Hyperlink 2" xfId="5" xr:uid="{0DA4CDD5-B44E-4326-B067-87700AF53CB5}"/>
    <cellStyle name="Normal" xfId="0" builtinId="0"/>
    <cellStyle name="Normal 10" xfId="3" xr:uid="{4E53EF62-40B9-4C96-9F27-055A694F0C33}"/>
    <cellStyle name="Normal 2" xfId="7" xr:uid="{36751BBE-CA28-4EBE-9E1D-D3F84DD2E489}"/>
    <cellStyle name="Normal 2 2 2" xfId="10" xr:uid="{2B8D68FE-4684-44D6-A996-15F078DA5893}"/>
    <cellStyle name="Normal 2 4" xfId="4" xr:uid="{55BB21C8-071B-4F5A-929C-FA5BCF6A0457}"/>
    <cellStyle name="Normal 3 5 4" xfId="2" xr:uid="{2B2E2264-6F78-4ED4-B048-A16B3A79CA7B}"/>
    <cellStyle name="Style1" xfId="6" xr:uid="{E654B16F-83CE-497C-ACCB-C02B97417D60}"/>
    <cellStyle name="Style4" xfId="8" xr:uid="{6D550DCB-7712-451D-B721-E7342BDD4C01}"/>
    <cellStyle name="Style5" xfId="9" xr:uid="{E64EF450-289B-4EB4-B122-75877B79A6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979E19-C508-4F7C-8543-51F3EA7905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2E1970-3588-45D5-809A-9F415CF528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8235CE-F0C0-48F5-B93A-A5BDDA31F2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D218FD-06E8-415B-B47D-7C36EE1C4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2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underemployed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27153-A850-4E95-8272-788E2A282F43}">
  <dimension ref="A1:E27"/>
  <sheetViews>
    <sheetView showGridLines="0" tabSelected="1" workbookViewId="0">
      <pane ySplit="7" topLeftCell="A8" activePane="bottomLeft" state="frozen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6"/>
      <c r="B1" s="6"/>
      <c r="C1" s="6"/>
      <c r="D1" s="6"/>
      <c r="E1" s="6"/>
    </row>
    <row r="2" spans="1:5">
      <c r="A2" s="6"/>
      <c r="B2" s="8" t="s">
        <v>1723</v>
      </c>
      <c r="C2" s="7"/>
      <c r="D2" s="7"/>
      <c r="E2" s="7"/>
    </row>
    <row r="3" spans="1:5" ht="12" customHeight="1">
      <c r="A3" s="6"/>
      <c r="B3" s="7"/>
      <c r="C3" s="7"/>
      <c r="D3" s="7"/>
      <c r="E3" s="7"/>
    </row>
    <row r="4" spans="1:5">
      <c r="A4" s="6"/>
      <c r="B4" s="7"/>
      <c r="C4" s="7"/>
      <c r="D4" s="7"/>
      <c r="E4" s="7"/>
    </row>
    <row r="5" spans="1:5" ht="15.75">
      <c r="A5" s="6"/>
      <c r="B5" s="9" t="s">
        <v>1724</v>
      </c>
      <c r="C5" s="6"/>
      <c r="D5" s="6"/>
      <c r="E5" s="6"/>
    </row>
    <row r="6" spans="1:5" ht="15.75" customHeight="1">
      <c r="A6" s="6"/>
      <c r="B6" s="60" t="s">
        <v>1725</v>
      </c>
      <c r="C6" s="60"/>
      <c r="D6" s="60"/>
      <c r="E6" s="60"/>
    </row>
    <row r="7" spans="1:5" ht="15.75" customHeight="1">
      <c r="A7" s="6"/>
      <c r="B7" s="16" t="s">
        <v>1797</v>
      </c>
      <c r="C7" s="6"/>
      <c r="D7" s="6"/>
      <c r="E7" s="6"/>
    </row>
    <row r="8" spans="1:5">
      <c r="A8" s="17"/>
      <c r="B8" s="17"/>
      <c r="C8" s="17"/>
      <c r="D8" s="6"/>
      <c r="E8" s="6"/>
    </row>
    <row r="9" spans="1:5" ht="15.75">
      <c r="A9" s="18"/>
      <c r="B9" s="19" t="s">
        <v>1732</v>
      </c>
      <c r="C9" s="19"/>
      <c r="D9" s="6"/>
      <c r="E9" s="6"/>
    </row>
    <row r="10" spans="1:5">
      <c r="A10" s="18"/>
      <c r="B10" s="20" t="s">
        <v>1733</v>
      </c>
      <c r="C10" s="18"/>
      <c r="D10" s="6"/>
      <c r="E10" s="6"/>
    </row>
    <row r="11" spans="1:5">
      <c r="A11" s="18"/>
      <c r="B11" s="21">
        <v>1.1000000000000001</v>
      </c>
      <c r="C11" s="22" t="s">
        <v>1795</v>
      </c>
      <c r="D11" s="6"/>
      <c r="E11" s="6"/>
    </row>
    <row r="12" spans="1:5">
      <c r="A12" s="18"/>
      <c r="B12" s="21">
        <v>1.2</v>
      </c>
      <c r="C12" s="22" t="s">
        <v>1796</v>
      </c>
      <c r="D12" s="6"/>
      <c r="E12" s="6"/>
    </row>
    <row r="13" spans="1:5">
      <c r="A13" s="18"/>
      <c r="B13" s="21" t="s">
        <v>1734</v>
      </c>
      <c r="C13" s="22" t="s">
        <v>1735</v>
      </c>
      <c r="D13" s="6"/>
      <c r="E13" s="6"/>
    </row>
    <row r="14" spans="1:5">
      <c r="A14" s="17"/>
      <c r="B14" s="17"/>
      <c r="C14" s="17"/>
      <c r="D14" s="6"/>
      <c r="E14" s="6"/>
    </row>
    <row r="15" spans="1:5" ht="15.75">
      <c r="A15" s="18"/>
      <c r="B15" s="61"/>
      <c r="C15" s="61"/>
      <c r="D15" s="6"/>
      <c r="E15" s="6"/>
    </row>
    <row r="16" spans="1:5" ht="15.75">
      <c r="A16" s="18"/>
      <c r="B16" s="62" t="s">
        <v>1736</v>
      </c>
      <c r="C16" s="62"/>
      <c r="D16" s="6"/>
      <c r="E16" s="6"/>
    </row>
    <row r="17" spans="1:5">
      <c r="A17" s="17"/>
      <c r="B17" s="17"/>
      <c r="C17" s="17"/>
      <c r="D17" s="6"/>
      <c r="E17" s="6"/>
    </row>
    <row r="18" spans="1:5">
      <c r="A18" s="18"/>
      <c r="B18" s="23" t="s">
        <v>1798</v>
      </c>
      <c r="C18" s="18"/>
      <c r="D18" s="6"/>
      <c r="E18" s="6"/>
    </row>
    <row r="19" spans="1:5">
      <c r="A19" s="18"/>
      <c r="B19" s="63" t="s">
        <v>1737</v>
      </c>
      <c r="C19" s="63"/>
      <c r="D19" s="6"/>
      <c r="E19" s="6"/>
    </row>
    <row r="20" spans="1:5">
      <c r="A20" s="18"/>
      <c r="B20" s="63" t="s">
        <v>1738</v>
      </c>
      <c r="C20" s="63"/>
      <c r="D20" s="6"/>
      <c r="E20" s="6"/>
    </row>
    <row r="21" spans="1:5">
      <c r="A21" s="17"/>
      <c r="B21" s="63"/>
      <c r="C21" s="63"/>
      <c r="D21" s="6"/>
      <c r="E21" s="6"/>
    </row>
    <row r="22" spans="1:5">
      <c r="A22" s="17"/>
      <c r="B22" s="10" t="s">
        <v>1726</v>
      </c>
      <c r="C22" s="6"/>
      <c r="D22" s="6"/>
      <c r="E22" s="6"/>
    </row>
    <row r="23" spans="1:5">
      <c r="A23" s="17"/>
      <c r="B23" s="59" t="s">
        <v>1739</v>
      </c>
      <c r="C23" s="59"/>
      <c r="D23" s="59"/>
      <c r="E23" s="59"/>
    </row>
    <row r="24" spans="1:5">
      <c r="A24" s="17"/>
      <c r="B24" s="59" t="s">
        <v>1740</v>
      </c>
      <c r="C24" s="59"/>
      <c r="D24" s="59"/>
      <c r="E24" s="59"/>
    </row>
    <row r="25" spans="1:5">
      <c r="A25" s="17"/>
      <c r="B25" s="6"/>
      <c r="C25" s="6"/>
      <c r="D25" s="6"/>
      <c r="E25" s="6"/>
    </row>
    <row r="26" spans="1:5">
      <c r="A26" s="17"/>
      <c r="B26" s="17"/>
      <c r="C26" s="17"/>
      <c r="D26" s="6"/>
      <c r="E26" s="6"/>
    </row>
    <row r="27" spans="1:5">
      <c r="A27" s="17"/>
      <c r="B27" s="24" t="str">
        <f ca="1">"© Commonwealth of Australia "&amp;YEAR(TODAY())</f>
        <v>© Commonwealth of Australia 2022</v>
      </c>
      <c r="C27" s="18"/>
      <c r="D27" s="6"/>
      <c r="E27" s="6"/>
    </row>
  </sheetData>
  <mergeCells count="8">
    <mergeCell ref="B23:E23"/>
    <mergeCell ref="B24:E24"/>
    <mergeCell ref="B6:E6"/>
    <mergeCell ref="B15:C15"/>
    <mergeCell ref="B16:C16"/>
    <mergeCell ref="B19:C19"/>
    <mergeCell ref="B20:C20"/>
    <mergeCell ref="B21:C21"/>
  </mergeCells>
  <hyperlinks>
    <hyperlink ref="B16" r:id="rId1" xr:uid="{F0480422-A0AB-488C-8C42-6781F7A6939B}"/>
    <hyperlink ref="B13" location="Index!A12" display="Index" xr:uid="{48918B63-61DD-4F10-A100-63CFF9C361EC}"/>
    <hyperlink ref="B27" r:id="rId2" display="© Commonwealth of Australia 2015" xr:uid="{B08ACBE4-B23F-45A5-8A21-4BB08D910BEA}"/>
    <hyperlink ref="B12" location="'Table 1.2'!C10" display="'Table 1.2'!C10" xr:uid="{E98BD67B-8074-45EC-9572-F455C60B259B}"/>
    <hyperlink ref="B24" r:id="rId3" display="or the Labour Surveys Branch at labour.statistics@abs.gov.au." xr:uid="{6802B2B7-3A95-4FD4-9B0D-C6BFA4B2541E}"/>
    <hyperlink ref="B23:E23" r:id="rId4" display="For further information about these and related statistics visit www.abs.gov.au/about/contact-us" xr:uid="{87B633C5-F83A-444B-94BA-9D2B8DE26078}"/>
    <hyperlink ref="B11" location="'Table 1.1'!C10" display="'Table 1.1'!C10" xr:uid="{EE8DB624-5F22-4C26-BBEC-F6945104AAF1}"/>
    <hyperlink ref="B20" r:id="rId5" display="Explanatory Notes" xr:uid="{1FA38634-AD7C-4BBF-9806-4E991BC959BD}"/>
    <hyperlink ref="B19" r:id="rId6" xr:uid="{A7F46A5F-2024-4BED-B428-9F9D98A77E6F}"/>
    <hyperlink ref="B19:C19" r:id="rId7" display="Summary" xr:uid="{BF551CA8-6FA9-499F-ACBD-6C6445A9490D}"/>
    <hyperlink ref="B20:C20" r:id="rId8" display="Methodology" xr:uid="{BF4E2696-9493-434A-810A-1BE0BED665F3}"/>
  </hyperlinks>
  <pageMargins left="0.7" right="0.7" top="0.75" bottom="0.75" header="0.3" footer="0.3"/>
  <pageSetup paperSize="9" orientation="portrait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B25F3-786B-4683-A993-22CD52B19C64}">
  <sheetPr>
    <pageSetUpPr fitToPage="1"/>
  </sheetPr>
  <dimension ref="A1:AJ147"/>
  <sheetViews>
    <sheetView zoomScaleNormal="100" workbookViewId="0">
      <pane ySplit="12" topLeftCell="A13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0" ht="11.25" customHeight="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20" ht="15.95" customHeight="1">
      <c r="A2" s="6"/>
      <c r="B2" s="26" t="s">
        <v>1723</v>
      </c>
      <c r="C2" s="7"/>
      <c r="D2" s="7"/>
      <c r="E2" s="7"/>
      <c r="F2" s="7"/>
      <c r="G2" s="7"/>
      <c r="H2" s="7"/>
      <c r="I2" s="7"/>
      <c r="J2" s="7"/>
      <c r="K2" s="7"/>
      <c r="L2" s="26"/>
      <c r="M2" s="7"/>
      <c r="N2" s="7"/>
      <c r="O2" s="7"/>
      <c r="P2" s="7"/>
      <c r="Q2" s="7"/>
      <c r="R2" s="7"/>
      <c r="S2" s="7"/>
      <c r="T2" s="7"/>
    </row>
    <row r="3" spans="1:20" ht="11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0" ht="11.25" customHeight="1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</row>
    <row r="5" spans="1:20" ht="15.95" customHeight="1">
      <c r="A5" s="25"/>
      <c r="B5" s="27" t="str">
        <f>Contents!B5</f>
        <v>6229.0 Underemployed workers</v>
      </c>
      <c r="C5" s="25"/>
      <c r="D5" s="25"/>
      <c r="E5" s="25"/>
      <c r="F5" s="25"/>
      <c r="G5" s="25"/>
      <c r="H5" s="25"/>
      <c r="I5" s="25"/>
      <c r="J5" s="25"/>
      <c r="K5" s="25"/>
      <c r="L5" s="27"/>
      <c r="M5" s="25"/>
      <c r="N5" s="25"/>
      <c r="O5" s="25"/>
      <c r="P5" s="25"/>
      <c r="Q5" s="25"/>
      <c r="R5" s="25"/>
      <c r="S5" s="25"/>
      <c r="T5" s="25"/>
    </row>
    <row r="6" spans="1:20" ht="15.95" customHeight="1">
      <c r="A6" s="25"/>
      <c r="B6" s="65" t="str">
        <f>Contents!B6</f>
        <v>Table 1. Cyclical and structural underemployment of full-time and part-time workers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</row>
    <row r="7" spans="1:20" ht="15.95" customHeight="1">
      <c r="A7" s="25"/>
      <c r="B7" s="28" t="str">
        <f>Contents!B7</f>
        <v>Released at 11:30 am (Canberra time) Tue 24 May 2022</v>
      </c>
      <c r="C7" s="25"/>
      <c r="D7" s="25"/>
      <c r="E7" s="25"/>
      <c r="F7" s="25"/>
      <c r="G7" s="25"/>
      <c r="H7" s="25"/>
      <c r="I7" s="25"/>
      <c r="J7" s="25"/>
      <c r="K7" s="25"/>
      <c r="L7" s="28"/>
      <c r="M7" s="25"/>
      <c r="N7" s="25"/>
      <c r="O7" s="25"/>
      <c r="P7" s="25"/>
      <c r="Q7" s="25"/>
      <c r="R7" s="25"/>
      <c r="S7" s="25"/>
      <c r="T7" s="25"/>
    </row>
    <row r="8" spans="1:20" ht="15.75" customHeight="1">
      <c r="A8" s="66" t="str">
        <f>Contents!C11</f>
        <v>Table 1.1 - Cyclical and structural underemployment of full-time and part-time workers by age, February 2022</v>
      </c>
      <c r="B8" s="66"/>
      <c r="C8" s="66"/>
      <c r="D8" s="66"/>
      <c r="E8" s="66"/>
      <c r="F8" s="66"/>
      <c r="G8" s="66"/>
      <c r="H8" s="66"/>
      <c r="I8" s="29"/>
      <c r="J8" s="30"/>
      <c r="K8" s="30"/>
      <c r="L8" s="66"/>
      <c r="M8" s="66"/>
      <c r="N8" s="66"/>
      <c r="O8" s="66"/>
      <c r="P8" s="66"/>
      <c r="Q8" s="66"/>
      <c r="R8" s="66"/>
      <c r="S8" s="29"/>
      <c r="T8" s="30"/>
    </row>
    <row r="9" spans="1:20" ht="15.75" customHeight="1">
      <c r="A9" s="31"/>
      <c r="B9" s="31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</row>
    <row r="10" spans="1:20" ht="15" customHeight="1">
      <c r="A10" s="31"/>
      <c r="B10" s="33" t="s">
        <v>1741</v>
      </c>
      <c r="C10" s="67" t="s">
        <v>1742</v>
      </c>
      <c r="D10" s="67"/>
      <c r="E10" s="67"/>
      <c r="F10" s="34"/>
      <c r="G10" s="68" t="s">
        <v>1743</v>
      </c>
      <c r="H10" s="68"/>
      <c r="I10" s="68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</row>
    <row r="11" spans="1:20">
      <c r="A11" s="31"/>
      <c r="B11" s="31"/>
      <c r="C11" s="32" t="s">
        <v>1744</v>
      </c>
      <c r="D11" s="32" t="s">
        <v>1745</v>
      </c>
      <c r="E11" s="32" t="s">
        <v>1746</v>
      </c>
      <c r="F11" s="32"/>
      <c r="G11" s="32" t="s">
        <v>1744</v>
      </c>
      <c r="H11" s="32" t="s">
        <v>1745</v>
      </c>
      <c r="I11" s="32" t="s">
        <v>1746</v>
      </c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</row>
    <row r="12" spans="1:20">
      <c r="A12" s="31"/>
      <c r="B12" s="31"/>
      <c r="C12" s="35" t="s">
        <v>1747</v>
      </c>
      <c r="D12" s="35" t="s">
        <v>1747</v>
      </c>
      <c r="E12" s="35" t="s">
        <v>1747</v>
      </c>
      <c r="F12" s="35"/>
      <c r="G12" s="35" t="s">
        <v>1747</v>
      </c>
      <c r="H12" s="35" t="s">
        <v>1747</v>
      </c>
      <c r="I12" s="35" t="s">
        <v>1747</v>
      </c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</row>
    <row r="13" spans="1:20">
      <c r="A13" s="36" t="s">
        <v>1748</v>
      </c>
      <c r="C13" s="35"/>
      <c r="D13" s="35"/>
      <c r="E13" s="35"/>
      <c r="F13" s="37"/>
      <c r="G13" s="35"/>
      <c r="H13" s="35"/>
      <c r="I13" s="35"/>
    </row>
    <row r="14" spans="1:20">
      <c r="B14" s="6" t="s">
        <v>1749</v>
      </c>
      <c r="C14" s="38" cm="1">
        <f t="array" ref="C14">INDEX($D$66:$AJ$93,$C66,C$58)</f>
        <v>1570.816</v>
      </c>
      <c r="D14" s="38" cm="1">
        <f t="array" ref="D14">INDEX($D$66:$AJ$93,$C66,D$58)</f>
        <v>824.32799999999997</v>
      </c>
      <c r="E14" s="38" cm="1">
        <f t="array" ref="E14">INDEX($D$66:$AJ$93,$C66,E$58)</f>
        <v>746.48800000000006</v>
      </c>
      <c r="F14" s="38"/>
      <c r="G14" s="14" t="str" cm="1">
        <f t="array" ref="G14">HYPERLINK(TEXT("#"&amp;INDEX($D$101:$AJ$128,$C101,C$58),),INDEX($D$101:$AJ$128,$C101,C$58))</f>
        <v>A127833182C</v>
      </c>
      <c r="H14" s="14" t="str" cm="1">
        <f t="array" ref="H14">HYPERLINK(TEXT("#"&amp;INDEX($D$101:$AJ$128,$C101,D$58),),INDEX($D$101:$AJ$128,$C101,D$58))</f>
        <v>A127830212A</v>
      </c>
      <c r="I14" s="14" t="str" cm="1">
        <f t="array" ref="I14">HYPERLINK(TEXT("#"&amp;INDEX($D$101:$AJ$128,$C101,E$58),),INDEX($D$101:$AJ$128,$C101,E$58))</f>
        <v>A127827242F</v>
      </c>
    </row>
    <row r="15" spans="1:20">
      <c r="B15" s="39" t="s">
        <v>1750</v>
      </c>
      <c r="C15" s="38" cm="1">
        <f t="array" ref="C15">INDEX($D$66:$AJ$93,$C67,C$58)</f>
        <v>418.20400000000001</v>
      </c>
      <c r="D15" s="38" cm="1">
        <f t="array" ref="D15">INDEX($D$66:$AJ$93,$C67,D$58)</f>
        <v>232.63800000000001</v>
      </c>
      <c r="E15" s="38" cm="1">
        <f t="array" ref="E15">INDEX($D$66:$AJ$93,$C67,E$58)</f>
        <v>185.566</v>
      </c>
      <c r="F15" s="38"/>
      <c r="G15" s="14" t="str" cm="1">
        <f t="array" ref="G15">HYPERLINK(TEXT("#"&amp;INDEX($D$101:$AJ$128,$C102,C$58),),INDEX($D$101:$AJ$128,$C102,C$58))</f>
        <v>A127833186L</v>
      </c>
      <c r="H15" s="14" t="str" cm="1">
        <f t="array" ref="H15">HYPERLINK(TEXT("#"&amp;INDEX($D$101:$AJ$128,$C102,D$58),),INDEX($D$101:$AJ$128,$C102,D$58))</f>
        <v>A127830216K</v>
      </c>
      <c r="I15" s="14" t="str" cm="1">
        <f t="array" ref="I15">HYPERLINK(TEXT("#"&amp;INDEX($D$101:$AJ$128,$C102,E$58),),INDEX($D$101:$AJ$128,$C102,E$58))</f>
        <v>A127827246R</v>
      </c>
    </row>
    <row r="16" spans="1:20">
      <c r="B16" s="40" t="s">
        <v>1751</v>
      </c>
      <c r="C16" s="38" cm="1">
        <f t="array" ref="C16">INDEX($D$66:$AJ$93,$C68,C$58)</f>
        <v>168.17500000000001</v>
      </c>
      <c r="D16" s="38" cm="1">
        <f t="array" ref="D16">INDEX($D$66:$AJ$93,$C68,D$58)</f>
        <v>124.782</v>
      </c>
      <c r="E16" s="38" cm="1">
        <f t="array" ref="E16">INDEX($D$66:$AJ$93,$C68,E$58)</f>
        <v>43.393000000000001</v>
      </c>
      <c r="F16" s="38"/>
      <c r="G16" s="14" t="str" cm="1">
        <f t="array" ref="G16">HYPERLINK(TEXT("#"&amp;INDEX($D$101:$AJ$128,$C103,C$58),),INDEX($D$101:$AJ$128,$C103,C$58))</f>
        <v>A127833181A</v>
      </c>
      <c r="H16" s="14" t="str" cm="1">
        <f t="array" ref="H16">HYPERLINK(TEXT("#"&amp;INDEX($D$101:$AJ$128,$C103,D$58),),INDEX($D$101:$AJ$128,$C103,D$58))</f>
        <v>A127830211X</v>
      </c>
      <c r="I16" s="14" t="str" cm="1">
        <f t="array" ref="I16">HYPERLINK(TEXT("#"&amp;INDEX($D$101:$AJ$128,$C103,E$58),),INDEX($D$101:$AJ$128,$C103,E$58))</f>
        <v>A127827241C</v>
      </c>
    </row>
    <row r="17" spans="1:9">
      <c r="B17" s="41" t="s">
        <v>1752</v>
      </c>
      <c r="C17" s="38" cm="1">
        <f t="array" ref="C17">INDEX($D$66:$AJ$93,$C69,C$58)</f>
        <v>98.323999999999998</v>
      </c>
      <c r="D17" s="38" cm="1">
        <f t="array" ref="D17">INDEX($D$66:$AJ$93,$C69,D$58)</f>
        <v>68.805999999999997</v>
      </c>
      <c r="E17" s="38" cm="1">
        <f t="array" ref="E17">INDEX($D$66:$AJ$93,$C69,E$58)</f>
        <v>29.518000000000001</v>
      </c>
      <c r="F17" s="38"/>
      <c r="G17" s="14" t="str" cm="1">
        <f t="array" ref="G17">HYPERLINK(TEXT("#"&amp;INDEX($D$101:$AJ$128,$C104,C$58),),INDEX($D$101:$AJ$128,$C104,C$58))</f>
        <v>A127833179R</v>
      </c>
      <c r="H17" s="14" t="str" cm="1">
        <f t="array" ref="H17">HYPERLINK(TEXT("#"&amp;INDEX($D$101:$AJ$128,$C104,D$58),),INDEX($D$101:$AJ$128,$C104,D$58))</f>
        <v>A127830209L</v>
      </c>
      <c r="I17" s="14" t="str" cm="1">
        <f t="array" ref="I17">HYPERLINK(TEXT("#"&amp;INDEX($D$101:$AJ$128,$C104,E$58),),INDEX($D$101:$AJ$128,$C104,E$58))</f>
        <v>A127827239T</v>
      </c>
    </row>
    <row r="18" spans="1:9">
      <c r="B18" s="41" t="s">
        <v>1753</v>
      </c>
      <c r="C18" s="38" cm="1">
        <f t="array" ref="C18">INDEX($D$66:$AJ$93,$C70,C$58)</f>
        <v>69.850999999999999</v>
      </c>
      <c r="D18" s="38" cm="1">
        <f t="array" ref="D18">INDEX($D$66:$AJ$93,$C70,D$58)</f>
        <v>55.975999999999999</v>
      </c>
      <c r="E18" s="38" cm="1">
        <f t="array" ref="E18">INDEX($D$66:$AJ$93,$C70,E$58)</f>
        <v>13.874000000000001</v>
      </c>
      <c r="F18" s="38"/>
      <c r="G18" s="14" t="str" cm="1">
        <f t="array" ref="G18">HYPERLINK(TEXT("#"&amp;INDEX($D$101:$AJ$128,$C105,C$58),),INDEX($D$101:$AJ$128,$C105,C$58))</f>
        <v>A127833190C</v>
      </c>
      <c r="H18" s="14" t="str" cm="1">
        <f t="array" ref="H18">HYPERLINK(TEXT("#"&amp;INDEX($D$101:$AJ$128,$C105,D$58),),INDEX($D$101:$AJ$128,$C105,D$58))</f>
        <v>A127830220A</v>
      </c>
      <c r="I18" s="14" t="str" cm="1">
        <f t="array" ref="I18">HYPERLINK(TEXT("#"&amp;INDEX($D$101:$AJ$128,$C105,E$58),),INDEX($D$101:$AJ$128,$C105,E$58))</f>
        <v>A127827250F</v>
      </c>
    </row>
    <row r="19" spans="1:9">
      <c r="B19" s="40" t="s">
        <v>1754</v>
      </c>
      <c r="C19" s="38" cm="1">
        <f t="array" ref="C19">INDEX($D$66:$AJ$93,$C71,C$58)</f>
        <v>250.029</v>
      </c>
      <c r="D19" s="38" cm="1">
        <f t="array" ref="D19">INDEX($D$66:$AJ$93,$C71,D$58)</f>
        <v>107.85599999999999</v>
      </c>
      <c r="E19" s="38" cm="1">
        <f t="array" ref="E19">INDEX($D$66:$AJ$93,$C71,E$58)</f>
        <v>142.17400000000001</v>
      </c>
      <c r="F19" s="38"/>
      <c r="G19" s="14" t="str" cm="1">
        <f t="array" ref="G19">HYPERLINK(TEXT("#"&amp;INDEX($D$101:$AJ$128,$C106,C$58),),INDEX($D$101:$AJ$128,$C106,C$58))</f>
        <v>A127833178L</v>
      </c>
      <c r="H19" s="14" t="str" cm="1">
        <f t="array" ref="H19">HYPERLINK(TEXT("#"&amp;INDEX($D$101:$AJ$128,$C106,D$58),),INDEX($D$101:$AJ$128,$C106,D$58))</f>
        <v>A127830208K</v>
      </c>
      <c r="I19" s="14" t="str" cm="1">
        <f t="array" ref="I19">HYPERLINK(TEXT("#"&amp;INDEX($D$101:$AJ$128,$C106,E$58),),INDEX($D$101:$AJ$128,$C106,E$58))</f>
        <v>A127827238R</v>
      </c>
    </row>
    <row r="20" spans="1:9">
      <c r="B20" s="39" t="s">
        <v>1755</v>
      </c>
      <c r="C20" s="38" cm="1">
        <f t="array" ref="C20">INDEX($D$66:$AJ$93,$C72,C$58)</f>
        <v>1314.856</v>
      </c>
      <c r="D20" s="38" cm="1">
        <f t="array" ref="D20">INDEX($D$66:$AJ$93,$C72,D$58)</f>
        <v>678.1</v>
      </c>
      <c r="E20" s="38" cm="1">
        <f t="array" ref="E20">INDEX($D$66:$AJ$93,$C72,E$58)</f>
        <v>636.75599999999997</v>
      </c>
      <c r="F20" s="38"/>
      <c r="G20" s="14" t="str" cm="1">
        <f t="array" ref="G20">HYPERLINK(TEXT("#"&amp;INDEX($D$101:$AJ$128,$C107,C$58),),INDEX($D$101:$AJ$128,$C107,C$58))</f>
        <v>A127833185K</v>
      </c>
      <c r="H20" s="14" t="str" cm="1">
        <f t="array" ref="H20">HYPERLINK(TEXT("#"&amp;INDEX($D$101:$AJ$128,$C107,D$58),),INDEX($D$101:$AJ$128,$C107,D$58))</f>
        <v>A127830215J</v>
      </c>
      <c r="I20" s="14" t="str" cm="1">
        <f t="array" ref="I20">HYPERLINK(TEXT("#"&amp;INDEX($D$101:$AJ$128,$C107,E$58),),INDEX($D$101:$AJ$128,$C107,E$58))</f>
        <v>A127827245L</v>
      </c>
    </row>
    <row r="21" spans="1:9">
      <c r="B21" s="40" t="s">
        <v>1756</v>
      </c>
      <c r="C21" s="38" cm="1">
        <f t="array" ref="C21">INDEX($D$66:$AJ$93,$C73,C$58)</f>
        <v>511.22500000000002</v>
      </c>
      <c r="D21" s="38" cm="1">
        <f t="array" ref="D21">INDEX($D$66:$AJ$93,$C73,D$58)</f>
        <v>358.13900000000001</v>
      </c>
      <c r="E21" s="38" cm="1">
        <f t="array" ref="E21">INDEX($D$66:$AJ$93,$C73,E$58)</f>
        <v>153.08600000000001</v>
      </c>
      <c r="F21" s="38"/>
      <c r="G21" s="14" t="str" cm="1">
        <f t="array" ref="G21">HYPERLINK(TEXT("#"&amp;INDEX($D$101:$AJ$128,$C108,C$58),),INDEX($D$101:$AJ$128,$C108,C$58))</f>
        <v>A127833180X</v>
      </c>
      <c r="H21" s="14" t="str" cm="1">
        <f t="array" ref="H21">HYPERLINK(TEXT("#"&amp;INDEX($D$101:$AJ$128,$C108,D$58),),INDEX($D$101:$AJ$128,$C108,D$58))</f>
        <v>A127830210W</v>
      </c>
      <c r="I21" s="14" t="str" cm="1">
        <f t="array" ref="I21">HYPERLINK(TEXT("#"&amp;INDEX($D$101:$AJ$128,$C108,E$58),),INDEX($D$101:$AJ$128,$C108,E$58))</f>
        <v>A127827240A</v>
      </c>
    </row>
    <row r="22" spans="1:9">
      <c r="B22" s="40" t="s">
        <v>1757</v>
      </c>
      <c r="C22" s="38" cm="1">
        <f t="array" ref="C22">INDEX($D$66:$AJ$93,$C74,C$58)</f>
        <v>803.63199999999995</v>
      </c>
      <c r="D22" s="38" cm="1">
        <f t="array" ref="D22">INDEX($D$66:$AJ$93,$C74,D$58)</f>
        <v>319.96199999999999</v>
      </c>
      <c r="E22" s="38" cm="1">
        <f t="array" ref="E22">INDEX($D$66:$AJ$93,$C74,E$58)</f>
        <v>483.67</v>
      </c>
      <c r="F22" s="38"/>
      <c r="G22" s="14" t="str" cm="1">
        <f t="array" ref="G22">HYPERLINK(TEXT("#"&amp;INDEX($D$101:$AJ$128,$C109,C$58),),INDEX($D$101:$AJ$128,$C109,C$58))</f>
        <v>A127833177K</v>
      </c>
      <c r="H22" s="14" t="str" cm="1">
        <f t="array" ref="H22">HYPERLINK(TEXT("#"&amp;INDEX($D$101:$AJ$128,$C109,D$58),),INDEX($D$101:$AJ$128,$C109,D$58))</f>
        <v>A127830207J</v>
      </c>
      <c r="I22" s="14" t="str" cm="1">
        <f t="array" ref="I22">HYPERLINK(TEXT("#"&amp;INDEX($D$101:$AJ$128,$C109,E$58),),INDEX($D$101:$AJ$128,$C109,E$58))</f>
        <v>A127827237L</v>
      </c>
    </row>
    <row r="23" spans="1:9">
      <c r="C23" s="38"/>
      <c r="D23" s="38"/>
      <c r="E23" s="38"/>
      <c r="F23" s="38"/>
      <c r="G23" s="14"/>
      <c r="H23" s="14"/>
      <c r="I23" s="14"/>
    </row>
    <row r="24" spans="1:9">
      <c r="A24" s="36" t="s">
        <v>1758</v>
      </c>
      <c r="C24" s="38"/>
      <c r="D24" s="38"/>
      <c r="E24" s="38"/>
      <c r="F24" s="38"/>
      <c r="G24" s="14"/>
      <c r="H24" s="14"/>
      <c r="I24" s="14"/>
    </row>
    <row r="25" spans="1:9">
      <c r="A25" s="36"/>
      <c r="B25" s="6" t="s">
        <v>1749</v>
      </c>
      <c r="C25" s="38" cm="1">
        <f t="array" ref="C25">INDEX($D$66:$AJ$93,$C77,C$58)</f>
        <v>1570.816</v>
      </c>
      <c r="D25" s="38" cm="1">
        <f t="array" ref="D25">INDEX($D$66:$AJ$93,$C77,D$58)</f>
        <v>824.32799999999997</v>
      </c>
      <c r="E25" s="38" cm="1">
        <f t="array" ref="E25">INDEX($D$66:$AJ$93,$C77,E$58)</f>
        <v>746.48800000000006</v>
      </c>
      <c r="F25" s="38"/>
      <c r="G25" s="14" t="str" cm="1">
        <f t="array" ref="G25">HYPERLINK(TEXT("#"&amp;INDEX($D$101:$AJ$128,$C112,C$58),),INDEX($D$101:$AJ$128,$C112,C$58))</f>
        <v>A127833182C</v>
      </c>
      <c r="H25" s="14" t="str" cm="1">
        <f t="array" ref="H25">HYPERLINK(TEXT("#"&amp;INDEX($D$101:$AJ$128,$C112,D$58),),INDEX($D$101:$AJ$128,$C112,D$58))</f>
        <v>A127830212A</v>
      </c>
      <c r="I25" s="14" t="str" cm="1">
        <f t="array" ref="I25">HYPERLINK(TEXT("#"&amp;INDEX($D$101:$AJ$128,$C112,E$58),),INDEX($D$101:$AJ$128,$C112,E$58))</f>
        <v>A127827242F</v>
      </c>
    </row>
    <row r="26" spans="1:9">
      <c r="B26" s="39" t="s">
        <v>1759</v>
      </c>
      <c r="C26" s="38" cm="1">
        <f t="array" ref="C26">INDEX($D$66:$AJ$93,$C78,C$58)</f>
        <v>639.29399999999998</v>
      </c>
      <c r="D26" s="38" cm="1">
        <f t="array" ref="D26">INDEX($D$66:$AJ$93,$C78,D$58)</f>
        <v>453.61</v>
      </c>
      <c r="E26" s="38" cm="1">
        <f t="array" ref="E26">INDEX($D$66:$AJ$93,$C78,E$58)</f>
        <v>185.684</v>
      </c>
      <c r="F26" s="38"/>
      <c r="G26" s="14" t="str" cm="1">
        <f t="array" ref="G26">HYPERLINK(TEXT("#"&amp;INDEX($D$101:$AJ$128,$C113,C$58),),INDEX($D$101:$AJ$128,$C113,C$58))</f>
        <v>A127833184J</v>
      </c>
      <c r="H26" s="14" t="str" cm="1">
        <f t="array" ref="H26">HYPERLINK(TEXT("#"&amp;INDEX($D$101:$AJ$128,$C113,D$58),),INDEX($D$101:$AJ$128,$C113,D$58))</f>
        <v>A127830214F</v>
      </c>
      <c r="I26" s="14" t="str" cm="1">
        <f t="array" ref="I26">HYPERLINK(TEXT("#"&amp;INDEX($D$101:$AJ$128,$C113,E$58),),INDEX($D$101:$AJ$128,$C113,E$58))</f>
        <v>A127827244K</v>
      </c>
    </row>
    <row r="27" spans="1:9">
      <c r="B27" s="40" t="s">
        <v>1751</v>
      </c>
      <c r="C27" s="38" cm="1">
        <f t="array" ref="C27">INDEX($D$66:$AJ$93,$C79,C$58)</f>
        <v>168.17500000000001</v>
      </c>
      <c r="D27" s="38" cm="1">
        <f t="array" ref="D27">INDEX($D$66:$AJ$93,$C79,D$58)</f>
        <v>124.782</v>
      </c>
      <c r="E27" s="38" cm="1">
        <f t="array" ref="E27">INDEX($D$66:$AJ$93,$C79,E$58)</f>
        <v>43.393000000000001</v>
      </c>
      <c r="F27" s="38"/>
      <c r="G27" s="14" t="str" cm="1">
        <f t="array" ref="G27">HYPERLINK(TEXT("#"&amp;INDEX($D$101:$AJ$128,$C114,C$58),),INDEX($D$101:$AJ$128,$C114,C$58))</f>
        <v>A127833181A</v>
      </c>
      <c r="H27" s="14" t="str" cm="1">
        <f t="array" ref="H27">HYPERLINK(TEXT("#"&amp;INDEX($D$101:$AJ$128,$C114,D$58),),INDEX($D$101:$AJ$128,$C114,D$58))</f>
        <v>A127830211X</v>
      </c>
      <c r="I27" s="14" t="str" cm="1">
        <f t="array" ref="I27">HYPERLINK(TEXT("#"&amp;INDEX($D$101:$AJ$128,$C114,E$58),),INDEX($D$101:$AJ$128,$C114,E$58))</f>
        <v>A127827241C</v>
      </c>
    </row>
    <row r="28" spans="1:9">
      <c r="B28" s="40" t="s">
        <v>1756</v>
      </c>
      <c r="C28" s="38" cm="1">
        <f t="array" ref="C28">INDEX($D$66:$AJ$93,$C80,C$58)</f>
        <v>511.22500000000002</v>
      </c>
      <c r="D28" s="38" cm="1">
        <f t="array" ref="D28">INDEX($D$66:$AJ$93,$C80,D$58)</f>
        <v>358.13900000000001</v>
      </c>
      <c r="E28" s="38" cm="1">
        <f t="array" ref="E28">INDEX($D$66:$AJ$93,$C80,E$58)</f>
        <v>153.08600000000001</v>
      </c>
      <c r="F28" s="38"/>
      <c r="G28" s="14" t="str" cm="1">
        <f t="array" ref="G28">HYPERLINK(TEXT("#"&amp;INDEX($D$101:$AJ$128,$C115,C$58),),INDEX($D$101:$AJ$128,$C115,C$58))</f>
        <v>A127833180X</v>
      </c>
      <c r="H28" s="14" t="str" cm="1">
        <f t="array" ref="H28">HYPERLINK(TEXT("#"&amp;INDEX($D$101:$AJ$128,$C115,D$58),),INDEX($D$101:$AJ$128,$C115,D$58))</f>
        <v>A127830210W</v>
      </c>
      <c r="I28" s="14" t="str" cm="1">
        <f t="array" ref="I28">HYPERLINK(TEXT("#"&amp;INDEX($D$101:$AJ$128,$C115,E$58),),INDEX($D$101:$AJ$128,$C115,E$58))</f>
        <v>A127827240A</v>
      </c>
    </row>
    <row r="29" spans="1:9">
      <c r="B29" s="39" t="s">
        <v>1760</v>
      </c>
      <c r="C29" s="38" cm="1">
        <f t="array" ref="C29">INDEX($D$66:$AJ$93,$C81,C$58)</f>
        <v>931.52200000000005</v>
      </c>
      <c r="D29" s="38" cm="1">
        <f t="array" ref="D29">INDEX($D$66:$AJ$93,$C81,D$58)</f>
        <v>370.71800000000002</v>
      </c>
      <c r="E29" s="38" cm="1">
        <f t="array" ref="E29">INDEX($D$66:$AJ$93,$C81,E$58)</f>
        <v>560.80399999999997</v>
      </c>
      <c r="F29" s="38"/>
      <c r="G29" s="14" t="str" cm="1">
        <f t="array" ref="G29">HYPERLINK(TEXT("#"&amp;INDEX($D$101:$AJ$128,$C116,C$58),),INDEX($D$101:$AJ$128,$C116,C$58))</f>
        <v>A127833183F</v>
      </c>
      <c r="H29" s="14" t="str" cm="1">
        <f t="array" ref="H29">HYPERLINK(TEXT("#"&amp;INDEX($D$101:$AJ$128,$C116,D$58),),INDEX($D$101:$AJ$128,$C116,D$58))</f>
        <v>A127830213C</v>
      </c>
      <c r="I29" s="14" t="str" cm="1">
        <f t="array" ref="I29">HYPERLINK(TEXT("#"&amp;INDEX($D$101:$AJ$128,$C116,E$58),),INDEX($D$101:$AJ$128,$C116,E$58))</f>
        <v>A127827243J</v>
      </c>
    </row>
    <row r="30" spans="1:9">
      <c r="B30" s="40" t="s">
        <v>1754</v>
      </c>
      <c r="C30" s="38" cm="1">
        <f t="array" ref="C30">INDEX($D$66:$AJ$93,$C82,C$58)</f>
        <v>250.029</v>
      </c>
      <c r="D30" s="38" cm="1">
        <f t="array" ref="D30">INDEX($D$66:$AJ$93,$C82,D$58)</f>
        <v>107.85599999999999</v>
      </c>
      <c r="E30" s="38" cm="1">
        <f t="array" ref="E30">INDEX($D$66:$AJ$93,$C82,E$58)</f>
        <v>142.17400000000001</v>
      </c>
      <c r="F30" s="38"/>
      <c r="G30" s="14" t="str" cm="1">
        <f t="array" ref="G30">HYPERLINK(TEXT("#"&amp;INDEX($D$101:$AJ$128,$C117,C$58),),INDEX($D$101:$AJ$128,$C117,C$58))</f>
        <v>A127833178L</v>
      </c>
      <c r="H30" s="14" t="str" cm="1">
        <f t="array" ref="H30">HYPERLINK(TEXT("#"&amp;INDEX($D$101:$AJ$128,$C117,D$58),),INDEX($D$101:$AJ$128,$C117,D$58))</f>
        <v>A127830208K</v>
      </c>
      <c r="I30" s="14" t="str" cm="1">
        <f t="array" ref="I30">HYPERLINK(TEXT("#"&amp;INDEX($D$101:$AJ$128,$C117,E$58),),INDEX($D$101:$AJ$128,$C117,E$58))</f>
        <v>A127827238R</v>
      </c>
    </row>
    <row r="31" spans="1:9">
      <c r="B31" s="40" t="s">
        <v>1757</v>
      </c>
      <c r="C31" s="38" cm="1">
        <f t="array" ref="C31">INDEX($D$66:$AJ$93,$C83,C$58)</f>
        <v>803.63199999999995</v>
      </c>
      <c r="D31" s="38" cm="1">
        <f t="array" ref="D31">INDEX($D$66:$AJ$93,$C83,D$58)</f>
        <v>319.96199999999999</v>
      </c>
      <c r="E31" s="38" cm="1">
        <f t="array" ref="E31">INDEX($D$66:$AJ$93,$C83,E$58)</f>
        <v>483.67</v>
      </c>
      <c r="F31" s="38"/>
      <c r="G31" s="14" t="str" cm="1">
        <f t="array" ref="G31">HYPERLINK(TEXT("#"&amp;INDEX($D$101:$AJ$128,$C118,C$58),),INDEX($D$101:$AJ$128,$C118,C$58))</f>
        <v>A127833177K</v>
      </c>
      <c r="H31" s="14" t="str" cm="1">
        <f t="array" ref="H31">HYPERLINK(TEXT("#"&amp;INDEX($D$101:$AJ$128,$C118,D$58),),INDEX($D$101:$AJ$128,$C118,D$58))</f>
        <v>A127830207J</v>
      </c>
      <c r="I31" s="14" t="str" cm="1">
        <f t="array" ref="I31">HYPERLINK(TEXT("#"&amp;INDEX($D$101:$AJ$128,$C118,E$58),),INDEX($D$101:$AJ$128,$C118,E$58))</f>
        <v>A127827237L</v>
      </c>
    </row>
    <row r="32" spans="1:9">
      <c r="B32" s="6"/>
      <c r="C32" s="38"/>
      <c r="D32" s="38"/>
      <c r="E32" s="38"/>
      <c r="F32" s="38"/>
      <c r="G32" s="14"/>
      <c r="H32" s="14"/>
      <c r="I32" s="14"/>
    </row>
    <row r="33" spans="1:20">
      <c r="A33" s="36" t="s">
        <v>1761</v>
      </c>
      <c r="C33" s="38"/>
      <c r="D33" s="38"/>
      <c r="E33" s="38"/>
      <c r="F33" s="38"/>
      <c r="G33" s="14"/>
      <c r="H33" s="14"/>
      <c r="I33" s="14"/>
    </row>
    <row r="34" spans="1:20">
      <c r="A34" s="36"/>
      <c r="B34" s="6" t="s">
        <v>1761</v>
      </c>
      <c r="C34" s="38" cm="1">
        <f t="array" ref="C34">INDEX($D$66:$AJ$93,$C86,C$58)</f>
        <v>901.95600000000002</v>
      </c>
      <c r="D34" s="38" cm="1">
        <f t="array" ref="D34">INDEX($D$66:$AJ$93,$C86,D$58)</f>
        <v>388.76799999999997</v>
      </c>
      <c r="E34" s="38" cm="1">
        <f t="array" ref="E34">INDEX($D$66:$AJ$93,$C86,E$58)</f>
        <v>513.18799999999999</v>
      </c>
      <c r="F34" s="38"/>
      <c r="G34" s="14" t="str" cm="1">
        <f t="array" ref="G34">HYPERLINK(TEXT("#"&amp;INDEX($D$101:$AJ$128,$C121,C$58),),INDEX($D$101:$AJ$128,$C121,C$58))</f>
        <v>A127833191F</v>
      </c>
      <c r="H34" s="14" t="str" cm="1">
        <f t="array" ref="H34">HYPERLINK(TEXT("#"&amp;INDEX($D$101:$AJ$128,$C121,D$58),),INDEX($D$101:$AJ$128,$C121,D$58))</f>
        <v>A127830221C</v>
      </c>
      <c r="I34" s="14" t="str" cm="1">
        <f t="array" ref="I34">HYPERLINK(TEXT("#"&amp;INDEX($D$101:$AJ$128,$C121,E$58),),INDEX($D$101:$AJ$128,$C121,E$58))</f>
        <v>A127827251J</v>
      </c>
    </row>
    <row r="35" spans="1:20">
      <c r="B35" s="39" t="s">
        <v>1762</v>
      </c>
      <c r="C35" s="38" cm="1">
        <f t="array" ref="C35">INDEX($D$66:$AJ$93,$C87,C$58)</f>
        <v>98.323999999999998</v>
      </c>
      <c r="D35" s="38" cm="1">
        <f t="array" ref="D35">INDEX($D$66:$AJ$93,$C87,D$58)</f>
        <v>68.805999999999997</v>
      </c>
      <c r="E35" s="38" cm="1">
        <f t="array" ref="E35">INDEX($D$66:$AJ$93,$C87,E$58)</f>
        <v>29.518000000000001</v>
      </c>
      <c r="F35" s="38"/>
      <c r="G35" s="14" t="str" cm="1">
        <f t="array" ref="G35">HYPERLINK(TEXT("#"&amp;INDEX($D$101:$AJ$128,$C122,C$58),),INDEX($D$101:$AJ$128,$C122,C$58))</f>
        <v>A127833179R</v>
      </c>
      <c r="H35" s="14" t="str" cm="1">
        <f t="array" ref="H35">HYPERLINK(TEXT("#"&amp;INDEX($D$101:$AJ$128,$C122,D$58),),INDEX($D$101:$AJ$128,$C122,D$58))</f>
        <v>A127830209L</v>
      </c>
      <c r="I35" s="14" t="str" cm="1">
        <f t="array" ref="I35">HYPERLINK(TEXT("#"&amp;INDEX($D$101:$AJ$128,$C122,E$58),),INDEX($D$101:$AJ$128,$C122,E$58))</f>
        <v>A127827239T</v>
      </c>
    </row>
    <row r="36" spans="1:20">
      <c r="B36" s="39" t="s">
        <v>1757</v>
      </c>
      <c r="C36" s="38" cm="1">
        <f t="array" ref="C36">INDEX($D$66:$AJ$93,$C88,C$58)</f>
        <v>803.63199999999995</v>
      </c>
      <c r="D36" s="38" cm="1">
        <f t="array" ref="D36">INDEX($D$66:$AJ$93,$C88,D$58)</f>
        <v>319.96199999999999</v>
      </c>
      <c r="E36" s="38" cm="1">
        <f t="array" ref="E36">INDEX($D$66:$AJ$93,$C88,E$58)</f>
        <v>483.67</v>
      </c>
      <c r="F36" s="38"/>
      <c r="G36" s="14" t="str" cm="1">
        <f t="array" ref="G36">HYPERLINK(TEXT("#"&amp;INDEX($D$101:$AJ$128,$C123,C$58),),INDEX($D$101:$AJ$128,$C123,C$58))</f>
        <v>A127833177K</v>
      </c>
      <c r="H36" s="14" t="str" cm="1">
        <f t="array" ref="H36">HYPERLINK(TEXT("#"&amp;INDEX($D$101:$AJ$128,$C123,D$58),),INDEX($D$101:$AJ$128,$C123,D$58))</f>
        <v>A127830207J</v>
      </c>
      <c r="I36" s="14" t="str" cm="1">
        <f t="array" ref="I36">HYPERLINK(TEXT("#"&amp;INDEX($D$101:$AJ$128,$C123,E$58),),INDEX($D$101:$AJ$128,$C123,E$58))</f>
        <v>A127827237L</v>
      </c>
    </row>
    <row r="37" spans="1:20">
      <c r="B37" s="6"/>
      <c r="C37" s="38"/>
      <c r="D37" s="38"/>
      <c r="E37" s="38"/>
      <c r="F37" s="38"/>
      <c r="G37" s="14"/>
      <c r="H37" s="14"/>
      <c r="I37" s="14"/>
    </row>
    <row r="38" spans="1:20">
      <c r="A38" s="36" t="s">
        <v>1763</v>
      </c>
      <c r="C38" s="38"/>
      <c r="D38" s="38"/>
      <c r="E38" s="38"/>
      <c r="F38" s="38"/>
      <c r="G38" s="14"/>
      <c r="H38" s="14"/>
      <c r="I38" s="14"/>
    </row>
    <row r="39" spans="1:20">
      <c r="B39" s="6" t="s">
        <v>1764</v>
      </c>
      <c r="C39" s="38" cm="1">
        <f t="array" ref="C39">INDEX($D$66:$AJ$93,$C91,C$58)</f>
        <v>13437.653</v>
      </c>
      <c r="D39" s="38" cm="1">
        <f t="array" ref="D39">INDEX($D$66:$AJ$93,$C91,D$58)</f>
        <v>7011.6419999999998</v>
      </c>
      <c r="E39" s="38" cm="1">
        <f t="array" ref="E39">INDEX($D$66:$AJ$93,$C91,E$58)</f>
        <v>6426.01</v>
      </c>
      <c r="F39" s="38"/>
      <c r="G39" s="14" t="str" cm="1">
        <f t="array" ref="G39">HYPERLINK(TEXT("#"&amp;INDEX($D$101:$AJ$128,$C126,C$58),),INDEX($D$101:$AJ$128,$C126,C$58))</f>
        <v>A127833187R</v>
      </c>
      <c r="H39" s="14" t="str" cm="1">
        <f t="array" ref="H39">HYPERLINK(TEXT("#"&amp;INDEX($D$101:$AJ$128,$C126,D$58),),INDEX($D$101:$AJ$128,$C126,D$58))</f>
        <v>A127830217L</v>
      </c>
      <c r="I39" s="14" t="str" cm="1">
        <f t="array" ref="I39">HYPERLINK(TEXT("#"&amp;INDEX($D$101:$AJ$128,$C126,E$58),),INDEX($D$101:$AJ$128,$C126,E$58))</f>
        <v>A127827247T</v>
      </c>
    </row>
    <row r="40" spans="1:20">
      <c r="B40" s="39" t="s">
        <v>1765</v>
      </c>
      <c r="C40" s="38" cm="1">
        <f t="array" ref="C40">INDEX($D$66:$AJ$93,$C92,C$58)</f>
        <v>9343.2520000000004</v>
      </c>
      <c r="D40" s="38" cm="1">
        <f t="array" ref="D40">INDEX($D$66:$AJ$93,$C92,D$58)</f>
        <v>5735.4679999999998</v>
      </c>
      <c r="E40" s="38" cm="1">
        <f t="array" ref="E40">INDEX($D$66:$AJ$93,$C92,E$58)</f>
        <v>3607.7840000000001</v>
      </c>
      <c r="F40" s="38"/>
      <c r="G40" s="14" t="str" cm="1">
        <f t="array" ref="G40">HYPERLINK(TEXT("#"&amp;INDEX($D$101:$AJ$128,$C127,C$58),),INDEX($D$101:$AJ$128,$C127,C$58))</f>
        <v>A127833189V</v>
      </c>
      <c r="H40" s="14" t="str" cm="1">
        <f t="array" ref="H40">HYPERLINK(TEXT("#"&amp;INDEX($D$101:$AJ$128,$C127,D$58),),INDEX($D$101:$AJ$128,$C127,D$58))</f>
        <v>A127830219T</v>
      </c>
      <c r="I40" s="14" t="str" cm="1">
        <f t="array" ref="I40">HYPERLINK(TEXT("#"&amp;INDEX($D$101:$AJ$128,$C127,E$58),),INDEX($D$101:$AJ$128,$C127,E$58))</f>
        <v>A127827249W</v>
      </c>
    </row>
    <row r="41" spans="1:20">
      <c r="B41" s="39" t="s">
        <v>1766</v>
      </c>
      <c r="C41" s="38" cm="1">
        <f t="array" ref="C41">INDEX($D$66:$AJ$93,$C93,C$58)</f>
        <v>4094.4009999999998</v>
      </c>
      <c r="D41" s="38" cm="1">
        <f t="array" ref="D41">INDEX($D$66:$AJ$93,$C93,D$58)</f>
        <v>1276.174</v>
      </c>
      <c r="E41" s="38" cm="1">
        <f t="array" ref="E41">INDEX($D$66:$AJ$93,$C93,E$58)</f>
        <v>2818.2269999999999</v>
      </c>
      <c r="F41" s="38"/>
      <c r="G41" s="14" t="str" cm="1">
        <f t="array" ref="G41">HYPERLINK(TEXT("#"&amp;INDEX($D$101:$AJ$128,$C128,C$58),),INDEX($D$101:$AJ$128,$C128,C$58))</f>
        <v>A127833188T</v>
      </c>
      <c r="H41" s="14" t="str" cm="1">
        <f t="array" ref="H41">HYPERLINK(TEXT("#"&amp;INDEX($D$101:$AJ$128,$C128,D$58),),INDEX($D$101:$AJ$128,$C128,D$58))</f>
        <v>A127830218R</v>
      </c>
      <c r="I41" s="14" t="str" cm="1">
        <f t="array" ref="I41">HYPERLINK(TEXT("#"&amp;INDEX($D$101:$AJ$128,$C128,E$58),),INDEX($D$101:$AJ$128,$C128,E$58))</f>
        <v>A127827248V</v>
      </c>
    </row>
    <row r="42" spans="1:20">
      <c r="B42" s="6"/>
      <c r="C42" s="38"/>
      <c r="D42" s="38"/>
      <c r="E42" s="38"/>
      <c r="F42" s="38"/>
      <c r="G42" s="14"/>
      <c r="H42" s="14"/>
      <c r="I42" s="14"/>
    </row>
    <row r="43" spans="1:20">
      <c r="B43" s="6"/>
      <c r="C43" s="38"/>
      <c r="D43" s="38"/>
      <c r="E43" s="38"/>
      <c r="F43" s="38"/>
      <c r="G43" s="14"/>
      <c r="H43" s="14"/>
      <c r="I43" s="14"/>
    </row>
    <row r="44" spans="1:20">
      <c r="A44" s="42" t="str">
        <f ca="1">Contents!B27</f>
        <v>© Commonwealth of Australia 2022</v>
      </c>
      <c r="B44" s="43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</row>
    <row r="45" spans="1:20">
      <c r="A45" s="42"/>
      <c r="B45" s="43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</row>
    <row r="46" spans="1:20" hidden="1">
      <c r="A46" s="44"/>
      <c r="B46" s="45" t="s">
        <v>1742</v>
      </c>
      <c r="C46" s="46">
        <v>1</v>
      </c>
      <c r="D46" s="47"/>
      <c r="E46" s="47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</row>
    <row r="47" spans="1:20" hidden="1">
      <c r="A47" s="44"/>
      <c r="B47" s="45" t="s">
        <v>1767</v>
      </c>
      <c r="C47" s="46">
        <f>C46+3</f>
        <v>4</v>
      </c>
      <c r="D47" s="47"/>
      <c r="E47" s="47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</row>
    <row r="48" spans="1:20" hidden="1">
      <c r="A48" s="44"/>
      <c r="B48" s="45" t="s">
        <v>1768</v>
      </c>
      <c r="C48" s="46">
        <f t="shared" ref="C48:C55" si="0">C47+3</f>
        <v>7</v>
      </c>
      <c r="D48" s="47"/>
      <c r="E48" s="47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</row>
    <row r="49" spans="1:36" hidden="1">
      <c r="A49" s="44"/>
      <c r="B49" s="45" t="s">
        <v>1769</v>
      </c>
      <c r="C49" s="46">
        <f t="shared" si="0"/>
        <v>10</v>
      </c>
      <c r="D49" s="47"/>
      <c r="E49" s="47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</row>
    <row r="50" spans="1:36" hidden="1">
      <c r="A50" s="44"/>
      <c r="B50" s="45" t="s">
        <v>1770</v>
      </c>
      <c r="C50" s="46">
        <f t="shared" si="0"/>
        <v>13</v>
      </c>
      <c r="D50" s="47"/>
      <c r="E50" s="47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</row>
    <row r="51" spans="1:36" hidden="1">
      <c r="A51" s="44"/>
      <c r="B51" s="45" t="s">
        <v>1771</v>
      </c>
      <c r="C51" s="46">
        <f t="shared" si="0"/>
        <v>16</v>
      </c>
      <c r="D51" s="47"/>
      <c r="E51" s="47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</row>
    <row r="52" spans="1:36" hidden="1">
      <c r="A52" s="44"/>
      <c r="B52" s="45" t="s">
        <v>1772</v>
      </c>
      <c r="C52" s="46">
        <f t="shared" si="0"/>
        <v>19</v>
      </c>
      <c r="D52" s="47"/>
      <c r="E52" s="47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</row>
    <row r="53" spans="1:36" hidden="1">
      <c r="A53" s="44"/>
      <c r="B53" s="45" t="s">
        <v>1773</v>
      </c>
      <c r="C53" s="46">
        <f t="shared" si="0"/>
        <v>22</v>
      </c>
      <c r="D53" s="47"/>
      <c r="E53" s="47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</row>
    <row r="54" spans="1:36" hidden="1">
      <c r="A54" s="44"/>
      <c r="B54" s="45" t="s">
        <v>1774</v>
      </c>
      <c r="C54" s="46">
        <f t="shared" si="0"/>
        <v>25</v>
      </c>
      <c r="D54" s="47"/>
      <c r="E54" s="47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</row>
    <row r="55" spans="1:36" hidden="1">
      <c r="A55" s="44"/>
      <c r="B55" s="45" t="s">
        <v>1775</v>
      </c>
      <c r="C55" s="46">
        <f t="shared" si="0"/>
        <v>28</v>
      </c>
      <c r="D55" s="47"/>
      <c r="E55" s="47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</row>
    <row r="56" spans="1:36" hidden="1">
      <c r="A56" s="44"/>
      <c r="B56" s="45" t="s">
        <v>1776</v>
      </c>
      <c r="C56" s="46">
        <f>C55+3</f>
        <v>31</v>
      </c>
      <c r="D56" s="47"/>
      <c r="E56" s="47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</row>
    <row r="57" spans="1:36" hidden="1">
      <c r="A57" s="44"/>
      <c r="B57" s="48"/>
      <c r="C57" s="47"/>
      <c r="D57" s="47"/>
      <c r="E57" s="47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</row>
    <row r="58" spans="1:36" hidden="1">
      <c r="A58" s="44"/>
      <c r="B58" s="49"/>
      <c r="C58" s="46">
        <f>VLOOKUP(C10,B46:C56,2,FALSE)</f>
        <v>1</v>
      </c>
      <c r="D58" s="46">
        <f>C58+1</f>
        <v>2</v>
      </c>
      <c r="E58" s="46">
        <f>D58+1</f>
        <v>3</v>
      </c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</row>
    <row r="59" spans="1:36" hidden="1">
      <c r="A59" s="44"/>
      <c r="B59" s="43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</row>
    <row r="60" spans="1:36" hidden="1">
      <c r="A60" s="44"/>
      <c r="B60" s="43"/>
      <c r="C60" s="43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</row>
    <row r="61" spans="1:36" hidden="1">
      <c r="A61" s="44"/>
      <c r="B61" s="43"/>
      <c r="C61" s="43"/>
      <c r="D61" s="46">
        <v>1</v>
      </c>
      <c r="E61" s="46">
        <v>2</v>
      </c>
      <c r="F61" s="46">
        <v>3</v>
      </c>
      <c r="G61" s="46">
        <v>4</v>
      </c>
      <c r="H61" s="46">
        <v>5</v>
      </c>
      <c r="I61" s="46">
        <v>6</v>
      </c>
      <c r="J61" s="46">
        <v>7</v>
      </c>
      <c r="K61" s="46">
        <v>8</v>
      </c>
      <c r="L61" s="46">
        <v>9</v>
      </c>
      <c r="M61" s="46">
        <v>10</v>
      </c>
      <c r="N61" s="46">
        <v>11</v>
      </c>
      <c r="O61" s="46">
        <v>12</v>
      </c>
      <c r="P61" s="46">
        <v>13</v>
      </c>
      <c r="Q61" s="46">
        <v>14</v>
      </c>
      <c r="R61" s="46">
        <v>15</v>
      </c>
      <c r="S61" s="46">
        <v>16</v>
      </c>
      <c r="T61" s="46">
        <v>17</v>
      </c>
      <c r="U61" s="46">
        <v>18</v>
      </c>
      <c r="V61" s="46">
        <v>19</v>
      </c>
      <c r="W61" s="46">
        <v>20</v>
      </c>
      <c r="X61" s="46">
        <v>21</v>
      </c>
      <c r="Y61" s="46">
        <v>22</v>
      </c>
      <c r="Z61" s="46">
        <v>23</v>
      </c>
      <c r="AA61" s="46">
        <v>24</v>
      </c>
      <c r="AB61" s="46">
        <v>25</v>
      </c>
      <c r="AC61" s="46">
        <v>26</v>
      </c>
      <c r="AD61" s="46">
        <v>27</v>
      </c>
      <c r="AE61" s="46">
        <v>28</v>
      </c>
      <c r="AF61" s="46">
        <v>29</v>
      </c>
      <c r="AG61" s="46">
        <v>30</v>
      </c>
      <c r="AH61" s="46">
        <v>31</v>
      </c>
      <c r="AI61" s="46">
        <v>32</v>
      </c>
      <c r="AJ61" s="46">
        <v>33</v>
      </c>
    </row>
    <row r="62" spans="1:36" ht="15" hidden="1" customHeight="1">
      <c r="A62" s="31"/>
      <c r="B62" s="31"/>
      <c r="C62" s="31"/>
      <c r="D62" s="64" t="s">
        <v>1742</v>
      </c>
      <c r="E62" s="64"/>
      <c r="F62" s="64"/>
      <c r="G62" s="64" t="s">
        <v>1767</v>
      </c>
      <c r="H62" s="64"/>
      <c r="I62" s="64"/>
      <c r="J62" s="64" t="s">
        <v>1768</v>
      </c>
      <c r="K62" s="64"/>
      <c r="L62" s="64"/>
      <c r="M62" s="64" t="s">
        <v>1769</v>
      </c>
      <c r="N62" s="64"/>
      <c r="O62" s="64"/>
      <c r="P62" s="64" t="s">
        <v>1770</v>
      </c>
      <c r="Q62" s="64"/>
      <c r="R62" s="64"/>
      <c r="S62" s="64" t="s">
        <v>1771</v>
      </c>
      <c r="T62" s="64"/>
      <c r="U62" s="64"/>
      <c r="V62" s="64" t="s">
        <v>1772</v>
      </c>
      <c r="W62" s="64"/>
      <c r="X62" s="64"/>
      <c r="Y62" s="64" t="s">
        <v>1773</v>
      </c>
      <c r="Z62" s="64"/>
      <c r="AA62" s="64"/>
      <c r="AB62" s="64" t="s">
        <v>1774</v>
      </c>
      <c r="AC62" s="64"/>
      <c r="AD62" s="64"/>
      <c r="AE62" s="64" t="s">
        <v>1775</v>
      </c>
      <c r="AF62" s="64"/>
      <c r="AG62" s="64"/>
      <c r="AH62" s="64" t="s">
        <v>1776</v>
      </c>
      <c r="AI62" s="64"/>
      <c r="AJ62" s="64"/>
    </row>
    <row r="63" spans="1:36" hidden="1">
      <c r="A63" s="31"/>
      <c r="B63" s="31"/>
      <c r="C63" s="31"/>
      <c r="D63" s="32" t="s">
        <v>1744</v>
      </c>
      <c r="E63" s="32" t="s">
        <v>1745</v>
      </c>
      <c r="F63" s="32" t="s">
        <v>1746</v>
      </c>
      <c r="G63" s="32" t="s">
        <v>1744</v>
      </c>
      <c r="H63" s="32" t="s">
        <v>1745</v>
      </c>
      <c r="I63" s="32" t="s">
        <v>1746</v>
      </c>
      <c r="J63" s="32" t="s">
        <v>1744</v>
      </c>
      <c r="K63" s="32" t="s">
        <v>1745</v>
      </c>
      <c r="L63" s="32" t="s">
        <v>1746</v>
      </c>
      <c r="M63" s="32" t="s">
        <v>1744</v>
      </c>
      <c r="N63" s="32" t="s">
        <v>1745</v>
      </c>
      <c r="O63" s="32" t="s">
        <v>1746</v>
      </c>
      <c r="P63" s="32" t="s">
        <v>1744</v>
      </c>
      <c r="Q63" s="32" t="s">
        <v>1745</v>
      </c>
      <c r="R63" s="32" t="s">
        <v>1746</v>
      </c>
      <c r="S63" s="32" t="s">
        <v>1744</v>
      </c>
      <c r="T63" s="32" t="s">
        <v>1745</v>
      </c>
      <c r="U63" s="32" t="s">
        <v>1746</v>
      </c>
      <c r="V63" s="32" t="s">
        <v>1744</v>
      </c>
      <c r="W63" s="32" t="s">
        <v>1745</v>
      </c>
      <c r="X63" s="32" t="s">
        <v>1746</v>
      </c>
      <c r="Y63" s="32" t="s">
        <v>1744</v>
      </c>
      <c r="Z63" s="32" t="s">
        <v>1745</v>
      </c>
      <c r="AA63" s="32" t="s">
        <v>1746</v>
      </c>
      <c r="AB63" s="32" t="s">
        <v>1744</v>
      </c>
      <c r="AC63" s="32" t="s">
        <v>1745</v>
      </c>
      <c r="AD63" s="32" t="s">
        <v>1746</v>
      </c>
      <c r="AE63" s="32" t="s">
        <v>1744</v>
      </c>
      <c r="AF63" s="32" t="s">
        <v>1745</v>
      </c>
      <c r="AG63" s="32" t="s">
        <v>1746</v>
      </c>
      <c r="AH63" s="32" t="s">
        <v>1744</v>
      </c>
      <c r="AI63" s="32" t="s">
        <v>1745</v>
      </c>
      <c r="AJ63" s="32" t="s">
        <v>1746</v>
      </c>
    </row>
    <row r="64" spans="1:36" hidden="1">
      <c r="A64" s="31"/>
      <c r="B64" s="31"/>
      <c r="C64" s="31"/>
      <c r="D64" s="35" t="s">
        <v>1747</v>
      </c>
      <c r="E64" s="35" t="s">
        <v>1747</v>
      </c>
      <c r="F64" s="35" t="s">
        <v>1747</v>
      </c>
      <c r="G64" s="35" t="s">
        <v>1747</v>
      </c>
      <c r="H64" s="35" t="s">
        <v>1747</v>
      </c>
      <c r="I64" s="35" t="s">
        <v>1747</v>
      </c>
      <c r="J64" s="35" t="s">
        <v>1747</v>
      </c>
      <c r="K64" s="35" t="s">
        <v>1747</v>
      </c>
      <c r="L64" s="35" t="s">
        <v>1747</v>
      </c>
      <c r="M64" s="35" t="s">
        <v>1747</v>
      </c>
      <c r="N64" s="35" t="s">
        <v>1747</v>
      </c>
      <c r="O64" s="35" t="s">
        <v>1747</v>
      </c>
      <c r="P64" s="35" t="s">
        <v>1747</v>
      </c>
      <c r="Q64" s="35" t="s">
        <v>1747</v>
      </c>
      <c r="R64" s="35" t="s">
        <v>1747</v>
      </c>
      <c r="S64" s="35" t="s">
        <v>1747</v>
      </c>
      <c r="T64" s="35" t="s">
        <v>1747</v>
      </c>
      <c r="U64" s="35" t="s">
        <v>1747</v>
      </c>
      <c r="V64" s="35" t="s">
        <v>1747</v>
      </c>
      <c r="W64" s="35" t="s">
        <v>1747</v>
      </c>
      <c r="X64" s="35" t="s">
        <v>1747</v>
      </c>
      <c r="Y64" s="35" t="s">
        <v>1747</v>
      </c>
      <c r="Z64" s="35" t="s">
        <v>1747</v>
      </c>
      <c r="AA64" s="35" t="s">
        <v>1747</v>
      </c>
      <c r="AB64" s="35" t="s">
        <v>1747</v>
      </c>
      <c r="AC64" s="35" t="s">
        <v>1747</v>
      </c>
      <c r="AD64" s="35" t="s">
        <v>1747</v>
      </c>
      <c r="AE64" s="35" t="s">
        <v>1747</v>
      </c>
      <c r="AF64" s="35" t="s">
        <v>1747</v>
      </c>
      <c r="AG64" s="35" t="s">
        <v>1747</v>
      </c>
      <c r="AH64" s="35" t="s">
        <v>1747</v>
      </c>
      <c r="AI64" s="35" t="s">
        <v>1747</v>
      </c>
      <c r="AJ64" s="35" t="s">
        <v>1747</v>
      </c>
    </row>
    <row r="65" spans="1:36" hidden="1">
      <c r="A65" s="36" t="s">
        <v>1748</v>
      </c>
      <c r="C65" s="31"/>
      <c r="D65" s="35"/>
      <c r="E65" s="35"/>
      <c r="F65" s="35"/>
      <c r="G65" s="37"/>
      <c r="H65" s="50"/>
      <c r="I65" s="50"/>
    </row>
    <row r="66" spans="1:36" hidden="1">
      <c r="B66" s="6" t="s">
        <v>1749</v>
      </c>
      <c r="C66" s="45">
        <v>1</v>
      </c>
      <c r="D66" s="38">
        <f>_xlfn.SINGLE(A127833182C_Latest)</f>
        <v>1570.816</v>
      </c>
      <c r="E66" s="38">
        <f>_xlfn.SINGLE(A127830212A_Latest)</f>
        <v>824.32799999999997</v>
      </c>
      <c r="F66" s="38">
        <f>_xlfn.SINGLE(A127827242F_Latest)</f>
        <v>746.48800000000006</v>
      </c>
      <c r="G66" s="38">
        <f>_xlfn.SINGLE(A127832942R_Latest)</f>
        <v>1520.2660000000001</v>
      </c>
      <c r="H66" s="38">
        <f>_xlfn.SINGLE(A127829972V_Latest)</f>
        <v>794.41300000000001</v>
      </c>
      <c r="I66" s="38">
        <f>_xlfn.SINGLE(A127827002V_Latest)</f>
        <v>725.85299999999995</v>
      </c>
      <c r="J66" s="38">
        <f>_xlfn.SINGLE(A127833122A_Latest)</f>
        <v>412.09300000000002</v>
      </c>
      <c r="K66" s="38">
        <f>_xlfn.SINGLE(A127830152K_Latest)</f>
        <v>195.88900000000001</v>
      </c>
      <c r="L66" s="38">
        <f>_xlfn.SINGLE(A127827182R_Latest)</f>
        <v>216.20400000000001</v>
      </c>
      <c r="M66" s="38">
        <f>_xlfn.SINGLE(A127833062K_Latest)</f>
        <v>185.39099999999999</v>
      </c>
      <c r="N66" s="38">
        <f>_xlfn.SINGLE(A127830092V_Latest)</f>
        <v>82.587999999999994</v>
      </c>
      <c r="O66" s="38">
        <f>_xlfn.SINGLE(A127827122L_Latest)</f>
        <v>102.803</v>
      </c>
      <c r="P66" s="38">
        <f>_xlfn.SINGLE(A127833032W_Latest)</f>
        <v>226.703</v>
      </c>
      <c r="Q66" s="38">
        <f>_xlfn.SINGLE(A127830062F_Latest)</f>
        <v>113.301</v>
      </c>
      <c r="R66" s="38">
        <f>_xlfn.SINGLE(A127827092K_Latest)</f>
        <v>113.402</v>
      </c>
      <c r="S66" s="38">
        <f>_xlfn.SINGLE(A127833212F_Latest)</f>
        <v>364.28</v>
      </c>
      <c r="T66" s="38">
        <f>_xlfn.SINGLE(A127830242R_Latest)</f>
        <v>211.17400000000001</v>
      </c>
      <c r="U66" s="38">
        <f>_xlfn.SINGLE(A127827272V_Latest)</f>
        <v>153.107</v>
      </c>
      <c r="V66" s="38">
        <f>_xlfn.SINGLE(A127833242V_Latest)</f>
        <v>294.89699999999999</v>
      </c>
      <c r="W66" s="38">
        <f>_xlfn.SINGLE(A127830272C_Latest)</f>
        <v>155.03399999999999</v>
      </c>
      <c r="X66" s="38">
        <f>_xlfn.SINGLE(A127827302W_Latest)</f>
        <v>139.863</v>
      </c>
      <c r="Y66" s="38">
        <f>_xlfn.SINGLE(A127833152R_Latest)</f>
        <v>262.303</v>
      </c>
      <c r="Z66" s="38">
        <f>_xlfn.SINGLE(A127830182X_Latest)</f>
        <v>130.60599999999999</v>
      </c>
      <c r="AA66" s="38">
        <f>_xlfn.SINGLE(A127827212T_Latest)</f>
        <v>131.697</v>
      </c>
      <c r="AB66" s="38">
        <f>_xlfn.SINGLE(A127833002J_Latest)</f>
        <v>237.24199999999999</v>
      </c>
      <c r="AC66" s="38">
        <f>_xlfn.SINGLE(A127830032T_Latest)</f>
        <v>131.624</v>
      </c>
      <c r="AD66" s="38">
        <f>_xlfn.SINGLE(A127827062W_Latest)</f>
        <v>105.61799999999999</v>
      </c>
      <c r="AE66" s="38">
        <f>_xlfn.SINGLE(A127832972C_Latest)</f>
        <v>186.69200000000001</v>
      </c>
      <c r="AF66" s="38">
        <f>_xlfn.SINGLE(A127830002C_Latest)</f>
        <v>101.71</v>
      </c>
      <c r="AG66" s="38">
        <f>_xlfn.SINGLE(A127827032J_Latest)</f>
        <v>84.981999999999999</v>
      </c>
      <c r="AH66" s="38">
        <f>_xlfn.SINGLE(A127833092X_Latest)</f>
        <v>50.55</v>
      </c>
      <c r="AI66" s="38">
        <f>_xlfn.SINGLE(A127830122W_Latest)</f>
        <v>29.914000000000001</v>
      </c>
      <c r="AJ66" s="38">
        <f>_xlfn.SINGLE(A127827152A_Latest)</f>
        <v>20.635000000000002</v>
      </c>
    </row>
    <row r="67" spans="1:36" hidden="1">
      <c r="B67" s="39" t="s">
        <v>1750</v>
      </c>
      <c r="C67" s="45">
        <v>2</v>
      </c>
      <c r="D67" s="38">
        <f>_xlfn.SINGLE(A127833186L_Latest)</f>
        <v>418.20400000000001</v>
      </c>
      <c r="E67" s="38">
        <f>_xlfn.SINGLE(A127830216K_Latest)</f>
        <v>232.63800000000001</v>
      </c>
      <c r="F67" s="38">
        <f>_xlfn.SINGLE(A127827246R_Latest)</f>
        <v>185.566</v>
      </c>
      <c r="G67" s="38">
        <f>_xlfn.SINGLE(A127832946X_Latest)</f>
        <v>385.90800000000002</v>
      </c>
      <c r="H67" s="38">
        <f>_xlfn.SINGLE(A127829976C_Latest)</f>
        <v>215.995</v>
      </c>
      <c r="I67" s="38">
        <f>_xlfn.SINGLE(A127827006C_Latest)</f>
        <v>169.91300000000001</v>
      </c>
      <c r="J67" s="38">
        <f>_xlfn.SINGLE(A127833126K_Latest)</f>
        <v>92.228999999999999</v>
      </c>
      <c r="K67" s="38">
        <f>_xlfn.SINGLE(A127830156V_Latest)</f>
        <v>47.18</v>
      </c>
      <c r="L67" s="38">
        <f>_xlfn.SINGLE(A127827186X_Latest)</f>
        <v>45.048999999999999</v>
      </c>
      <c r="M67" s="38">
        <f>_xlfn.SINGLE(A127833066V_Latest)</f>
        <v>47.427</v>
      </c>
      <c r="N67" s="38">
        <f>_xlfn.SINGLE(A127830096C_Latest)</f>
        <v>20.420000000000002</v>
      </c>
      <c r="O67" s="38">
        <f>_xlfn.SINGLE(A127827126W_Latest)</f>
        <v>27.007000000000001</v>
      </c>
      <c r="P67" s="38">
        <f>_xlfn.SINGLE(A127833036F_Latest)</f>
        <v>44.802</v>
      </c>
      <c r="Q67" s="38">
        <f>_xlfn.SINGLE(A127830066R_Latest)</f>
        <v>26.76</v>
      </c>
      <c r="R67" s="38">
        <f>_xlfn.SINGLE(A127827096V_Latest)</f>
        <v>18.042000000000002</v>
      </c>
      <c r="S67" s="38">
        <f>_xlfn.SINGLE(A127833216R_Latest)</f>
        <v>75.846000000000004</v>
      </c>
      <c r="T67" s="38">
        <f>_xlfn.SINGLE(A127830246X_Latest)</f>
        <v>40.453000000000003</v>
      </c>
      <c r="U67" s="38">
        <f>_xlfn.SINGLE(A127827276C_Latest)</f>
        <v>35.393000000000001</v>
      </c>
      <c r="V67" s="38">
        <f>_xlfn.SINGLE(A127833246C_Latest)</f>
        <v>71.045000000000002</v>
      </c>
      <c r="W67" s="38">
        <f>_xlfn.SINGLE(A127830276L_Latest)</f>
        <v>38.734999999999999</v>
      </c>
      <c r="X67" s="38">
        <f>_xlfn.SINGLE(A127827306F_Latest)</f>
        <v>32.311</v>
      </c>
      <c r="Y67" s="38">
        <f>_xlfn.SINGLE(A127833156X_Latest)</f>
        <v>82.366</v>
      </c>
      <c r="Z67" s="38">
        <f>_xlfn.SINGLE(A127830186J_Latest)</f>
        <v>51.808999999999997</v>
      </c>
      <c r="AA67" s="38">
        <f>_xlfn.SINGLE(A127827216A_Latest)</f>
        <v>30.556000000000001</v>
      </c>
      <c r="AB67" s="38">
        <f>_xlfn.SINGLE(A127833006T_Latest)</f>
        <v>96.718000000000004</v>
      </c>
      <c r="AC67" s="38">
        <f>_xlfn.SINGLE(A127830036A_Latest)</f>
        <v>54.460999999999999</v>
      </c>
      <c r="AD67" s="38">
        <f>_xlfn.SINGLE(A127827066F_Latest)</f>
        <v>42.256999999999998</v>
      </c>
      <c r="AE67" s="38">
        <f>_xlfn.SINGLE(A127832976L_Latest)</f>
        <v>64.421999999999997</v>
      </c>
      <c r="AF67" s="38">
        <f>_xlfn.SINGLE(A127830006L_Latest)</f>
        <v>37.817999999999998</v>
      </c>
      <c r="AG67" s="38">
        <f>_xlfn.SINGLE(A127827036T_Latest)</f>
        <v>26.603999999999999</v>
      </c>
      <c r="AH67" s="38">
        <f>_xlfn.SINGLE(A127833096J_Latest)</f>
        <v>32.296999999999997</v>
      </c>
      <c r="AI67" s="38">
        <f>_xlfn.SINGLE(A127830126F_Latest)</f>
        <v>16.643000000000001</v>
      </c>
      <c r="AJ67" s="38">
        <f>_xlfn.SINGLE(A127827156K_Latest)</f>
        <v>15.654</v>
      </c>
    </row>
    <row r="68" spans="1:36" hidden="1">
      <c r="B68" s="40" t="s">
        <v>1751</v>
      </c>
      <c r="C68" s="45">
        <v>3</v>
      </c>
      <c r="D68" s="38">
        <f>_xlfn.SINGLE(A127833181A_Latest)</f>
        <v>168.17500000000001</v>
      </c>
      <c r="E68" s="38">
        <f>_xlfn.SINGLE(A127830211X_Latest)</f>
        <v>124.782</v>
      </c>
      <c r="F68" s="38">
        <f>_xlfn.SINGLE(A127827241C_Latest)</f>
        <v>43.393000000000001</v>
      </c>
      <c r="G68" s="38">
        <f>_xlfn.SINGLE(A127832941L_Latest)</f>
        <v>161.458</v>
      </c>
      <c r="H68" s="38">
        <f>_xlfn.SINGLE(A127829971T_Latest)</f>
        <v>119.97199999999999</v>
      </c>
      <c r="I68" s="38">
        <f>_xlfn.SINGLE(A127827001T_Latest)</f>
        <v>41.487000000000002</v>
      </c>
      <c r="J68" s="38">
        <f>_xlfn.SINGLE(A127833121X_Latest)</f>
        <v>14.471</v>
      </c>
      <c r="K68" s="38">
        <f>_xlfn.SINGLE(A127830151J_Latest)</f>
        <v>10.015000000000001</v>
      </c>
      <c r="L68" s="38">
        <f>_xlfn.SINGLE(A127827181L_Latest)</f>
        <v>4.4560000000000004</v>
      </c>
      <c r="M68" s="38">
        <f>_xlfn.SINGLE(A127833061J_Latest)</f>
        <v>3.323</v>
      </c>
      <c r="N68" s="38">
        <f>_xlfn.SINGLE(A127830091T_Latest)</f>
        <v>1.4410000000000001</v>
      </c>
      <c r="O68" s="38">
        <f>_xlfn.SINGLE(A127827121K_Latest)</f>
        <v>1.8819999999999999</v>
      </c>
      <c r="P68" s="38">
        <f>_xlfn.SINGLE(A127833031V_Latest)</f>
        <v>11.148</v>
      </c>
      <c r="Q68" s="38">
        <f>_xlfn.SINGLE(A127830061C_Latest)</f>
        <v>8.5730000000000004</v>
      </c>
      <c r="R68" s="38">
        <f>_xlfn.SINGLE(A127827091J_Latest)</f>
        <v>2.5739999999999998</v>
      </c>
      <c r="S68" s="38">
        <f>_xlfn.SINGLE(A127833211C_Latest)</f>
        <v>36.293999999999997</v>
      </c>
      <c r="T68" s="38">
        <f>_xlfn.SINGLE(A127830241L_Latest)</f>
        <v>25.850999999999999</v>
      </c>
      <c r="U68" s="38">
        <f>_xlfn.SINGLE(A127827271T_Latest)</f>
        <v>10.443</v>
      </c>
      <c r="V68" s="38">
        <f>_xlfn.SINGLE(A127833241T_Latest)</f>
        <v>35.295000000000002</v>
      </c>
      <c r="W68" s="38">
        <f>_xlfn.SINGLE(A127830271A_Latest)</f>
        <v>27.902999999999999</v>
      </c>
      <c r="X68" s="38">
        <f>_xlfn.SINGLE(A127827301V_Latest)</f>
        <v>7.3929999999999998</v>
      </c>
      <c r="Y68" s="38">
        <f>_xlfn.SINGLE(A127833151L_Latest)</f>
        <v>47.268000000000001</v>
      </c>
      <c r="Z68" s="38">
        <f>_xlfn.SINGLE(A127830181W_Latest)</f>
        <v>35.613</v>
      </c>
      <c r="AA68" s="38">
        <f>_xlfn.SINGLE(A127827211R_Latest)</f>
        <v>11.654999999999999</v>
      </c>
      <c r="AB68" s="38">
        <f>_xlfn.SINGLE(A127833001F_Latest)</f>
        <v>34.845999999999997</v>
      </c>
      <c r="AC68" s="38">
        <f>_xlfn.SINGLE(A127830031R_Latest)</f>
        <v>25.401</v>
      </c>
      <c r="AD68" s="38">
        <f>_xlfn.SINGLE(A127827061V_Latest)</f>
        <v>9.4450000000000003</v>
      </c>
      <c r="AE68" s="38">
        <f>_xlfn.SINGLE(A127832971A_Latest)</f>
        <v>28.13</v>
      </c>
      <c r="AF68" s="38">
        <f>_xlfn.SINGLE(A127830001A_Latest)</f>
        <v>20.59</v>
      </c>
      <c r="AG68" s="38">
        <f>_xlfn.SINGLE(A127827031F_Latest)</f>
        <v>7.54</v>
      </c>
      <c r="AH68" s="38">
        <f>_xlfn.SINGLE(A127833091W_Latest)</f>
        <v>6.7169999999999996</v>
      </c>
      <c r="AI68" s="38">
        <f>_xlfn.SINGLE(A127830121V_Latest)</f>
        <v>4.8109999999999999</v>
      </c>
      <c r="AJ68" s="38">
        <f>_xlfn.SINGLE(A127827151X_Latest)</f>
        <v>1.9059999999999999</v>
      </c>
    </row>
    <row r="69" spans="1:36" hidden="1">
      <c r="B69" s="41" t="s">
        <v>1752</v>
      </c>
      <c r="C69" s="45">
        <v>4</v>
      </c>
      <c r="D69" s="38">
        <f>_xlfn.SINGLE(A127833179R_Latest)</f>
        <v>98.323999999999998</v>
      </c>
      <c r="E69" s="38">
        <f>_xlfn.SINGLE(A127830209L_Latest)</f>
        <v>68.805999999999997</v>
      </c>
      <c r="F69" s="38">
        <f>_xlfn.SINGLE(A127827239T_Latest)</f>
        <v>29.518000000000001</v>
      </c>
      <c r="G69" s="38">
        <f>_xlfn.SINGLE(A127832939A_Latest)</f>
        <v>91.787999999999997</v>
      </c>
      <c r="H69" s="38">
        <f>_xlfn.SINGLE(A127829969F_Latest)</f>
        <v>64.069000000000003</v>
      </c>
      <c r="I69" s="38">
        <f>_xlfn.SINGLE(A127826999R_Latest)</f>
        <v>27.72</v>
      </c>
      <c r="J69" s="38">
        <f>_xlfn.SINGLE(A127833119L_Latest)</f>
        <v>9.2789999999999999</v>
      </c>
      <c r="K69" s="38">
        <f>_xlfn.SINGLE(A127830149W_Latest)</f>
        <v>6.3849999999999998</v>
      </c>
      <c r="L69" s="38">
        <f>_xlfn.SINGLE(A127827179A_Latest)</f>
        <v>2.8929999999999998</v>
      </c>
      <c r="M69" s="38">
        <f>_xlfn.SINGLE(A127833059W_Latest)</f>
        <v>3.323</v>
      </c>
      <c r="N69" s="38">
        <f>_xlfn.SINGLE(A127830089F_Latest)</f>
        <v>1.4410000000000001</v>
      </c>
      <c r="O69" s="38">
        <f>_xlfn.SINGLE(A127827119X_Latest)</f>
        <v>1.8819999999999999</v>
      </c>
      <c r="P69" s="38">
        <f>_xlfn.SINGLE(A127833029J_Latest)</f>
        <v>5.9550000000000001</v>
      </c>
      <c r="Q69" s="38">
        <f>_xlfn.SINGLE(A127830059T_Latest)</f>
        <v>4.944</v>
      </c>
      <c r="R69" s="38">
        <f>_xlfn.SINGLE(A127827089W_Latest)</f>
        <v>1.0109999999999999</v>
      </c>
      <c r="S69" s="38">
        <f>_xlfn.SINGLE(A127833209T_Latest)</f>
        <v>18.792999999999999</v>
      </c>
      <c r="T69" s="38">
        <f>_xlfn.SINGLE(A127830239A_Latest)</f>
        <v>12.141999999999999</v>
      </c>
      <c r="U69" s="38">
        <f>_xlfn.SINGLE(A127827269F_Latest)</f>
        <v>6.6509999999999998</v>
      </c>
      <c r="V69" s="38">
        <f>_xlfn.SINGLE(A127833239F_Latest)</f>
        <v>19.318000000000001</v>
      </c>
      <c r="W69" s="38">
        <f>_xlfn.SINGLE(A127830269R_Latest)</f>
        <v>15.568</v>
      </c>
      <c r="X69" s="38">
        <f>_xlfn.SINGLE(A127827299V_Latest)</f>
        <v>3.75</v>
      </c>
      <c r="Y69" s="38">
        <f>_xlfn.SINGLE(A127833149A_Latest)</f>
        <v>27.623000000000001</v>
      </c>
      <c r="Z69" s="38">
        <f>_xlfn.SINGLE(A127830179K_Latest)</f>
        <v>19.026</v>
      </c>
      <c r="AA69" s="38">
        <f>_xlfn.SINGLE(A127827209C_Latest)</f>
        <v>8.5969999999999995</v>
      </c>
      <c r="AB69" s="38">
        <f>_xlfn.SINGLE(A127832999C_Latest)</f>
        <v>23.311</v>
      </c>
      <c r="AC69" s="38">
        <f>_xlfn.SINGLE(A127830029C_Latest)</f>
        <v>15.685</v>
      </c>
      <c r="AD69" s="38">
        <f>_xlfn.SINGLE(A127827059J_Latest)</f>
        <v>7.6260000000000003</v>
      </c>
      <c r="AE69" s="38">
        <f>_xlfn.SINGLE(A127832969R_Latest)</f>
        <v>16.776</v>
      </c>
      <c r="AF69" s="38">
        <f>_xlfn.SINGLE(A127829999V_Latest)</f>
        <v>10.948</v>
      </c>
      <c r="AG69" s="38">
        <f>_xlfn.SINGLE(A127827029V_Latest)</f>
        <v>5.8280000000000003</v>
      </c>
      <c r="AH69" s="38">
        <f>_xlfn.SINGLE(A127833089K_Latest)</f>
        <v>6.5359999999999996</v>
      </c>
      <c r="AI69" s="38">
        <f>_xlfn.SINGLE(A127830119J_Latest)</f>
        <v>4.7380000000000004</v>
      </c>
      <c r="AJ69" s="38">
        <f>_xlfn.SINGLE(A127827149L_Latest)</f>
        <v>1.798</v>
      </c>
    </row>
    <row r="70" spans="1:36" hidden="1">
      <c r="B70" s="41" t="s">
        <v>1753</v>
      </c>
      <c r="C70" s="45">
        <v>5</v>
      </c>
      <c r="D70" s="38">
        <f>_xlfn.SINGLE(A127833190C_Latest)</f>
        <v>69.850999999999999</v>
      </c>
      <c r="E70" s="38">
        <f>_xlfn.SINGLE(A127830220A_Latest)</f>
        <v>55.975999999999999</v>
      </c>
      <c r="F70" s="38">
        <f>_xlfn.SINGLE(A127827250F_Latest)</f>
        <v>13.874000000000001</v>
      </c>
      <c r="G70" s="38">
        <f>_xlfn.SINGLE(A127832950R_Latest)</f>
        <v>69.67</v>
      </c>
      <c r="H70" s="38">
        <f>_xlfn.SINGLE(A127829980V_Latest)</f>
        <v>55.902999999999999</v>
      </c>
      <c r="I70" s="38">
        <f>_xlfn.SINGLE(A127827010V_Latest)</f>
        <v>13.766999999999999</v>
      </c>
      <c r="J70" s="38">
        <f>_xlfn.SINGLE(A127833130A_Latest)</f>
        <v>5.1929999999999996</v>
      </c>
      <c r="K70" s="38">
        <f>_xlfn.SINGLE(A127830160K_Latest)</f>
        <v>3.629</v>
      </c>
      <c r="L70" s="38">
        <f>_xlfn.SINGLE(A127827190R_Latest)</f>
        <v>1.5629999999999999</v>
      </c>
      <c r="M70" s="38">
        <f>_xlfn.SINGLE(A127833070K_Latest)</f>
        <v>0</v>
      </c>
      <c r="N70" s="38">
        <f>_xlfn.SINGLE(A127830100J_Latest)</f>
        <v>0</v>
      </c>
      <c r="O70" s="38">
        <f>_xlfn.SINGLE(A127827130L_Latest)</f>
        <v>0</v>
      </c>
      <c r="P70" s="38">
        <f>_xlfn.SINGLE(A127833040W_Latest)</f>
        <v>5.1929999999999996</v>
      </c>
      <c r="Q70" s="38">
        <f>_xlfn.SINGLE(A127830070F_Latest)</f>
        <v>3.629</v>
      </c>
      <c r="R70" s="38">
        <f>_xlfn.SINGLE(A127827100X_Latest)</f>
        <v>1.5629999999999999</v>
      </c>
      <c r="S70" s="38">
        <f>_xlfn.SINGLE(A127833220F_Latest)</f>
        <v>17.501000000000001</v>
      </c>
      <c r="T70" s="38">
        <f>_xlfn.SINGLE(A127830250R_Latest)</f>
        <v>13.709</v>
      </c>
      <c r="U70" s="38">
        <f>_xlfn.SINGLE(A127827280V_Latest)</f>
        <v>3.7909999999999999</v>
      </c>
      <c r="V70" s="38">
        <f>_xlfn.SINGLE(A127833250V_Latest)</f>
        <v>15.978</v>
      </c>
      <c r="W70" s="38">
        <f>_xlfn.SINGLE(A127830280C_Latest)</f>
        <v>12.335000000000001</v>
      </c>
      <c r="X70" s="38">
        <f>_xlfn.SINGLE(A127827310W_Latest)</f>
        <v>3.6429999999999998</v>
      </c>
      <c r="Y70" s="38">
        <f>_xlfn.SINGLE(A127833160R_Latest)</f>
        <v>19.645</v>
      </c>
      <c r="Z70" s="38">
        <f>_xlfn.SINGLE(A127830190X_Latest)</f>
        <v>16.587</v>
      </c>
      <c r="AA70" s="38">
        <f>_xlfn.SINGLE(A127827220T_Latest)</f>
        <v>3.0579999999999998</v>
      </c>
      <c r="AB70" s="38">
        <f>_xlfn.SINGLE(A127833010J_Latest)</f>
        <v>11.535</v>
      </c>
      <c r="AC70" s="38">
        <f>_xlfn.SINGLE(A127830040T_Latest)</f>
        <v>9.7159999999999993</v>
      </c>
      <c r="AD70" s="38">
        <f>_xlfn.SINGLE(A127827070W_Latest)</f>
        <v>1.819</v>
      </c>
      <c r="AE70" s="38">
        <f>_xlfn.SINGLE(A127832980C_Latest)</f>
        <v>11.353999999999999</v>
      </c>
      <c r="AF70" s="38">
        <f>_xlfn.SINGLE(A127830010C_Latest)</f>
        <v>9.6419999999999995</v>
      </c>
      <c r="AG70" s="38">
        <f>_xlfn.SINGLE(A127827040J_Latest)</f>
        <v>1.712</v>
      </c>
      <c r="AH70" s="38">
        <f>_xlfn.SINGLE(A127833100L_Latest)</f>
        <v>0.18099999999999999</v>
      </c>
      <c r="AI70" s="38">
        <f>_xlfn.SINGLE(A127830130W_Latest)</f>
        <v>7.2999999999999995E-2</v>
      </c>
      <c r="AJ70" s="38">
        <f>_xlfn.SINGLE(A127827160A_Latest)</f>
        <v>0.107</v>
      </c>
    </row>
    <row r="71" spans="1:36" hidden="1">
      <c r="B71" s="40" t="s">
        <v>1754</v>
      </c>
      <c r="C71" s="45">
        <v>6</v>
      </c>
      <c r="D71" s="38">
        <f>_xlfn.SINGLE(A127833178L_Latest)</f>
        <v>250.029</v>
      </c>
      <c r="E71" s="38">
        <f>_xlfn.SINGLE(A127830208K_Latest)</f>
        <v>107.85599999999999</v>
      </c>
      <c r="F71" s="38">
        <f>_xlfn.SINGLE(A127827238R_Latest)</f>
        <v>142.17400000000001</v>
      </c>
      <c r="G71" s="38">
        <f>_xlfn.SINGLE(A127832938X_Latest)</f>
        <v>224.44900000000001</v>
      </c>
      <c r="H71" s="38">
        <f>_xlfn.SINGLE(A127829968C_Latest)</f>
        <v>96.024000000000001</v>
      </c>
      <c r="I71" s="38">
        <f>_xlfn.SINGLE(A127826998L_Latest)</f>
        <v>128.42599999999999</v>
      </c>
      <c r="J71" s="38">
        <f>_xlfn.SINGLE(A127833118K_Latest)</f>
        <v>77.757999999999996</v>
      </c>
      <c r="K71" s="38">
        <f>_xlfn.SINGLE(A127830148V_Latest)</f>
        <v>37.165999999999997</v>
      </c>
      <c r="L71" s="38">
        <f>_xlfn.SINGLE(A127827178X_Latest)</f>
        <v>40.591999999999999</v>
      </c>
      <c r="M71" s="38">
        <f>_xlfn.SINGLE(A127833058V_Latest)</f>
        <v>44.103000000000002</v>
      </c>
      <c r="N71" s="38">
        <f>_xlfn.SINGLE(A127830088C_Latest)</f>
        <v>18.978000000000002</v>
      </c>
      <c r="O71" s="38">
        <f>_xlfn.SINGLE(A127827118W_Latest)</f>
        <v>25.125</v>
      </c>
      <c r="P71" s="38">
        <f>_xlfn.SINGLE(A127833028F_Latest)</f>
        <v>33.655000000000001</v>
      </c>
      <c r="Q71" s="38">
        <f>_xlfn.SINGLE(A127830058R_Latest)</f>
        <v>18.187000000000001</v>
      </c>
      <c r="R71" s="38">
        <f>_xlfn.SINGLE(A127827088V_Latest)</f>
        <v>15.467000000000001</v>
      </c>
      <c r="S71" s="38">
        <f>_xlfn.SINGLE(A127833208R_Latest)</f>
        <v>39.552</v>
      </c>
      <c r="T71" s="38">
        <f>_xlfn.SINGLE(A127830238X_Latest)</f>
        <v>14.602</v>
      </c>
      <c r="U71" s="38">
        <f>_xlfn.SINGLE(A127827268C_Latest)</f>
        <v>24.951000000000001</v>
      </c>
      <c r="V71" s="38">
        <f>_xlfn.SINGLE(A127833238C_Latest)</f>
        <v>35.75</v>
      </c>
      <c r="W71" s="38">
        <f>_xlfn.SINGLE(A127830268L_Latest)</f>
        <v>10.832000000000001</v>
      </c>
      <c r="X71" s="38">
        <f>_xlfn.SINGLE(A127827298T_Latest)</f>
        <v>24.917999999999999</v>
      </c>
      <c r="Y71" s="38">
        <f>_xlfn.SINGLE(A127833148X_Latest)</f>
        <v>35.097000000000001</v>
      </c>
      <c r="Z71" s="38">
        <f>_xlfn.SINGLE(A127830178J_Latest)</f>
        <v>16.196000000000002</v>
      </c>
      <c r="AA71" s="38">
        <f>_xlfn.SINGLE(A127827208A_Latest)</f>
        <v>18.901</v>
      </c>
      <c r="AB71" s="38">
        <f>_xlfn.SINGLE(A127832998A_Latest)</f>
        <v>61.872</v>
      </c>
      <c r="AC71" s="38">
        <f>_xlfn.SINGLE(A127830028A_Latest)</f>
        <v>29.06</v>
      </c>
      <c r="AD71" s="38">
        <f>_xlfn.SINGLE(A127827058F_Latest)</f>
        <v>32.811999999999998</v>
      </c>
      <c r="AE71" s="38">
        <f>_xlfn.SINGLE(A127832968L_Latest)</f>
        <v>36.292000000000002</v>
      </c>
      <c r="AF71" s="38">
        <f>_xlfn.SINGLE(A127829998T_Latest)</f>
        <v>17.228000000000002</v>
      </c>
      <c r="AG71" s="38">
        <f>_xlfn.SINGLE(A127827028T_Latest)</f>
        <v>19.064</v>
      </c>
      <c r="AH71" s="38">
        <f>_xlfn.SINGLE(A127833088J_Latest)</f>
        <v>25.58</v>
      </c>
      <c r="AI71" s="38">
        <f>_xlfn.SINGLE(A127830118F_Latest)</f>
        <v>11.832000000000001</v>
      </c>
      <c r="AJ71" s="38">
        <f>_xlfn.SINGLE(A127827148K_Latest)</f>
        <v>13.747999999999999</v>
      </c>
    </row>
    <row r="72" spans="1:36" hidden="1">
      <c r="B72" s="39" t="s">
        <v>1755</v>
      </c>
      <c r="C72" s="45">
        <v>7</v>
      </c>
      <c r="D72" s="38">
        <f>_xlfn.SINGLE(A127833185K_Latest)</f>
        <v>1314.856</v>
      </c>
      <c r="E72" s="38">
        <f>_xlfn.SINGLE(A127830215J_Latest)</f>
        <v>678.1</v>
      </c>
      <c r="F72" s="38">
        <f>_xlfn.SINGLE(A127827245L_Latest)</f>
        <v>636.75599999999997</v>
      </c>
      <c r="G72" s="38">
        <f>_xlfn.SINGLE(A127832945W_Latest)</f>
        <v>1288.6880000000001</v>
      </c>
      <c r="H72" s="38">
        <f>_xlfn.SINGLE(A127829975A_Latest)</f>
        <v>659.74800000000005</v>
      </c>
      <c r="I72" s="38">
        <f>_xlfn.SINGLE(A127827005A_Latest)</f>
        <v>628.94000000000005</v>
      </c>
      <c r="J72" s="38">
        <f>_xlfn.SINGLE(A127833125J_Latest)</f>
        <v>361.47500000000002</v>
      </c>
      <c r="K72" s="38">
        <f>_xlfn.SINGLE(A127830155T_Latest)</f>
        <v>169.648</v>
      </c>
      <c r="L72" s="38">
        <f>_xlfn.SINGLE(A127827185W_Latest)</f>
        <v>191.827</v>
      </c>
      <c r="M72" s="38">
        <f>_xlfn.SINGLE(A127833065T_Latest)</f>
        <v>155.47200000000001</v>
      </c>
      <c r="N72" s="38">
        <f>_xlfn.SINGLE(A127830095A_Latest)</f>
        <v>69.557000000000002</v>
      </c>
      <c r="O72" s="38">
        <f>_xlfn.SINGLE(A127827125V_Latest)</f>
        <v>85.915999999999997</v>
      </c>
      <c r="P72" s="38">
        <f>_xlfn.SINGLE(A127833035C_Latest)</f>
        <v>206.00200000000001</v>
      </c>
      <c r="Q72" s="38">
        <f>_xlfn.SINGLE(A127830065L_Latest)</f>
        <v>100.09099999999999</v>
      </c>
      <c r="R72" s="38">
        <f>_xlfn.SINGLE(A127827095T_Latest)</f>
        <v>105.911</v>
      </c>
      <c r="S72" s="38">
        <f>_xlfn.SINGLE(A127833215L_Latest)</f>
        <v>322.65100000000001</v>
      </c>
      <c r="T72" s="38">
        <f>_xlfn.SINGLE(A127830245W_Latest)</f>
        <v>186.53200000000001</v>
      </c>
      <c r="U72" s="38">
        <f>_xlfn.SINGLE(A127827275A_Latest)</f>
        <v>136.12</v>
      </c>
      <c r="V72" s="38">
        <f>_xlfn.SINGLE(A127833245A_Latest)</f>
        <v>252.28200000000001</v>
      </c>
      <c r="W72" s="38">
        <f>_xlfn.SINGLE(A127830275K_Latest)</f>
        <v>130.102</v>
      </c>
      <c r="X72" s="38">
        <f>_xlfn.SINGLE(A127827305C_Latest)</f>
        <v>122.179</v>
      </c>
      <c r="Y72" s="38">
        <f>_xlfn.SINGLE(A127833155W_Latest)</f>
        <v>206.142</v>
      </c>
      <c r="Z72" s="38">
        <f>_xlfn.SINGLE(A127830185F_Latest)</f>
        <v>94.881</v>
      </c>
      <c r="AA72" s="38">
        <f>_xlfn.SINGLE(A127827215X_Latest)</f>
        <v>111.261</v>
      </c>
      <c r="AB72" s="38">
        <f>_xlfn.SINGLE(A127833005R_Latest)</f>
        <v>172.30699999999999</v>
      </c>
      <c r="AC72" s="38">
        <f>_xlfn.SINGLE(A127830035X_Latest)</f>
        <v>96.938000000000002</v>
      </c>
      <c r="AD72" s="38">
        <f>_xlfn.SINGLE(A127827065C_Latest)</f>
        <v>75.369</v>
      </c>
      <c r="AE72" s="38">
        <f>_xlfn.SINGLE(A127832975K_Latest)</f>
        <v>146.13900000000001</v>
      </c>
      <c r="AF72" s="38">
        <f>_xlfn.SINGLE(A127830005K_Latest)</f>
        <v>78.585999999999999</v>
      </c>
      <c r="AG72" s="38">
        <f>_xlfn.SINGLE(A127827035R_Latest)</f>
        <v>67.552999999999997</v>
      </c>
      <c r="AH72" s="38">
        <f>_xlfn.SINGLE(A127833095F_Latest)</f>
        <v>26.167999999999999</v>
      </c>
      <c r="AI72" s="38">
        <f>_xlfn.SINGLE(A127830125C_Latest)</f>
        <v>18.352</v>
      </c>
      <c r="AJ72" s="38">
        <f>_xlfn.SINGLE(A127827155J_Latest)</f>
        <v>7.8159999999999998</v>
      </c>
    </row>
    <row r="73" spans="1:36" hidden="1">
      <c r="B73" s="40" t="s">
        <v>1756</v>
      </c>
      <c r="C73" s="45">
        <v>8</v>
      </c>
      <c r="D73" s="38">
        <f>_xlfn.SINGLE(A127833180X_Latest)</f>
        <v>511.22500000000002</v>
      </c>
      <c r="E73" s="38">
        <f>_xlfn.SINGLE(A127830210W_Latest)</f>
        <v>358.13900000000001</v>
      </c>
      <c r="F73" s="38">
        <f>_xlfn.SINGLE(A127827240A_Latest)</f>
        <v>153.08600000000001</v>
      </c>
      <c r="G73" s="38">
        <f>_xlfn.SINGLE(A127832940K_Latest)</f>
        <v>502.57400000000001</v>
      </c>
      <c r="H73" s="38">
        <f>_xlfn.SINGLE(A127829970R_Latest)</f>
        <v>350.786</v>
      </c>
      <c r="I73" s="38">
        <f>_xlfn.SINGLE(A127827000R_Latest)</f>
        <v>151.78800000000001</v>
      </c>
      <c r="J73" s="38">
        <f>_xlfn.SINGLE(A127833120W_Latest)</f>
        <v>71.855000000000004</v>
      </c>
      <c r="K73" s="38">
        <f>_xlfn.SINGLE(A127830150F_Latest)</f>
        <v>40.555</v>
      </c>
      <c r="L73" s="38">
        <f>_xlfn.SINGLE(A127827180K_Latest)</f>
        <v>31.3</v>
      </c>
      <c r="M73" s="38">
        <f>_xlfn.SINGLE(A127833060F_Latest)</f>
        <v>17.015000000000001</v>
      </c>
      <c r="N73" s="38">
        <f>_xlfn.SINGLE(A127830090R_Latest)</f>
        <v>12.036</v>
      </c>
      <c r="O73" s="38">
        <f>_xlfn.SINGLE(A127827120J_Latest)</f>
        <v>4.9790000000000001</v>
      </c>
      <c r="P73" s="38">
        <f>_xlfn.SINGLE(A127833030T_Latest)</f>
        <v>54.84</v>
      </c>
      <c r="Q73" s="38">
        <f>_xlfn.SINGLE(A127830060A_Latest)</f>
        <v>28.518999999999998</v>
      </c>
      <c r="R73" s="38">
        <f>_xlfn.SINGLE(A127827090F_Latest)</f>
        <v>26.321000000000002</v>
      </c>
      <c r="S73" s="38">
        <f>_xlfn.SINGLE(A127833210A_Latest)</f>
        <v>158.30500000000001</v>
      </c>
      <c r="T73" s="38">
        <f>_xlfn.SINGLE(A127830240K_Latest)</f>
        <v>115.82599999999999</v>
      </c>
      <c r="U73" s="38">
        <f>_xlfn.SINGLE(A127827270R_Latest)</f>
        <v>42.478999999999999</v>
      </c>
      <c r="V73" s="38">
        <f>_xlfn.SINGLE(A127833240R_Latest)</f>
        <v>121.27200000000001</v>
      </c>
      <c r="W73" s="38">
        <f>_xlfn.SINGLE(A127830270X_Latest)</f>
        <v>89.658000000000001</v>
      </c>
      <c r="X73" s="38">
        <f>_xlfn.SINGLE(A127827300T_Latest)</f>
        <v>31.614000000000001</v>
      </c>
      <c r="Y73" s="38">
        <f>_xlfn.SINGLE(A127833150K_Latest)</f>
        <v>92.183000000000007</v>
      </c>
      <c r="Z73" s="38">
        <f>_xlfn.SINGLE(A127830180V_Latest)</f>
        <v>60.564999999999998</v>
      </c>
      <c r="AA73" s="38">
        <f>_xlfn.SINGLE(A127827210L_Latest)</f>
        <v>31.617999999999999</v>
      </c>
      <c r="AB73" s="38">
        <f>_xlfn.SINGLE(A127833000C_Latest)</f>
        <v>67.61</v>
      </c>
      <c r="AC73" s="38">
        <f>_xlfn.SINGLE(A127830030L_Latest)</f>
        <v>51.534999999999997</v>
      </c>
      <c r="AD73" s="38">
        <f>_xlfn.SINGLE(A127827060T_Latest)</f>
        <v>16.074999999999999</v>
      </c>
      <c r="AE73" s="38">
        <f>_xlfn.SINGLE(A127832970X_Latest)</f>
        <v>58.959000000000003</v>
      </c>
      <c r="AF73" s="38">
        <f>_xlfn.SINGLE(A127830000X_Latest)</f>
        <v>44.182000000000002</v>
      </c>
      <c r="AG73" s="38">
        <f>_xlfn.SINGLE(A127827030C_Latest)</f>
        <v>14.776999999999999</v>
      </c>
      <c r="AH73" s="38">
        <f>_xlfn.SINGLE(A127833090V_Latest)</f>
        <v>8.65</v>
      </c>
      <c r="AI73" s="38">
        <f>_xlfn.SINGLE(A127830120T_Latest)</f>
        <v>7.3520000000000003</v>
      </c>
      <c r="AJ73" s="38">
        <f>_xlfn.SINGLE(A127827150W_Latest)</f>
        <v>1.298</v>
      </c>
    </row>
    <row r="74" spans="1:36" hidden="1">
      <c r="B74" s="40" t="s">
        <v>1757</v>
      </c>
      <c r="C74" s="45">
        <v>9</v>
      </c>
      <c r="D74" s="38">
        <f>_xlfn.SINGLE(A127833177K_Latest)</f>
        <v>803.63199999999995</v>
      </c>
      <c r="E74" s="38">
        <f>_xlfn.SINGLE(A127830207J_Latest)</f>
        <v>319.96199999999999</v>
      </c>
      <c r="F74" s="38">
        <f>_xlfn.SINGLE(A127827237L_Latest)</f>
        <v>483.67</v>
      </c>
      <c r="G74" s="38">
        <f>_xlfn.SINGLE(A127832937W_Latest)</f>
        <v>786.11400000000003</v>
      </c>
      <c r="H74" s="38">
        <f>_xlfn.SINGLE(A127829967A_Latest)</f>
        <v>308.96199999999999</v>
      </c>
      <c r="I74" s="38">
        <f>_xlfn.SINGLE(A127826997K_Latest)</f>
        <v>477.15199999999999</v>
      </c>
      <c r="J74" s="38">
        <f>_xlfn.SINGLE(A127833117J_Latest)</f>
        <v>289.62</v>
      </c>
      <c r="K74" s="38">
        <f>_xlfn.SINGLE(A127830147T_Latest)</f>
        <v>129.09299999999999</v>
      </c>
      <c r="L74" s="38">
        <f>_xlfn.SINGLE(A127827177W_Latest)</f>
        <v>160.52699999999999</v>
      </c>
      <c r="M74" s="38">
        <f>_xlfn.SINGLE(A127833057T_Latest)</f>
        <v>138.45699999999999</v>
      </c>
      <c r="N74" s="38">
        <f>_xlfn.SINGLE(A127830087A_Latest)</f>
        <v>57.521000000000001</v>
      </c>
      <c r="O74" s="38">
        <f>_xlfn.SINGLE(A127827117V_Latest)</f>
        <v>80.936000000000007</v>
      </c>
      <c r="P74" s="38">
        <f>_xlfn.SINGLE(A127833027C_Latest)</f>
        <v>151.16300000000001</v>
      </c>
      <c r="Q74" s="38">
        <f>_xlfn.SINGLE(A127830057L_Latest)</f>
        <v>71.572000000000003</v>
      </c>
      <c r="R74" s="38">
        <f>_xlfn.SINGLE(A127827087T_Latest)</f>
        <v>79.59</v>
      </c>
      <c r="S74" s="38">
        <f>_xlfn.SINGLE(A127833207L_Latest)</f>
        <v>164.346</v>
      </c>
      <c r="T74" s="38">
        <f>_xlfn.SINGLE(A127830237W_Latest)</f>
        <v>70.704999999999998</v>
      </c>
      <c r="U74" s="38">
        <f>_xlfn.SINGLE(A127827267A_Latest)</f>
        <v>93.641000000000005</v>
      </c>
      <c r="V74" s="38">
        <f>_xlfn.SINGLE(A127833237A_Latest)</f>
        <v>131.01</v>
      </c>
      <c r="W74" s="38">
        <f>_xlfn.SINGLE(A127830267K_Latest)</f>
        <v>40.444000000000003</v>
      </c>
      <c r="X74" s="38">
        <f>_xlfn.SINGLE(A127827297R_Latest)</f>
        <v>90.564999999999998</v>
      </c>
      <c r="Y74" s="38">
        <f>_xlfn.SINGLE(A127833147W_Latest)</f>
        <v>113.959</v>
      </c>
      <c r="Z74" s="38">
        <f>_xlfn.SINGLE(A127830177F_Latest)</f>
        <v>34.316000000000003</v>
      </c>
      <c r="AA74" s="38">
        <f>_xlfn.SINGLE(A127827207X_Latest)</f>
        <v>79.643000000000001</v>
      </c>
      <c r="AB74" s="38">
        <f>_xlfn.SINGLE(A127832997X_Latest)</f>
        <v>104.697</v>
      </c>
      <c r="AC74" s="38">
        <f>_xlfn.SINGLE(A127830027X_Latest)</f>
        <v>45.404000000000003</v>
      </c>
      <c r="AD74" s="38">
        <f>_xlfn.SINGLE(A127827057C_Latest)</f>
        <v>59.293999999999997</v>
      </c>
      <c r="AE74" s="38">
        <f>_xlfn.SINGLE(A127832967K_Latest)</f>
        <v>87.179000000000002</v>
      </c>
      <c r="AF74" s="38">
        <f>_xlfn.SINGLE(A127829997R_Latest)</f>
        <v>34.402999999999999</v>
      </c>
      <c r="AG74" s="38">
        <f>_xlfn.SINGLE(A127827027R_Latest)</f>
        <v>52.776000000000003</v>
      </c>
      <c r="AH74" s="38">
        <f>_xlfn.SINGLE(A127833087F_Latest)</f>
        <v>17.518000000000001</v>
      </c>
      <c r="AI74" s="38">
        <f>_xlfn.SINGLE(A127830117C_Latest)</f>
        <v>11</v>
      </c>
      <c r="AJ74" s="38">
        <f>_xlfn.SINGLE(A127827147J_Latest)</f>
        <v>6.5179999999999998</v>
      </c>
    </row>
    <row r="75" spans="1:36" hidden="1">
      <c r="C75" s="45">
        <v>10</v>
      </c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</row>
    <row r="76" spans="1:36" hidden="1">
      <c r="A76" s="36" t="s">
        <v>1758</v>
      </c>
      <c r="C76" s="45">
        <v>11</v>
      </c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</row>
    <row r="77" spans="1:36" hidden="1">
      <c r="A77" s="36"/>
      <c r="B77" s="6" t="s">
        <v>1749</v>
      </c>
      <c r="C77" s="45">
        <v>12</v>
      </c>
      <c r="D77" s="38">
        <f>_xlfn.SINGLE(A127833182C_Latest)</f>
        <v>1570.816</v>
      </c>
      <c r="E77" s="38">
        <f>_xlfn.SINGLE(A127830212A_Latest)</f>
        <v>824.32799999999997</v>
      </c>
      <c r="F77" s="38">
        <f>_xlfn.SINGLE(A127827242F_Latest)</f>
        <v>746.48800000000006</v>
      </c>
      <c r="G77" s="38">
        <f>_xlfn.SINGLE(A127832942R_Latest)</f>
        <v>1520.2660000000001</v>
      </c>
      <c r="H77" s="38">
        <f>_xlfn.SINGLE(A127829972V_Latest)</f>
        <v>794.41300000000001</v>
      </c>
      <c r="I77" s="38">
        <f>_xlfn.SINGLE(A127827002V_Latest)</f>
        <v>725.85299999999995</v>
      </c>
      <c r="J77" s="38">
        <f>_xlfn.SINGLE(A127833122A_Latest)</f>
        <v>412.09300000000002</v>
      </c>
      <c r="K77" s="38">
        <f>_xlfn.SINGLE(A127830152K_Latest)</f>
        <v>195.88900000000001</v>
      </c>
      <c r="L77" s="38">
        <f>_xlfn.SINGLE(A127827182R_Latest)</f>
        <v>216.20400000000001</v>
      </c>
      <c r="M77" s="38">
        <f>_xlfn.SINGLE(A127833062K_Latest)</f>
        <v>185.39099999999999</v>
      </c>
      <c r="N77" s="38">
        <f>_xlfn.SINGLE(A127830092V_Latest)</f>
        <v>82.587999999999994</v>
      </c>
      <c r="O77" s="38">
        <f>_xlfn.SINGLE(A127827122L_Latest)</f>
        <v>102.803</v>
      </c>
      <c r="P77" s="38">
        <f>_xlfn.SINGLE(A127833032W_Latest)</f>
        <v>226.703</v>
      </c>
      <c r="Q77" s="38">
        <f>_xlfn.SINGLE(A127830062F_Latest)</f>
        <v>113.301</v>
      </c>
      <c r="R77" s="38">
        <f>_xlfn.SINGLE(A127827092K_Latest)</f>
        <v>113.402</v>
      </c>
      <c r="S77" s="38">
        <f>_xlfn.SINGLE(A127833212F_Latest)</f>
        <v>364.28</v>
      </c>
      <c r="T77" s="38">
        <f>_xlfn.SINGLE(A127830242R_Latest)</f>
        <v>211.17400000000001</v>
      </c>
      <c r="U77" s="38">
        <f>_xlfn.SINGLE(A127827272V_Latest)</f>
        <v>153.107</v>
      </c>
      <c r="V77" s="38">
        <f>_xlfn.SINGLE(A127833242V_Latest)</f>
        <v>294.89699999999999</v>
      </c>
      <c r="W77" s="38">
        <f>_xlfn.SINGLE(A127830272C_Latest)</f>
        <v>155.03399999999999</v>
      </c>
      <c r="X77" s="38">
        <f>_xlfn.SINGLE(A127827302W_Latest)</f>
        <v>139.863</v>
      </c>
      <c r="Y77" s="38">
        <f>_xlfn.SINGLE(A127833152R_Latest)</f>
        <v>262.303</v>
      </c>
      <c r="Z77" s="38">
        <f>_xlfn.SINGLE(A127830182X_Latest)</f>
        <v>130.60599999999999</v>
      </c>
      <c r="AA77" s="38">
        <f>_xlfn.SINGLE(A127827212T_Latest)</f>
        <v>131.697</v>
      </c>
      <c r="AB77" s="38">
        <f>_xlfn.SINGLE(A127833002J_Latest)</f>
        <v>237.24199999999999</v>
      </c>
      <c r="AC77" s="38">
        <f>_xlfn.SINGLE(A127830032T_Latest)</f>
        <v>131.624</v>
      </c>
      <c r="AD77" s="38">
        <f>_xlfn.SINGLE(A127827062W_Latest)</f>
        <v>105.61799999999999</v>
      </c>
      <c r="AE77" s="38">
        <f>_xlfn.SINGLE(A127832972C_Latest)</f>
        <v>186.69200000000001</v>
      </c>
      <c r="AF77" s="38">
        <f>_xlfn.SINGLE(A127830002C_Latest)</f>
        <v>101.71</v>
      </c>
      <c r="AG77" s="38">
        <f>_xlfn.SINGLE(A127827032J_Latest)</f>
        <v>84.981999999999999</v>
      </c>
      <c r="AH77" s="38">
        <f>_xlfn.SINGLE(A127833092X_Latest)</f>
        <v>50.55</v>
      </c>
      <c r="AI77" s="38">
        <f>_xlfn.SINGLE(A127830122W_Latest)</f>
        <v>29.914000000000001</v>
      </c>
      <c r="AJ77" s="38">
        <f>_xlfn.SINGLE(A127827152A_Latest)</f>
        <v>20.635000000000002</v>
      </c>
    </row>
    <row r="78" spans="1:36" hidden="1">
      <c r="B78" s="39" t="s">
        <v>1759</v>
      </c>
      <c r="C78" s="45">
        <v>13</v>
      </c>
      <c r="D78" s="38">
        <f>_xlfn.SINGLE(A127833184J_Latest)</f>
        <v>639.29399999999998</v>
      </c>
      <c r="E78" s="38">
        <f>_xlfn.SINGLE(A127830214F_Latest)</f>
        <v>453.61</v>
      </c>
      <c r="F78" s="38">
        <f>_xlfn.SINGLE(A127827244K_Latest)</f>
        <v>185.684</v>
      </c>
      <c r="G78" s="38">
        <f>_xlfn.SINGLE(A127832944V_Latest)</f>
        <v>626.42899999999997</v>
      </c>
      <c r="H78" s="38">
        <f>_xlfn.SINGLE(A127829974X_Latest)</f>
        <v>443.08300000000003</v>
      </c>
      <c r="I78" s="38">
        <f>_xlfn.SINGLE(A127827004X_Latest)</f>
        <v>183.346</v>
      </c>
      <c r="J78" s="38">
        <f>_xlfn.SINGLE(A127833124F_Latest)</f>
        <v>82.741</v>
      </c>
      <c r="K78" s="38">
        <f>_xlfn.SINGLE(A127830154R_Latest)</f>
        <v>48.207999999999998</v>
      </c>
      <c r="L78" s="38">
        <f>_xlfn.SINGLE(A127827184V_Latest)</f>
        <v>34.533000000000001</v>
      </c>
      <c r="M78" s="38">
        <f>_xlfn.SINGLE(A127833064R_Latest)</f>
        <v>20.12</v>
      </c>
      <c r="N78" s="38">
        <f>_xlfn.SINGLE(A127830094X_Latest)</f>
        <v>13.477</v>
      </c>
      <c r="O78" s="38">
        <f>_xlfn.SINGLE(A127827124T_Latest)</f>
        <v>6.6429999999999998</v>
      </c>
      <c r="P78" s="38">
        <f>_xlfn.SINGLE(A127833034A_Latest)</f>
        <v>62.621000000000002</v>
      </c>
      <c r="Q78" s="38">
        <f>_xlfn.SINGLE(A127830064K_Latest)</f>
        <v>34.731000000000002</v>
      </c>
      <c r="R78" s="38">
        <f>_xlfn.SINGLE(A127827094R_Latest)</f>
        <v>27.89</v>
      </c>
      <c r="S78" s="38">
        <f>_xlfn.SINGLE(A127833214K_Latest)</f>
        <v>183.542</v>
      </c>
      <c r="T78" s="38">
        <f>_xlfn.SINGLE(A127830244V_Latest)</f>
        <v>134.887</v>
      </c>
      <c r="U78" s="38">
        <f>_xlfn.SINGLE(A127827274X_Latest)</f>
        <v>48.655000000000001</v>
      </c>
      <c r="V78" s="38">
        <f>_xlfn.SINGLE(A127833244X_Latest)</f>
        <v>146.34899999999999</v>
      </c>
      <c r="W78" s="38">
        <f>_xlfn.SINGLE(A127830274J_Latest)</f>
        <v>109.676</v>
      </c>
      <c r="X78" s="38">
        <f>_xlfn.SINGLE(A127827304A_Latest)</f>
        <v>36.673999999999999</v>
      </c>
      <c r="Y78" s="38">
        <f>_xlfn.SINGLE(A127833154V_Latest)</f>
        <v>132.76900000000001</v>
      </c>
      <c r="Z78" s="38">
        <f>_xlfn.SINGLE(A127830184C_Latest)</f>
        <v>90.921999999999997</v>
      </c>
      <c r="AA78" s="38">
        <f>_xlfn.SINGLE(A127827214W_Latest)</f>
        <v>41.847000000000001</v>
      </c>
      <c r="AB78" s="38">
        <f>_xlfn.SINGLE(A127833004L_Latest)</f>
        <v>93.891999999999996</v>
      </c>
      <c r="AC78" s="38">
        <f>_xlfn.SINGLE(A127830034W_Latest)</f>
        <v>69.917000000000002</v>
      </c>
      <c r="AD78" s="38">
        <f>_xlfn.SINGLE(A127827064A_Latest)</f>
        <v>23.975000000000001</v>
      </c>
      <c r="AE78" s="38">
        <f>_xlfn.SINGLE(A127832974J_Latest)</f>
        <v>81.027000000000001</v>
      </c>
      <c r="AF78" s="38">
        <f>_xlfn.SINGLE(A127830004J_Latest)</f>
        <v>59.39</v>
      </c>
      <c r="AG78" s="38">
        <f>_xlfn.SINGLE(A127827034L_Latest)</f>
        <v>21.637</v>
      </c>
      <c r="AH78" s="38">
        <f>_xlfn.SINGLE(A127833094C_Latest)</f>
        <v>12.865</v>
      </c>
      <c r="AI78" s="38">
        <f>_xlfn.SINGLE(A127830124A_Latest)</f>
        <v>10.526999999999999</v>
      </c>
      <c r="AJ78" s="38">
        <f>_xlfn.SINGLE(A127827154F_Latest)</f>
        <v>2.3380000000000001</v>
      </c>
    </row>
    <row r="79" spans="1:36" hidden="1">
      <c r="B79" s="40" t="s">
        <v>1751</v>
      </c>
      <c r="C79" s="45">
        <v>14</v>
      </c>
      <c r="D79" s="38">
        <f>_xlfn.SINGLE(A127833181A_Latest)</f>
        <v>168.17500000000001</v>
      </c>
      <c r="E79" s="38">
        <f>_xlfn.SINGLE(A127830211X_Latest)</f>
        <v>124.782</v>
      </c>
      <c r="F79" s="38">
        <f>_xlfn.SINGLE(A127827241C_Latest)</f>
        <v>43.393000000000001</v>
      </c>
      <c r="G79" s="38">
        <f>_xlfn.SINGLE(A127832941L_Latest)</f>
        <v>161.458</v>
      </c>
      <c r="H79" s="38">
        <f>_xlfn.SINGLE(A127829971T_Latest)</f>
        <v>119.97199999999999</v>
      </c>
      <c r="I79" s="38">
        <f>_xlfn.SINGLE(A127827001T_Latest)</f>
        <v>41.487000000000002</v>
      </c>
      <c r="J79" s="38">
        <f>_xlfn.SINGLE(A127833121X_Latest)</f>
        <v>14.471</v>
      </c>
      <c r="K79" s="38">
        <f>_xlfn.SINGLE(A127830151J_Latest)</f>
        <v>10.015000000000001</v>
      </c>
      <c r="L79" s="38">
        <f>_xlfn.SINGLE(A127827181L_Latest)</f>
        <v>4.4560000000000004</v>
      </c>
      <c r="M79" s="38">
        <f>_xlfn.SINGLE(A127833061J_Latest)</f>
        <v>3.323</v>
      </c>
      <c r="N79" s="38">
        <f>_xlfn.SINGLE(A127830091T_Latest)</f>
        <v>1.4410000000000001</v>
      </c>
      <c r="O79" s="38">
        <f>_xlfn.SINGLE(A127827121K_Latest)</f>
        <v>1.8819999999999999</v>
      </c>
      <c r="P79" s="38">
        <f>_xlfn.SINGLE(A127833031V_Latest)</f>
        <v>11.148</v>
      </c>
      <c r="Q79" s="38">
        <f>_xlfn.SINGLE(A127830061C_Latest)</f>
        <v>8.5730000000000004</v>
      </c>
      <c r="R79" s="38">
        <f>_xlfn.SINGLE(A127827091J_Latest)</f>
        <v>2.5739999999999998</v>
      </c>
      <c r="S79" s="38">
        <f>_xlfn.SINGLE(A127833211C_Latest)</f>
        <v>36.293999999999997</v>
      </c>
      <c r="T79" s="38">
        <f>_xlfn.SINGLE(A127830241L_Latest)</f>
        <v>25.850999999999999</v>
      </c>
      <c r="U79" s="38">
        <f>_xlfn.SINGLE(A127827271T_Latest)</f>
        <v>10.443</v>
      </c>
      <c r="V79" s="38">
        <f>_xlfn.SINGLE(A127833241T_Latest)</f>
        <v>35.295000000000002</v>
      </c>
      <c r="W79" s="38">
        <f>_xlfn.SINGLE(A127830271A_Latest)</f>
        <v>27.902999999999999</v>
      </c>
      <c r="X79" s="38">
        <f>_xlfn.SINGLE(A127827301V_Latest)</f>
        <v>7.3929999999999998</v>
      </c>
      <c r="Y79" s="38">
        <f>_xlfn.SINGLE(A127833151L_Latest)</f>
        <v>47.268000000000001</v>
      </c>
      <c r="Z79" s="38">
        <f>_xlfn.SINGLE(A127830181W_Latest)</f>
        <v>35.613</v>
      </c>
      <c r="AA79" s="38">
        <f>_xlfn.SINGLE(A127827211R_Latest)</f>
        <v>11.654999999999999</v>
      </c>
      <c r="AB79" s="38">
        <f>_xlfn.SINGLE(A127833001F_Latest)</f>
        <v>34.845999999999997</v>
      </c>
      <c r="AC79" s="38">
        <f>_xlfn.SINGLE(A127830031R_Latest)</f>
        <v>25.401</v>
      </c>
      <c r="AD79" s="38">
        <f>_xlfn.SINGLE(A127827061V_Latest)</f>
        <v>9.4450000000000003</v>
      </c>
      <c r="AE79" s="38">
        <f>_xlfn.SINGLE(A127832971A_Latest)</f>
        <v>28.13</v>
      </c>
      <c r="AF79" s="38">
        <f>_xlfn.SINGLE(A127830001A_Latest)</f>
        <v>20.59</v>
      </c>
      <c r="AG79" s="38">
        <f>_xlfn.SINGLE(A127827031F_Latest)</f>
        <v>7.54</v>
      </c>
      <c r="AH79" s="38">
        <f>_xlfn.SINGLE(A127833091W_Latest)</f>
        <v>6.7169999999999996</v>
      </c>
      <c r="AI79" s="38">
        <f>_xlfn.SINGLE(A127830121V_Latest)</f>
        <v>4.8109999999999999</v>
      </c>
      <c r="AJ79" s="38">
        <f>_xlfn.SINGLE(A127827151X_Latest)</f>
        <v>1.9059999999999999</v>
      </c>
    </row>
    <row r="80" spans="1:36" hidden="1">
      <c r="B80" s="40" t="s">
        <v>1756</v>
      </c>
      <c r="C80" s="45">
        <v>15</v>
      </c>
      <c r="D80" s="38">
        <f>_xlfn.SINGLE(A127833180X_Latest)</f>
        <v>511.22500000000002</v>
      </c>
      <c r="E80" s="38">
        <f>_xlfn.SINGLE(A127830210W_Latest)</f>
        <v>358.13900000000001</v>
      </c>
      <c r="F80" s="38">
        <f>_xlfn.SINGLE(A127827240A_Latest)</f>
        <v>153.08600000000001</v>
      </c>
      <c r="G80" s="38">
        <f>_xlfn.SINGLE(A127832940K_Latest)</f>
        <v>502.57400000000001</v>
      </c>
      <c r="H80" s="38">
        <f>_xlfn.SINGLE(A127829970R_Latest)</f>
        <v>350.786</v>
      </c>
      <c r="I80" s="38">
        <f>_xlfn.SINGLE(A127827000R_Latest)</f>
        <v>151.78800000000001</v>
      </c>
      <c r="J80" s="38">
        <f>_xlfn.SINGLE(A127833120W_Latest)</f>
        <v>71.855000000000004</v>
      </c>
      <c r="K80" s="38">
        <f>_xlfn.SINGLE(A127830150F_Latest)</f>
        <v>40.555</v>
      </c>
      <c r="L80" s="38">
        <f>_xlfn.SINGLE(A127827180K_Latest)</f>
        <v>31.3</v>
      </c>
      <c r="M80" s="38">
        <f>_xlfn.SINGLE(A127833060F_Latest)</f>
        <v>17.015000000000001</v>
      </c>
      <c r="N80" s="38">
        <f>_xlfn.SINGLE(A127830090R_Latest)</f>
        <v>12.036</v>
      </c>
      <c r="O80" s="38">
        <f>_xlfn.SINGLE(A127827120J_Latest)</f>
        <v>4.9790000000000001</v>
      </c>
      <c r="P80" s="38">
        <f>_xlfn.SINGLE(A127833030T_Latest)</f>
        <v>54.84</v>
      </c>
      <c r="Q80" s="38">
        <f>_xlfn.SINGLE(A127830060A_Latest)</f>
        <v>28.518999999999998</v>
      </c>
      <c r="R80" s="38">
        <f>_xlfn.SINGLE(A127827090F_Latest)</f>
        <v>26.321000000000002</v>
      </c>
      <c r="S80" s="38">
        <f>_xlfn.SINGLE(A127833210A_Latest)</f>
        <v>158.30500000000001</v>
      </c>
      <c r="T80" s="38">
        <f>_xlfn.SINGLE(A127830240K_Latest)</f>
        <v>115.82599999999999</v>
      </c>
      <c r="U80" s="38">
        <f>_xlfn.SINGLE(A127827270R_Latest)</f>
        <v>42.478999999999999</v>
      </c>
      <c r="V80" s="38">
        <f>_xlfn.SINGLE(A127833240R_Latest)</f>
        <v>121.27200000000001</v>
      </c>
      <c r="W80" s="38">
        <f>_xlfn.SINGLE(A127830270X_Latest)</f>
        <v>89.658000000000001</v>
      </c>
      <c r="X80" s="38">
        <f>_xlfn.SINGLE(A127827300T_Latest)</f>
        <v>31.614000000000001</v>
      </c>
      <c r="Y80" s="38">
        <f>_xlfn.SINGLE(A127833150K_Latest)</f>
        <v>92.183000000000007</v>
      </c>
      <c r="Z80" s="38">
        <f>_xlfn.SINGLE(A127830180V_Latest)</f>
        <v>60.564999999999998</v>
      </c>
      <c r="AA80" s="38">
        <f>_xlfn.SINGLE(A127827210L_Latest)</f>
        <v>31.617999999999999</v>
      </c>
      <c r="AB80" s="38">
        <f>_xlfn.SINGLE(A127833000C_Latest)</f>
        <v>67.61</v>
      </c>
      <c r="AC80" s="38">
        <f>_xlfn.SINGLE(A127830030L_Latest)</f>
        <v>51.534999999999997</v>
      </c>
      <c r="AD80" s="38">
        <f>_xlfn.SINGLE(A127827060T_Latest)</f>
        <v>16.074999999999999</v>
      </c>
      <c r="AE80" s="38">
        <f>_xlfn.SINGLE(A127832970X_Latest)</f>
        <v>58.959000000000003</v>
      </c>
      <c r="AF80" s="38">
        <f>_xlfn.SINGLE(A127830000X_Latest)</f>
        <v>44.182000000000002</v>
      </c>
      <c r="AG80" s="38">
        <f>_xlfn.SINGLE(A127827030C_Latest)</f>
        <v>14.776999999999999</v>
      </c>
      <c r="AH80" s="38">
        <f>_xlfn.SINGLE(A127833090V_Latest)</f>
        <v>8.65</v>
      </c>
      <c r="AI80" s="38">
        <f>_xlfn.SINGLE(A127830120T_Latest)</f>
        <v>7.3520000000000003</v>
      </c>
      <c r="AJ80" s="38">
        <f>_xlfn.SINGLE(A127827150W_Latest)</f>
        <v>1.298</v>
      </c>
    </row>
    <row r="81" spans="1:36" hidden="1">
      <c r="B81" s="39" t="s">
        <v>1760</v>
      </c>
      <c r="C81" s="45">
        <v>16</v>
      </c>
      <c r="D81" s="38">
        <f>_xlfn.SINGLE(A127833183F_Latest)</f>
        <v>931.52200000000005</v>
      </c>
      <c r="E81" s="38">
        <f>_xlfn.SINGLE(A127830213C_Latest)</f>
        <v>370.71800000000002</v>
      </c>
      <c r="F81" s="38">
        <f>_xlfn.SINGLE(A127827243J_Latest)</f>
        <v>560.80399999999997</v>
      </c>
      <c r="G81" s="38">
        <f>_xlfn.SINGLE(A127832943T_Latest)</f>
        <v>893.83699999999999</v>
      </c>
      <c r="H81" s="38">
        <f>_xlfn.SINGLE(A127829973W_Latest)</f>
        <v>351.33100000000002</v>
      </c>
      <c r="I81" s="38">
        <f>_xlfn.SINGLE(A127827003W_Latest)</f>
        <v>542.50699999999995</v>
      </c>
      <c r="J81" s="38">
        <f>_xlfn.SINGLE(A127833123C_Latest)</f>
        <v>329.35199999999998</v>
      </c>
      <c r="K81" s="38">
        <f>_xlfn.SINGLE(A127830153L_Latest)</f>
        <v>147.68100000000001</v>
      </c>
      <c r="L81" s="38">
        <f>_xlfn.SINGLE(A127827183T_Latest)</f>
        <v>181.67099999999999</v>
      </c>
      <c r="M81" s="38">
        <f>_xlfn.SINGLE(A127833063L_Latest)</f>
        <v>165.27</v>
      </c>
      <c r="N81" s="38">
        <f>_xlfn.SINGLE(A127830093W_Latest)</f>
        <v>69.11</v>
      </c>
      <c r="O81" s="38">
        <f>_xlfn.SINGLE(A127827123R_Latest)</f>
        <v>96.16</v>
      </c>
      <c r="P81" s="38">
        <f>_xlfn.SINGLE(A127833033X_Latest)</f>
        <v>164.08199999999999</v>
      </c>
      <c r="Q81" s="38">
        <f>_xlfn.SINGLE(A127830063J_Latest)</f>
        <v>78.570999999999998</v>
      </c>
      <c r="R81" s="38">
        <f>_xlfn.SINGLE(A127827093L_Latest)</f>
        <v>85.510999999999996</v>
      </c>
      <c r="S81" s="38">
        <f>_xlfn.SINGLE(A127833213J_Latest)</f>
        <v>180.738</v>
      </c>
      <c r="T81" s="38">
        <f>_xlfn.SINGLE(A127830243T_Latest)</f>
        <v>76.287000000000006</v>
      </c>
      <c r="U81" s="38">
        <f>_xlfn.SINGLE(A127827273W_Latest)</f>
        <v>104.45099999999999</v>
      </c>
      <c r="V81" s="38">
        <f>_xlfn.SINGLE(A127833243W_Latest)</f>
        <v>148.548</v>
      </c>
      <c r="W81" s="38">
        <f>_xlfn.SINGLE(A127830273F_Latest)</f>
        <v>45.359000000000002</v>
      </c>
      <c r="X81" s="38">
        <f>_xlfn.SINGLE(A127827303X_Latest)</f>
        <v>103.18899999999999</v>
      </c>
      <c r="Y81" s="38">
        <f>_xlfn.SINGLE(A127833153T_Latest)</f>
        <v>129.53399999999999</v>
      </c>
      <c r="Z81" s="38">
        <f>_xlfn.SINGLE(A127830183A_Latest)</f>
        <v>39.683999999999997</v>
      </c>
      <c r="AA81" s="38">
        <f>_xlfn.SINGLE(A127827213V_Latest)</f>
        <v>89.85</v>
      </c>
      <c r="AB81" s="38">
        <f>_xlfn.SINGLE(A127833003K_Latest)</f>
        <v>143.35</v>
      </c>
      <c r="AC81" s="38">
        <f>_xlfn.SINGLE(A127830033V_Latest)</f>
        <v>61.707999999999998</v>
      </c>
      <c r="AD81" s="38">
        <f>_xlfn.SINGLE(A127827063X_Latest)</f>
        <v>81.641999999999996</v>
      </c>
      <c r="AE81" s="38">
        <f>_xlfn.SINGLE(A127832973F_Latest)</f>
        <v>105.66500000000001</v>
      </c>
      <c r="AF81" s="38">
        <f>_xlfn.SINGLE(A127830003F_Latest)</f>
        <v>42.32</v>
      </c>
      <c r="AG81" s="38">
        <f>_xlfn.SINGLE(A127827033K_Latest)</f>
        <v>63.344999999999999</v>
      </c>
      <c r="AH81" s="38">
        <f>_xlfn.SINGLE(A127833093A_Latest)</f>
        <v>37.685000000000002</v>
      </c>
      <c r="AI81" s="38">
        <f>_xlfn.SINGLE(A127830123X_Latest)</f>
        <v>19.387</v>
      </c>
      <c r="AJ81" s="38">
        <f>_xlfn.SINGLE(A127827153C_Latest)</f>
        <v>18.297000000000001</v>
      </c>
    </row>
    <row r="82" spans="1:36" hidden="1">
      <c r="B82" s="40" t="s">
        <v>1754</v>
      </c>
      <c r="C82" s="45">
        <v>17</v>
      </c>
      <c r="D82" s="38">
        <f>_xlfn.SINGLE(A127833178L_Latest)</f>
        <v>250.029</v>
      </c>
      <c r="E82" s="38">
        <f>_xlfn.SINGLE(A127830208K_Latest)</f>
        <v>107.85599999999999</v>
      </c>
      <c r="F82" s="38">
        <f>_xlfn.SINGLE(A127827238R_Latest)</f>
        <v>142.17400000000001</v>
      </c>
      <c r="G82" s="38">
        <f>_xlfn.SINGLE(A127832938X_Latest)</f>
        <v>224.44900000000001</v>
      </c>
      <c r="H82" s="38">
        <f>_xlfn.SINGLE(A127829968C_Latest)</f>
        <v>96.024000000000001</v>
      </c>
      <c r="I82" s="38">
        <f>_xlfn.SINGLE(A127826998L_Latest)</f>
        <v>128.42599999999999</v>
      </c>
      <c r="J82" s="38">
        <f>_xlfn.SINGLE(A127833118K_Latest)</f>
        <v>77.757999999999996</v>
      </c>
      <c r="K82" s="38">
        <f>_xlfn.SINGLE(A127830148V_Latest)</f>
        <v>37.165999999999997</v>
      </c>
      <c r="L82" s="38">
        <f>_xlfn.SINGLE(A127827178X_Latest)</f>
        <v>40.591999999999999</v>
      </c>
      <c r="M82" s="38">
        <f>_xlfn.SINGLE(A127833058V_Latest)</f>
        <v>44.103000000000002</v>
      </c>
      <c r="N82" s="38">
        <f>_xlfn.SINGLE(A127830088C_Latest)</f>
        <v>18.978000000000002</v>
      </c>
      <c r="O82" s="38">
        <f>_xlfn.SINGLE(A127827118W_Latest)</f>
        <v>25.125</v>
      </c>
      <c r="P82" s="38">
        <f>_xlfn.SINGLE(A127833028F_Latest)</f>
        <v>33.655000000000001</v>
      </c>
      <c r="Q82" s="38">
        <f>_xlfn.SINGLE(A127830058R_Latest)</f>
        <v>18.187000000000001</v>
      </c>
      <c r="R82" s="38">
        <f>_xlfn.SINGLE(A127827088V_Latest)</f>
        <v>15.467000000000001</v>
      </c>
      <c r="S82" s="38">
        <f>_xlfn.SINGLE(A127833208R_Latest)</f>
        <v>39.552</v>
      </c>
      <c r="T82" s="38">
        <f>_xlfn.SINGLE(A127830238X_Latest)</f>
        <v>14.602</v>
      </c>
      <c r="U82" s="38">
        <f>_xlfn.SINGLE(A127827268C_Latest)</f>
        <v>24.951000000000001</v>
      </c>
      <c r="V82" s="38">
        <f>_xlfn.SINGLE(A127833238C_Latest)</f>
        <v>35.75</v>
      </c>
      <c r="W82" s="38">
        <f>_xlfn.SINGLE(A127830268L_Latest)</f>
        <v>10.832000000000001</v>
      </c>
      <c r="X82" s="38">
        <f>_xlfn.SINGLE(A127827298T_Latest)</f>
        <v>24.917999999999999</v>
      </c>
      <c r="Y82" s="38">
        <f>_xlfn.SINGLE(A127833148X_Latest)</f>
        <v>35.097000000000001</v>
      </c>
      <c r="Z82" s="38">
        <f>_xlfn.SINGLE(A127830178J_Latest)</f>
        <v>16.196000000000002</v>
      </c>
      <c r="AA82" s="38">
        <f>_xlfn.SINGLE(A127827208A_Latest)</f>
        <v>18.901</v>
      </c>
      <c r="AB82" s="38">
        <f>_xlfn.SINGLE(A127832998A_Latest)</f>
        <v>61.872</v>
      </c>
      <c r="AC82" s="38">
        <f>_xlfn.SINGLE(A127830028A_Latest)</f>
        <v>29.06</v>
      </c>
      <c r="AD82" s="38">
        <f>_xlfn.SINGLE(A127827058F_Latest)</f>
        <v>32.811999999999998</v>
      </c>
      <c r="AE82" s="38">
        <f>_xlfn.SINGLE(A127832968L_Latest)</f>
        <v>36.292000000000002</v>
      </c>
      <c r="AF82" s="38">
        <f>_xlfn.SINGLE(A127829998T_Latest)</f>
        <v>17.228000000000002</v>
      </c>
      <c r="AG82" s="38">
        <f>_xlfn.SINGLE(A127827028T_Latest)</f>
        <v>19.064</v>
      </c>
      <c r="AH82" s="38">
        <f>_xlfn.SINGLE(A127833088J_Latest)</f>
        <v>25.58</v>
      </c>
      <c r="AI82" s="38">
        <f>_xlfn.SINGLE(A127830118F_Latest)</f>
        <v>11.832000000000001</v>
      </c>
      <c r="AJ82" s="38">
        <f>_xlfn.SINGLE(A127827148K_Latest)</f>
        <v>13.747999999999999</v>
      </c>
    </row>
    <row r="83" spans="1:36" hidden="1">
      <c r="B83" s="40" t="s">
        <v>1757</v>
      </c>
      <c r="C83" s="45">
        <v>18</v>
      </c>
      <c r="D83" s="38">
        <f>_xlfn.SINGLE(A127833177K_Latest)</f>
        <v>803.63199999999995</v>
      </c>
      <c r="E83" s="38">
        <f>_xlfn.SINGLE(A127830207J_Latest)</f>
        <v>319.96199999999999</v>
      </c>
      <c r="F83" s="38">
        <f>_xlfn.SINGLE(A127827237L_Latest)</f>
        <v>483.67</v>
      </c>
      <c r="G83" s="38">
        <f>_xlfn.SINGLE(A127832937W_Latest)</f>
        <v>786.11400000000003</v>
      </c>
      <c r="H83" s="38">
        <f>_xlfn.SINGLE(A127829967A_Latest)</f>
        <v>308.96199999999999</v>
      </c>
      <c r="I83" s="38">
        <f>_xlfn.SINGLE(A127826997K_Latest)</f>
        <v>477.15199999999999</v>
      </c>
      <c r="J83" s="38">
        <f>_xlfn.SINGLE(A127833117J_Latest)</f>
        <v>289.62</v>
      </c>
      <c r="K83" s="38">
        <f>_xlfn.SINGLE(A127830147T_Latest)</f>
        <v>129.09299999999999</v>
      </c>
      <c r="L83" s="38">
        <f>_xlfn.SINGLE(A127827177W_Latest)</f>
        <v>160.52699999999999</v>
      </c>
      <c r="M83" s="38">
        <f>_xlfn.SINGLE(A127833057T_Latest)</f>
        <v>138.45699999999999</v>
      </c>
      <c r="N83" s="38">
        <f>_xlfn.SINGLE(A127830087A_Latest)</f>
        <v>57.521000000000001</v>
      </c>
      <c r="O83" s="38">
        <f>_xlfn.SINGLE(A127827117V_Latest)</f>
        <v>80.936000000000007</v>
      </c>
      <c r="P83" s="38">
        <f>_xlfn.SINGLE(A127833027C_Latest)</f>
        <v>151.16300000000001</v>
      </c>
      <c r="Q83" s="38">
        <f>_xlfn.SINGLE(A127830057L_Latest)</f>
        <v>71.572000000000003</v>
      </c>
      <c r="R83" s="38">
        <f>_xlfn.SINGLE(A127827087T_Latest)</f>
        <v>79.59</v>
      </c>
      <c r="S83" s="38">
        <f>_xlfn.SINGLE(A127833207L_Latest)</f>
        <v>164.346</v>
      </c>
      <c r="T83" s="38">
        <f>_xlfn.SINGLE(A127830237W_Latest)</f>
        <v>70.704999999999998</v>
      </c>
      <c r="U83" s="38">
        <f>_xlfn.SINGLE(A127827267A_Latest)</f>
        <v>93.641000000000005</v>
      </c>
      <c r="V83" s="38">
        <f>_xlfn.SINGLE(A127833237A_Latest)</f>
        <v>131.01</v>
      </c>
      <c r="W83" s="38">
        <f>_xlfn.SINGLE(A127830267K_Latest)</f>
        <v>40.444000000000003</v>
      </c>
      <c r="X83" s="38">
        <f>_xlfn.SINGLE(A127827297R_Latest)</f>
        <v>90.564999999999998</v>
      </c>
      <c r="Y83" s="38">
        <f>_xlfn.SINGLE(A127833147W_Latest)</f>
        <v>113.959</v>
      </c>
      <c r="Z83" s="38">
        <f>_xlfn.SINGLE(A127830177F_Latest)</f>
        <v>34.316000000000003</v>
      </c>
      <c r="AA83" s="38">
        <f>_xlfn.SINGLE(A127827207X_Latest)</f>
        <v>79.643000000000001</v>
      </c>
      <c r="AB83" s="38">
        <f>_xlfn.SINGLE(A127832997X_Latest)</f>
        <v>104.697</v>
      </c>
      <c r="AC83" s="38">
        <f>_xlfn.SINGLE(A127830027X_Latest)</f>
        <v>45.404000000000003</v>
      </c>
      <c r="AD83" s="38">
        <f>_xlfn.SINGLE(A127827057C_Latest)</f>
        <v>59.293999999999997</v>
      </c>
      <c r="AE83" s="38">
        <f>_xlfn.SINGLE(A127832967K_Latest)</f>
        <v>87.179000000000002</v>
      </c>
      <c r="AF83" s="38">
        <f>_xlfn.SINGLE(A127829997R_Latest)</f>
        <v>34.402999999999999</v>
      </c>
      <c r="AG83" s="38">
        <f>_xlfn.SINGLE(A127827027R_Latest)</f>
        <v>52.776000000000003</v>
      </c>
      <c r="AH83" s="38">
        <f>_xlfn.SINGLE(A127833087F_Latest)</f>
        <v>17.518000000000001</v>
      </c>
      <c r="AI83" s="38">
        <f>_xlfn.SINGLE(A127830117C_Latest)</f>
        <v>11</v>
      </c>
      <c r="AJ83" s="38">
        <f>_xlfn.SINGLE(A127827147J_Latest)</f>
        <v>6.5179999999999998</v>
      </c>
    </row>
    <row r="84" spans="1:36" hidden="1">
      <c r="B84" s="6"/>
      <c r="C84" s="45">
        <v>19</v>
      </c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</row>
    <row r="85" spans="1:36" hidden="1">
      <c r="A85" s="36" t="s">
        <v>1761</v>
      </c>
      <c r="C85" s="45">
        <v>20</v>
      </c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</row>
    <row r="86" spans="1:36" hidden="1">
      <c r="A86" s="36"/>
      <c r="B86" s="6" t="s">
        <v>1761</v>
      </c>
      <c r="C86" s="45">
        <v>21</v>
      </c>
      <c r="D86" s="38">
        <f>_xlfn.SINGLE(A127833191F_Latest)</f>
        <v>901.95600000000002</v>
      </c>
      <c r="E86" s="38">
        <f>_xlfn.SINGLE(A127830221C_Latest)</f>
        <v>388.76799999999997</v>
      </c>
      <c r="F86" s="38">
        <f>_xlfn.SINGLE(A127827251J_Latest)</f>
        <v>513.18799999999999</v>
      </c>
      <c r="G86" s="38">
        <f>_xlfn.SINGLE(A127832951T_Latest)</f>
        <v>877.90200000000004</v>
      </c>
      <c r="H86" s="38">
        <f>_xlfn.SINGLE(A127829981W_Latest)</f>
        <v>373.03</v>
      </c>
      <c r="I86" s="38">
        <f>_xlfn.SINGLE(A127827011W_Latest)</f>
        <v>504.87200000000001</v>
      </c>
      <c r="J86" s="38">
        <f>_xlfn.SINGLE(A127833131C_Latest)</f>
        <v>298.89800000000002</v>
      </c>
      <c r="K86" s="38">
        <f>_xlfn.SINGLE(A127830161L_Latest)</f>
        <v>135.47800000000001</v>
      </c>
      <c r="L86" s="38">
        <f>_xlfn.SINGLE(A127827191T_Latest)</f>
        <v>163.41999999999999</v>
      </c>
      <c r="M86" s="38">
        <f>_xlfn.SINGLE(A127833071L_Latest)</f>
        <v>141.78</v>
      </c>
      <c r="N86" s="38">
        <f>_xlfn.SINGLE(A127830101K_Latest)</f>
        <v>58.962000000000003</v>
      </c>
      <c r="O86" s="38">
        <f>_xlfn.SINGLE(A127827131R_Latest)</f>
        <v>82.817999999999998</v>
      </c>
      <c r="P86" s="38">
        <f>_xlfn.SINGLE(A127833041X_Latest)</f>
        <v>157.11799999999999</v>
      </c>
      <c r="Q86" s="38">
        <f>_xlfn.SINGLE(A127830071J_Latest)</f>
        <v>76.516000000000005</v>
      </c>
      <c r="R86" s="38">
        <f>_xlfn.SINGLE(A127827101A_Latest)</f>
        <v>80.602000000000004</v>
      </c>
      <c r="S86" s="38">
        <f>_xlfn.SINGLE(A127833221J_Latest)</f>
        <v>183.13900000000001</v>
      </c>
      <c r="T86" s="38">
        <f>_xlfn.SINGLE(A127830251T_Latest)</f>
        <v>82.846999999999994</v>
      </c>
      <c r="U86" s="38">
        <f>_xlfn.SINGLE(A127827281W_Latest)</f>
        <v>100.292</v>
      </c>
      <c r="V86" s="38">
        <f>_xlfn.SINGLE(A127833251W_Latest)</f>
        <v>150.327</v>
      </c>
      <c r="W86" s="38">
        <f>_xlfn.SINGLE(A127830281F_Latest)</f>
        <v>56.012</v>
      </c>
      <c r="X86" s="38">
        <f>_xlfn.SINGLE(A127827311X_Latest)</f>
        <v>94.314999999999998</v>
      </c>
      <c r="Y86" s="38">
        <f>_xlfn.SINGLE(A127833161T_Latest)</f>
        <v>141.58199999999999</v>
      </c>
      <c r="Z86" s="38">
        <f>_xlfn.SINGLE(A127830191A_Latest)</f>
        <v>53.341999999999999</v>
      </c>
      <c r="AA86" s="38">
        <f>_xlfn.SINGLE(A127827221V_Latest)</f>
        <v>88.24</v>
      </c>
      <c r="AB86" s="38">
        <f>_xlfn.SINGLE(A127833011K_Latest)</f>
        <v>128.00899999999999</v>
      </c>
      <c r="AC86" s="38">
        <f>_xlfn.SINGLE(A127830041V_Latest)</f>
        <v>61.088999999999999</v>
      </c>
      <c r="AD86" s="38">
        <f>_xlfn.SINGLE(A127827071X_Latest)</f>
        <v>66.92</v>
      </c>
      <c r="AE86" s="38">
        <f>_xlfn.SINGLE(A127832981F_Latest)</f>
        <v>103.955</v>
      </c>
      <c r="AF86" s="38">
        <f>_xlfn.SINGLE(A127830011F_Latest)</f>
        <v>45.350999999999999</v>
      </c>
      <c r="AG86" s="38">
        <f>_xlfn.SINGLE(A127827041K_Latest)</f>
        <v>58.603999999999999</v>
      </c>
      <c r="AH86" s="38">
        <f>_xlfn.SINGLE(A127833101R_Latest)</f>
        <v>24.053999999999998</v>
      </c>
      <c r="AI86" s="38">
        <f>_xlfn.SINGLE(A127830131X_Latest)</f>
        <v>15.738</v>
      </c>
      <c r="AJ86" s="38">
        <f>_xlfn.SINGLE(A127827161C_Latest)</f>
        <v>8.3160000000000007</v>
      </c>
    </row>
    <row r="87" spans="1:36" hidden="1">
      <c r="B87" s="39" t="s">
        <v>1762</v>
      </c>
      <c r="C87" s="45">
        <v>22</v>
      </c>
      <c r="D87" s="38">
        <f>_xlfn.SINGLE(A127833179R_Latest)</f>
        <v>98.323999999999998</v>
      </c>
      <c r="E87" s="38">
        <f>_xlfn.SINGLE(A127830209L_Latest)</f>
        <v>68.805999999999997</v>
      </c>
      <c r="F87" s="38">
        <f>_xlfn.SINGLE(A127827239T_Latest)</f>
        <v>29.518000000000001</v>
      </c>
      <c r="G87" s="38">
        <f>_xlfn.SINGLE(A127832939A_Latest)</f>
        <v>91.787999999999997</v>
      </c>
      <c r="H87" s="38">
        <f>_xlfn.SINGLE(A127829969F_Latest)</f>
        <v>64.069000000000003</v>
      </c>
      <c r="I87" s="38">
        <f>_xlfn.SINGLE(A127826999R_Latest)</f>
        <v>27.72</v>
      </c>
      <c r="J87" s="38">
        <f>_xlfn.SINGLE(A127833119L_Latest)</f>
        <v>9.2789999999999999</v>
      </c>
      <c r="K87" s="38">
        <f>_xlfn.SINGLE(A127830149W_Latest)</f>
        <v>6.3849999999999998</v>
      </c>
      <c r="L87" s="38">
        <f>_xlfn.SINGLE(A127827179A_Latest)</f>
        <v>2.8929999999999998</v>
      </c>
      <c r="M87" s="38">
        <f>_xlfn.SINGLE(A127833059W_Latest)</f>
        <v>3.323</v>
      </c>
      <c r="N87" s="38">
        <f>_xlfn.SINGLE(A127830089F_Latest)</f>
        <v>1.4410000000000001</v>
      </c>
      <c r="O87" s="38">
        <f>_xlfn.SINGLE(A127827119X_Latest)</f>
        <v>1.8819999999999999</v>
      </c>
      <c r="P87" s="38">
        <f>_xlfn.SINGLE(A127833029J_Latest)</f>
        <v>5.9550000000000001</v>
      </c>
      <c r="Q87" s="38">
        <f>_xlfn.SINGLE(A127830059T_Latest)</f>
        <v>4.944</v>
      </c>
      <c r="R87" s="38">
        <f>_xlfn.SINGLE(A127827089W_Latest)</f>
        <v>1.0109999999999999</v>
      </c>
      <c r="S87" s="38">
        <f>_xlfn.SINGLE(A127833209T_Latest)</f>
        <v>18.792999999999999</v>
      </c>
      <c r="T87" s="38">
        <f>_xlfn.SINGLE(A127830239A_Latest)</f>
        <v>12.141999999999999</v>
      </c>
      <c r="U87" s="38">
        <f>_xlfn.SINGLE(A127827269F_Latest)</f>
        <v>6.6509999999999998</v>
      </c>
      <c r="V87" s="38">
        <f>_xlfn.SINGLE(A127833239F_Latest)</f>
        <v>19.318000000000001</v>
      </c>
      <c r="W87" s="38">
        <f>_xlfn.SINGLE(A127830269R_Latest)</f>
        <v>15.568</v>
      </c>
      <c r="X87" s="38">
        <f>_xlfn.SINGLE(A127827299V_Latest)</f>
        <v>3.75</v>
      </c>
      <c r="Y87" s="38">
        <f>_xlfn.SINGLE(A127833149A_Latest)</f>
        <v>27.623000000000001</v>
      </c>
      <c r="Z87" s="38">
        <f>_xlfn.SINGLE(A127830179K_Latest)</f>
        <v>19.026</v>
      </c>
      <c r="AA87" s="38">
        <f>_xlfn.SINGLE(A127827209C_Latest)</f>
        <v>8.5969999999999995</v>
      </c>
      <c r="AB87" s="38">
        <f>_xlfn.SINGLE(A127832999C_Latest)</f>
        <v>23.311</v>
      </c>
      <c r="AC87" s="38">
        <f>_xlfn.SINGLE(A127830029C_Latest)</f>
        <v>15.685</v>
      </c>
      <c r="AD87" s="38">
        <f>_xlfn.SINGLE(A127827059J_Latest)</f>
        <v>7.6260000000000003</v>
      </c>
      <c r="AE87" s="38">
        <f>_xlfn.SINGLE(A127832969R_Latest)</f>
        <v>16.776</v>
      </c>
      <c r="AF87" s="38">
        <f>_xlfn.SINGLE(A127829999V_Latest)</f>
        <v>10.948</v>
      </c>
      <c r="AG87" s="38">
        <f>_xlfn.SINGLE(A127827029V_Latest)</f>
        <v>5.8280000000000003</v>
      </c>
      <c r="AH87" s="38">
        <f>_xlfn.SINGLE(A127833089K_Latest)</f>
        <v>6.5359999999999996</v>
      </c>
      <c r="AI87" s="38">
        <f>_xlfn.SINGLE(A127830119J_Latest)</f>
        <v>4.7380000000000004</v>
      </c>
      <c r="AJ87" s="38">
        <f>_xlfn.SINGLE(A127827149L_Latest)</f>
        <v>1.798</v>
      </c>
    </row>
    <row r="88" spans="1:36" hidden="1">
      <c r="B88" s="39" t="s">
        <v>1757</v>
      </c>
      <c r="C88" s="45">
        <v>23</v>
      </c>
      <c r="D88" s="38">
        <f>_xlfn.SINGLE(A127833177K_Latest)</f>
        <v>803.63199999999995</v>
      </c>
      <c r="E88" s="38">
        <f>_xlfn.SINGLE(A127830207J_Latest)</f>
        <v>319.96199999999999</v>
      </c>
      <c r="F88" s="38">
        <f>_xlfn.SINGLE(A127827237L_Latest)</f>
        <v>483.67</v>
      </c>
      <c r="G88" s="38">
        <f>_xlfn.SINGLE(A127832937W_Latest)</f>
        <v>786.11400000000003</v>
      </c>
      <c r="H88" s="38">
        <f>_xlfn.SINGLE(A127829967A_Latest)</f>
        <v>308.96199999999999</v>
      </c>
      <c r="I88" s="38">
        <f>_xlfn.SINGLE(A127826997K_Latest)</f>
        <v>477.15199999999999</v>
      </c>
      <c r="J88" s="38">
        <f>_xlfn.SINGLE(A127833117J_Latest)</f>
        <v>289.62</v>
      </c>
      <c r="K88" s="38">
        <f>_xlfn.SINGLE(A127830147T_Latest)</f>
        <v>129.09299999999999</v>
      </c>
      <c r="L88" s="38">
        <f>_xlfn.SINGLE(A127827177W_Latest)</f>
        <v>160.52699999999999</v>
      </c>
      <c r="M88" s="38">
        <f>_xlfn.SINGLE(A127833057T_Latest)</f>
        <v>138.45699999999999</v>
      </c>
      <c r="N88" s="38">
        <f>_xlfn.SINGLE(A127830087A_Latest)</f>
        <v>57.521000000000001</v>
      </c>
      <c r="O88" s="38">
        <f>_xlfn.SINGLE(A127827117V_Latest)</f>
        <v>80.936000000000007</v>
      </c>
      <c r="P88" s="38">
        <f>_xlfn.SINGLE(A127833027C_Latest)</f>
        <v>151.16300000000001</v>
      </c>
      <c r="Q88" s="38">
        <f>_xlfn.SINGLE(A127830057L_Latest)</f>
        <v>71.572000000000003</v>
      </c>
      <c r="R88" s="38">
        <f>_xlfn.SINGLE(A127827087T_Latest)</f>
        <v>79.59</v>
      </c>
      <c r="S88" s="38">
        <f>_xlfn.SINGLE(A127833207L_Latest)</f>
        <v>164.346</v>
      </c>
      <c r="T88" s="38">
        <f>_xlfn.SINGLE(A127830237W_Latest)</f>
        <v>70.704999999999998</v>
      </c>
      <c r="U88" s="38">
        <f>_xlfn.SINGLE(A127827267A_Latest)</f>
        <v>93.641000000000005</v>
      </c>
      <c r="V88" s="38">
        <f>_xlfn.SINGLE(A127833237A_Latest)</f>
        <v>131.01</v>
      </c>
      <c r="W88" s="38">
        <f>_xlfn.SINGLE(A127830267K_Latest)</f>
        <v>40.444000000000003</v>
      </c>
      <c r="X88" s="38">
        <f>_xlfn.SINGLE(A127827297R_Latest)</f>
        <v>90.564999999999998</v>
      </c>
      <c r="Y88" s="38">
        <f>_xlfn.SINGLE(A127833147W_Latest)</f>
        <v>113.959</v>
      </c>
      <c r="Z88" s="38">
        <f>_xlfn.SINGLE(A127830177F_Latest)</f>
        <v>34.316000000000003</v>
      </c>
      <c r="AA88" s="38">
        <f>_xlfn.SINGLE(A127827207X_Latest)</f>
        <v>79.643000000000001</v>
      </c>
      <c r="AB88" s="38">
        <f>_xlfn.SINGLE(A127832997X_Latest)</f>
        <v>104.697</v>
      </c>
      <c r="AC88" s="38">
        <f>_xlfn.SINGLE(A127830027X_Latest)</f>
        <v>45.404000000000003</v>
      </c>
      <c r="AD88" s="38">
        <f>_xlfn.SINGLE(A127827057C_Latest)</f>
        <v>59.293999999999997</v>
      </c>
      <c r="AE88" s="38">
        <f>_xlfn.SINGLE(A127832967K_Latest)</f>
        <v>87.179000000000002</v>
      </c>
      <c r="AF88" s="38">
        <f>_xlfn.SINGLE(A127829997R_Latest)</f>
        <v>34.402999999999999</v>
      </c>
      <c r="AG88" s="38">
        <f>_xlfn.SINGLE(A127827027R_Latest)</f>
        <v>52.776000000000003</v>
      </c>
      <c r="AH88" s="38">
        <f>_xlfn.SINGLE(A127833087F_Latest)</f>
        <v>17.518000000000001</v>
      </c>
      <c r="AI88" s="38">
        <f>_xlfn.SINGLE(A127830117C_Latest)</f>
        <v>11</v>
      </c>
      <c r="AJ88" s="38">
        <f>_xlfn.SINGLE(A127827147J_Latest)</f>
        <v>6.5179999999999998</v>
      </c>
    </row>
    <row r="89" spans="1:36" hidden="1">
      <c r="B89" s="6"/>
      <c r="C89" s="45">
        <v>24</v>
      </c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</row>
    <row r="90" spans="1:36" hidden="1">
      <c r="A90" s="36" t="s">
        <v>1763</v>
      </c>
      <c r="C90" s="45">
        <v>25</v>
      </c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</row>
    <row r="91" spans="1:36" hidden="1">
      <c r="B91" s="6" t="s">
        <v>1764</v>
      </c>
      <c r="C91" s="45">
        <v>26</v>
      </c>
      <c r="D91" s="38">
        <f>_xlfn.SINGLE(A127833187R_Latest)</f>
        <v>13437.653</v>
      </c>
      <c r="E91" s="38">
        <f>_xlfn.SINGLE(A127830217L_Latest)</f>
        <v>7011.6419999999998</v>
      </c>
      <c r="F91" s="38">
        <f>_xlfn.SINGLE(A127827247T_Latest)</f>
        <v>6426.01</v>
      </c>
      <c r="G91" s="38">
        <f>_xlfn.SINGLE(A127832947A_Latest)</f>
        <v>12789.177</v>
      </c>
      <c r="H91" s="38">
        <f>_xlfn.SINGLE(A127829977F_Latest)</f>
        <v>6620.8540000000003</v>
      </c>
      <c r="I91" s="38">
        <f>_xlfn.SINGLE(A127827007F_Latest)</f>
        <v>6168.3230000000003</v>
      </c>
      <c r="J91" s="38">
        <f>_xlfn.SINGLE(A127833127L_Latest)</f>
        <v>1964.79</v>
      </c>
      <c r="K91" s="38">
        <f>_xlfn.SINGLE(A127830157W_Latest)</f>
        <v>982.577</v>
      </c>
      <c r="L91" s="38">
        <f>_xlfn.SINGLE(A127827187A_Latest)</f>
        <v>982.21299999999997</v>
      </c>
      <c r="M91" s="38">
        <f>_xlfn.SINGLE(A127833067W_Latest)</f>
        <v>749.90099999999995</v>
      </c>
      <c r="N91" s="38">
        <f>_xlfn.SINGLE(A127830097F_Latest)</f>
        <v>359.399</v>
      </c>
      <c r="O91" s="38">
        <f>_xlfn.SINGLE(A127827127X_Latest)</f>
        <v>390.50200000000001</v>
      </c>
      <c r="P91" s="38">
        <f>_xlfn.SINGLE(A127833037J_Latest)</f>
        <v>1214.8889999999999</v>
      </c>
      <c r="Q91" s="38">
        <f>_xlfn.SINGLE(A127830067T_Latest)</f>
        <v>623.178</v>
      </c>
      <c r="R91" s="38">
        <f>_xlfn.SINGLE(A127827097W_Latest)</f>
        <v>591.71100000000001</v>
      </c>
      <c r="S91" s="38">
        <f>_xlfn.SINGLE(A127833217T_Latest)</f>
        <v>3066.3139999999999</v>
      </c>
      <c r="T91" s="38">
        <f>_xlfn.SINGLE(A127830247A_Latest)</f>
        <v>1598.4179999999999</v>
      </c>
      <c r="U91" s="38">
        <f>_xlfn.SINGLE(A127827277F_Latest)</f>
        <v>1467.896</v>
      </c>
      <c r="V91" s="38">
        <f>_xlfn.SINGLE(A127833247F_Latest)</f>
        <v>3007.0410000000002</v>
      </c>
      <c r="W91" s="38">
        <f>_xlfn.SINGLE(A127830277R_Latest)</f>
        <v>1577.4680000000001</v>
      </c>
      <c r="X91" s="38">
        <f>_xlfn.SINGLE(A127827307J_Latest)</f>
        <v>1429.5730000000001</v>
      </c>
      <c r="Y91" s="38">
        <f>_xlfn.SINGLE(A127833157A_Latest)</f>
        <v>2709.4929999999999</v>
      </c>
      <c r="Z91" s="38">
        <f>_xlfn.SINGLE(A127830187K_Latest)</f>
        <v>1388.2439999999999</v>
      </c>
      <c r="AA91" s="38">
        <f>_xlfn.SINGLE(A127827217C_Latest)</f>
        <v>1321.249</v>
      </c>
      <c r="AB91" s="38">
        <f>_xlfn.SINGLE(A127833007V_Latest)</f>
        <v>2690.0140000000001</v>
      </c>
      <c r="AC91" s="38">
        <f>_xlfn.SINGLE(A127830037C_Latest)</f>
        <v>1464.9349999999999</v>
      </c>
      <c r="AD91" s="38">
        <f>_xlfn.SINGLE(A127827067J_Latest)</f>
        <v>1225.079</v>
      </c>
      <c r="AE91" s="38">
        <f>_xlfn.SINGLE(A127832977R_Latest)</f>
        <v>2041.539</v>
      </c>
      <c r="AF91" s="38">
        <f>_xlfn.SINGLE(A127830007R_Latest)</f>
        <v>1074.1469999999999</v>
      </c>
      <c r="AG91" s="38">
        <f>_xlfn.SINGLE(A127827037V_Latest)</f>
        <v>967.39200000000005</v>
      </c>
      <c r="AH91" s="38">
        <f>_xlfn.SINGLE(A127833097K_Latest)</f>
        <v>648.47500000000002</v>
      </c>
      <c r="AI91" s="38">
        <f>_xlfn.SINGLE(A127830127J_Latest)</f>
        <v>390.78800000000001</v>
      </c>
      <c r="AJ91" s="38">
        <f>_xlfn.SINGLE(A127827157L_Latest)</f>
        <v>257.68799999999999</v>
      </c>
    </row>
    <row r="92" spans="1:36" hidden="1">
      <c r="B92" s="39" t="s">
        <v>1765</v>
      </c>
      <c r="C92" s="45">
        <v>27</v>
      </c>
      <c r="D92" s="38">
        <f>_xlfn.SINGLE(A127833189V_Latest)</f>
        <v>9343.2520000000004</v>
      </c>
      <c r="E92" s="38">
        <f>_xlfn.SINGLE(A127830219T_Latest)</f>
        <v>5735.4679999999998</v>
      </c>
      <c r="F92" s="38">
        <f>_xlfn.SINGLE(A127827249W_Latest)</f>
        <v>3607.7840000000001</v>
      </c>
      <c r="G92" s="38">
        <f>_xlfn.SINGLE(A127832949F_Latest)</f>
        <v>9055.5930000000008</v>
      </c>
      <c r="H92" s="38">
        <f>_xlfn.SINGLE(A127829979K_Latest)</f>
        <v>5532.3180000000002</v>
      </c>
      <c r="I92" s="38">
        <f>_xlfn.SINGLE(A127827009K_Latest)</f>
        <v>3523.2750000000001</v>
      </c>
      <c r="J92" s="38">
        <f>_xlfn.SINGLE(A127833129T_Latest)</f>
        <v>921.87400000000002</v>
      </c>
      <c r="K92" s="38">
        <f>_xlfn.SINGLE(A127830159A_Latest)</f>
        <v>542.39200000000005</v>
      </c>
      <c r="L92" s="38">
        <f>_xlfn.SINGLE(A127827189F_Latest)</f>
        <v>379.48200000000003</v>
      </c>
      <c r="M92" s="38">
        <f>_xlfn.SINGLE(A127833069A_Latest)</f>
        <v>188.95500000000001</v>
      </c>
      <c r="N92" s="38">
        <f>_xlfn.SINGLE(A127830099K_Latest)</f>
        <v>124.187</v>
      </c>
      <c r="O92" s="38">
        <f>_xlfn.SINGLE(A127827129C_Latest)</f>
        <v>64.769000000000005</v>
      </c>
      <c r="P92" s="38">
        <f>_xlfn.SINGLE(A127833039L_Latest)</f>
        <v>732.91899999999998</v>
      </c>
      <c r="Q92" s="38">
        <f>_xlfn.SINGLE(A127830069W_Latest)</f>
        <v>418.20499999999998</v>
      </c>
      <c r="R92" s="38">
        <f>_xlfn.SINGLE(A127827099A_Latest)</f>
        <v>314.714</v>
      </c>
      <c r="S92" s="38">
        <f>_xlfn.SINGLE(A127833219W_Latest)</f>
        <v>2396.5940000000001</v>
      </c>
      <c r="T92" s="38">
        <f>_xlfn.SINGLE(A127830249F_Latest)</f>
        <v>1399.23</v>
      </c>
      <c r="U92" s="38">
        <f>_xlfn.SINGLE(A127827279K_Latest)</f>
        <v>997.36400000000003</v>
      </c>
      <c r="V92" s="38">
        <f>_xlfn.SINGLE(A127833249K_Latest)</f>
        <v>2266.5740000000001</v>
      </c>
      <c r="W92" s="38">
        <f>_xlfn.SINGLE(A127830279V_Latest)</f>
        <v>1442.856</v>
      </c>
      <c r="X92" s="38">
        <f>_xlfn.SINGLE(A127827309L_Latest)</f>
        <v>823.71799999999996</v>
      </c>
      <c r="Y92" s="38">
        <f>_xlfn.SINGLE(A127833159F_Latest)</f>
        <v>2077.4609999999998</v>
      </c>
      <c r="Z92" s="38">
        <f>_xlfn.SINGLE(A127830189R_Latest)</f>
        <v>1255.26</v>
      </c>
      <c r="AA92" s="38">
        <f>_xlfn.SINGLE(A127827219J_Latest)</f>
        <v>822.20100000000002</v>
      </c>
      <c r="AB92" s="38">
        <f>_xlfn.SINGLE(A127833009X_Latest)</f>
        <v>1680.749</v>
      </c>
      <c r="AC92" s="38">
        <f>_xlfn.SINGLE(A127830039J_Latest)</f>
        <v>1095.73</v>
      </c>
      <c r="AD92" s="38">
        <f>_xlfn.SINGLE(A127827069L_Latest)</f>
        <v>585.01900000000001</v>
      </c>
      <c r="AE92" s="38">
        <f>_xlfn.SINGLE(A127832979V_Latest)</f>
        <v>1393.09</v>
      </c>
      <c r="AF92" s="38">
        <f>_xlfn.SINGLE(A127830009V_Latest)</f>
        <v>892.58100000000002</v>
      </c>
      <c r="AG92" s="38">
        <f>_xlfn.SINGLE(A127827039X_Latest)</f>
        <v>500.50900000000001</v>
      </c>
      <c r="AH92" s="38">
        <f>_xlfn.SINGLE(A127833099R_Latest)</f>
        <v>287.65899999999999</v>
      </c>
      <c r="AI92" s="38">
        <f>_xlfn.SINGLE(A127830129L_Latest)</f>
        <v>203.149</v>
      </c>
      <c r="AJ92" s="38">
        <f>_xlfn.SINGLE(A127827159T_Latest)</f>
        <v>84.509</v>
      </c>
    </row>
    <row r="93" spans="1:36" hidden="1">
      <c r="B93" s="39" t="s">
        <v>1766</v>
      </c>
      <c r="C93" s="45">
        <v>28</v>
      </c>
      <c r="D93" s="38">
        <f>_xlfn.SINGLE(A127833188T_Latest)</f>
        <v>4094.4009999999998</v>
      </c>
      <c r="E93" s="38">
        <f>_xlfn.SINGLE(A127830218R_Latest)</f>
        <v>1276.174</v>
      </c>
      <c r="F93" s="38">
        <f>_xlfn.SINGLE(A127827248V_Latest)</f>
        <v>2818.2269999999999</v>
      </c>
      <c r="G93" s="38">
        <f>_xlfn.SINGLE(A127832948C_Latest)</f>
        <v>3733.5839999999998</v>
      </c>
      <c r="H93" s="38">
        <f>_xlfn.SINGLE(A127829978J_Latest)</f>
        <v>1088.5360000000001</v>
      </c>
      <c r="I93" s="38">
        <f>_xlfn.SINGLE(A127827008J_Latest)</f>
        <v>2645.0479999999998</v>
      </c>
      <c r="J93" s="38">
        <f>_xlfn.SINGLE(A127833128R_Latest)</f>
        <v>1042.9159999999999</v>
      </c>
      <c r="K93" s="38">
        <f>_xlfn.SINGLE(A127830158X_Latest)</f>
        <v>440.185</v>
      </c>
      <c r="L93" s="38">
        <f>_xlfn.SINGLE(A127827188C_Latest)</f>
        <v>602.73099999999999</v>
      </c>
      <c r="M93" s="38">
        <f>_xlfn.SINGLE(A127833068X_Latest)</f>
        <v>560.94600000000003</v>
      </c>
      <c r="N93" s="38">
        <f>_xlfn.SINGLE(A127830098J_Latest)</f>
        <v>235.21199999999999</v>
      </c>
      <c r="O93" s="38">
        <f>_xlfn.SINGLE(A127827128A_Latest)</f>
        <v>325.73399999999998</v>
      </c>
      <c r="P93" s="38">
        <f>_xlfn.SINGLE(A127833038K_Latest)</f>
        <v>481.97</v>
      </c>
      <c r="Q93" s="38">
        <f>_xlfn.SINGLE(A127830068V_Latest)</f>
        <v>204.97300000000001</v>
      </c>
      <c r="R93" s="38">
        <f>_xlfn.SINGLE(A127827098X_Latest)</f>
        <v>276.99700000000001</v>
      </c>
      <c r="S93" s="38">
        <f>_xlfn.SINGLE(A127833218V_Latest)</f>
        <v>669.72</v>
      </c>
      <c r="T93" s="38">
        <f>_xlfn.SINGLE(A127830248C_Latest)</f>
        <v>199.18799999999999</v>
      </c>
      <c r="U93" s="38">
        <f>_xlfn.SINGLE(A127827278J_Latest)</f>
        <v>470.53300000000002</v>
      </c>
      <c r="V93" s="38">
        <f>_xlfn.SINGLE(A127833248J_Latest)</f>
        <v>740.46699999999998</v>
      </c>
      <c r="W93" s="38">
        <f>_xlfn.SINGLE(A127830278T_Latest)</f>
        <v>134.61199999999999</v>
      </c>
      <c r="X93" s="38">
        <f>_xlfn.SINGLE(A127827308K_Latest)</f>
        <v>605.85500000000002</v>
      </c>
      <c r="Y93" s="38">
        <f>_xlfn.SINGLE(A127833158C_Latest)</f>
        <v>632.03200000000004</v>
      </c>
      <c r="Z93" s="38">
        <f>_xlfn.SINGLE(A127830188L_Latest)</f>
        <v>132.98400000000001</v>
      </c>
      <c r="AA93" s="38">
        <f>_xlfn.SINGLE(A127827218F_Latest)</f>
        <v>499.048</v>
      </c>
      <c r="AB93" s="38">
        <f>_xlfn.SINGLE(A127833008W_Latest)</f>
        <v>1009.266</v>
      </c>
      <c r="AC93" s="38">
        <f>_xlfn.SINGLE(A127830038F_Latest)</f>
        <v>369.20499999999998</v>
      </c>
      <c r="AD93" s="38">
        <f>_xlfn.SINGLE(A127827068K_Latest)</f>
        <v>640.06100000000004</v>
      </c>
      <c r="AE93" s="38">
        <f>_xlfn.SINGLE(A127832978T_Latest)</f>
        <v>648.44899999999996</v>
      </c>
      <c r="AF93" s="38">
        <f>_xlfn.SINGLE(A127830008T_Latest)</f>
        <v>181.56700000000001</v>
      </c>
      <c r="AG93" s="38">
        <f>_xlfn.SINGLE(A127827038W_Latest)</f>
        <v>466.88200000000001</v>
      </c>
      <c r="AH93" s="38">
        <f>_xlfn.SINGLE(A127833098L_Latest)</f>
        <v>360.81700000000001</v>
      </c>
      <c r="AI93" s="38">
        <f>_xlfn.SINGLE(A127830128K_Latest)</f>
        <v>187.63800000000001</v>
      </c>
      <c r="AJ93" s="38">
        <f>_xlfn.SINGLE(A127827158R_Latest)</f>
        <v>173.178</v>
      </c>
    </row>
    <row r="94" spans="1:36" hidden="1">
      <c r="A94" s="51"/>
      <c r="B94" s="52"/>
      <c r="C94" s="52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</row>
    <row r="95" spans="1:36" hidden="1">
      <c r="A95" s="51"/>
      <c r="B95" s="52"/>
      <c r="C95" s="52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</row>
    <row r="96" spans="1:36" hidden="1">
      <c r="A96" s="44"/>
      <c r="B96" s="43"/>
      <c r="C96" s="43"/>
      <c r="D96" s="46">
        <v>1</v>
      </c>
      <c r="E96" s="46">
        <v>2</v>
      </c>
      <c r="F96" s="46">
        <v>3</v>
      </c>
      <c r="G96" s="46">
        <v>4</v>
      </c>
      <c r="H96" s="46">
        <v>5</v>
      </c>
      <c r="I96" s="46">
        <v>6</v>
      </c>
      <c r="J96" s="46">
        <v>7</v>
      </c>
      <c r="K96" s="46">
        <v>8</v>
      </c>
      <c r="L96" s="46">
        <v>9</v>
      </c>
      <c r="M96" s="46">
        <v>10</v>
      </c>
      <c r="N96" s="46">
        <v>11</v>
      </c>
      <c r="O96" s="46">
        <v>12</v>
      </c>
      <c r="P96" s="46">
        <v>13</v>
      </c>
      <c r="Q96" s="46">
        <v>14</v>
      </c>
      <c r="R96" s="46">
        <v>15</v>
      </c>
      <c r="S96" s="46">
        <v>16</v>
      </c>
      <c r="T96" s="46">
        <v>17</v>
      </c>
      <c r="U96" s="46">
        <v>18</v>
      </c>
      <c r="V96" s="46">
        <v>19</v>
      </c>
      <c r="W96" s="46">
        <v>20</v>
      </c>
      <c r="X96" s="46">
        <v>21</v>
      </c>
      <c r="Y96" s="46">
        <v>22</v>
      </c>
      <c r="Z96" s="46">
        <v>23</v>
      </c>
      <c r="AA96" s="46">
        <v>24</v>
      </c>
      <c r="AB96" s="46">
        <v>25</v>
      </c>
      <c r="AC96" s="46">
        <v>26</v>
      </c>
      <c r="AD96" s="46">
        <v>27</v>
      </c>
      <c r="AE96" s="46">
        <v>28</v>
      </c>
      <c r="AF96" s="46">
        <v>29</v>
      </c>
      <c r="AG96" s="46">
        <v>30</v>
      </c>
      <c r="AH96" s="46">
        <v>31</v>
      </c>
      <c r="AI96" s="46">
        <v>32</v>
      </c>
      <c r="AJ96" s="46">
        <v>33</v>
      </c>
    </row>
    <row r="97" spans="1:36" ht="15" hidden="1" customHeight="1">
      <c r="A97" s="31"/>
      <c r="B97" s="31"/>
      <c r="C97" s="31"/>
      <c r="D97" s="64" t="s">
        <v>1742</v>
      </c>
      <c r="E97" s="64"/>
      <c r="F97" s="64"/>
      <c r="G97" s="64" t="s">
        <v>1767</v>
      </c>
      <c r="H97" s="64"/>
      <c r="I97" s="64"/>
      <c r="J97" s="64" t="s">
        <v>1768</v>
      </c>
      <c r="K97" s="64"/>
      <c r="L97" s="64"/>
      <c r="M97" s="64" t="s">
        <v>1769</v>
      </c>
      <c r="N97" s="64"/>
      <c r="O97" s="64"/>
      <c r="P97" s="64" t="s">
        <v>1770</v>
      </c>
      <c r="Q97" s="64"/>
      <c r="R97" s="64"/>
      <c r="S97" s="64" t="s">
        <v>1771</v>
      </c>
      <c r="T97" s="64"/>
      <c r="U97" s="64"/>
      <c r="V97" s="64" t="s">
        <v>1772</v>
      </c>
      <c r="W97" s="64"/>
      <c r="X97" s="64"/>
      <c r="Y97" s="64" t="s">
        <v>1773</v>
      </c>
      <c r="Z97" s="64"/>
      <c r="AA97" s="64"/>
      <c r="AB97" s="64" t="s">
        <v>1774</v>
      </c>
      <c r="AC97" s="64"/>
      <c r="AD97" s="64"/>
      <c r="AE97" s="64" t="s">
        <v>1775</v>
      </c>
      <c r="AF97" s="64"/>
      <c r="AG97" s="64"/>
      <c r="AH97" s="64" t="s">
        <v>1776</v>
      </c>
      <c r="AI97" s="64"/>
      <c r="AJ97" s="64"/>
    </row>
    <row r="98" spans="1:36" hidden="1">
      <c r="A98" s="31"/>
      <c r="B98" s="31"/>
      <c r="C98" s="31"/>
      <c r="D98" s="32" t="s">
        <v>1744</v>
      </c>
      <c r="E98" s="32" t="s">
        <v>1745</v>
      </c>
      <c r="F98" s="32" t="s">
        <v>1746</v>
      </c>
      <c r="G98" s="32" t="s">
        <v>1744</v>
      </c>
      <c r="H98" s="32" t="s">
        <v>1745</v>
      </c>
      <c r="I98" s="32" t="s">
        <v>1746</v>
      </c>
      <c r="J98" s="32" t="s">
        <v>1744</v>
      </c>
      <c r="K98" s="32" t="s">
        <v>1745</v>
      </c>
      <c r="L98" s="32" t="s">
        <v>1746</v>
      </c>
      <c r="M98" s="32" t="s">
        <v>1744</v>
      </c>
      <c r="N98" s="32" t="s">
        <v>1745</v>
      </c>
      <c r="O98" s="32" t="s">
        <v>1746</v>
      </c>
      <c r="P98" s="32" t="s">
        <v>1744</v>
      </c>
      <c r="Q98" s="32" t="s">
        <v>1745</v>
      </c>
      <c r="R98" s="32" t="s">
        <v>1746</v>
      </c>
      <c r="S98" s="32" t="s">
        <v>1744</v>
      </c>
      <c r="T98" s="32" t="s">
        <v>1745</v>
      </c>
      <c r="U98" s="32" t="s">
        <v>1746</v>
      </c>
      <c r="V98" s="32" t="s">
        <v>1744</v>
      </c>
      <c r="W98" s="32" t="s">
        <v>1745</v>
      </c>
      <c r="X98" s="32" t="s">
        <v>1746</v>
      </c>
      <c r="Y98" s="32" t="s">
        <v>1744</v>
      </c>
      <c r="Z98" s="32" t="s">
        <v>1745</v>
      </c>
      <c r="AA98" s="32" t="s">
        <v>1746</v>
      </c>
      <c r="AB98" s="32" t="s">
        <v>1744</v>
      </c>
      <c r="AC98" s="32" t="s">
        <v>1745</v>
      </c>
      <c r="AD98" s="32" t="s">
        <v>1746</v>
      </c>
      <c r="AE98" s="32" t="s">
        <v>1744</v>
      </c>
      <c r="AF98" s="32" t="s">
        <v>1745</v>
      </c>
      <c r="AG98" s="32" t="s">
        <v>1746</v>
      </c>
      <c r="AH98" s="32" t="s">
        <v>1744</v>
      </c>
      <c r="AI98" s="32" t="s">
        <v>1745</v>
      </c>
      <c r="AJ98" s="32" t="s">
        <v>1746</v>
      </c>
    </row>
    <row r="99" spans="1:36" hidden="1">
      <c r="A99" s="31"/>
      <c r="B99" s="31"/>
      <c r="C99" s="31"/>
      <c r="D99" s="35" t="s">
        <v>1747</v>
      </c>
      <c r="E99" s="35" t="s">
        <v>1747</v>
      </c>
      <c r="F99" s="35" t="s">
        <v>1747</v>
      </c>
      <c r="G99" s="35" t="s">
        <v>1747</v>
      </c>
      <c r="H99" s="35" t="s">
        <v>1747</v>
      </c>
      <c r="I99" s="35" t="s">
        <v>1747</v>
      </c>
      <c r="J99" s="35" t="s">
        <v>1747</v>
      </c>
      <c r="K99" s="35" t="s">
        <v>1747</v>
      </c>
      <c r="L99" s="35" t="s">
        <v>1747</v>
      </c>
      <c r="M99" s="35" t="s">
        <v>1747</v>
      </c>
      <c r="N99" s="35" t="s">
        <v>1747</v>
      </c>
      <c r="O99" s="35" t="s">
        <v>1747</v>
      </c>
      <c r="P99" s="35" t="s">
        <v>1747</v>
      </c>
      <c r="Q99" s="35" t="s">
        <v>1747</v>
      </c>
      <c r="R99" s="35" t="s">
        <v>1747</v>
      </c>
      <c r="S99" s="35" t="s">
        <v>1747</v>
      </c>
      <c r="T99" s="35" t="s">
        <v>1747</v>
      </c>
      <c r="U99" s="35" t="s">
        <v>1747</v>
      </c>
      <c r="V99" s="35" t="s">
        <v>1747</v>
      </c>
      <c r="W99" s="35" t="s">
        <v>1747</v>
      </c>
      <c r="X99" s="35" t="s">
        <v>1747</v>
      </c>
      <c r="Y99" s="35" t="s">
        <v>1747</v>
      </c>
      <c r="Z99" s="35" t="s">
        <v>1747</v>
      </c>
      <c r="AA99" s="35" t="s">
        <v>1747</v>
      </c>
      <c r="AB99" s="35" t="s">
        <v>1747</v>
      </c>
      <c r="AC99" s="35" t="s">
        <v>1747</v>
      </c>
      <c r="AD99" s="35" t="s">
        <v>1747</v>
      </c>
      <c r="AE99" s="35" t="s">
        <v>1747</v>
      </c>
      <c r="AF99" s="35" t="s">
        <v>1747</v>
      </c>
      <c r="AG99" s="35" t="s">
        <v>1747</v>
      </c>
      <c r="AH99" s="35" t="s">
        <v>1747</v>
      </c>
      <c r="AI99" s="35" t="s">
        <v>1747</v>
      </c>
      <c r="AJ99" s="35" t="s">
        <v>1747</v>
      </c>
    </row>
    <row r="100" spans="1:36" hidden="1">
      <c r="A100" s="36" t="s">
        <v>1748</v>
      </c>
      <c r="C100" s="31"/>
      <c r="D100" s="35"/>
      <c r="E100" s="35"/>
      <c r="F100" s="35"/>
      <c r="G100" s="37"/>
      <c r="H100" s="50"/>
      <c r="I100" s="50"/>
    </row>
    <row r="101" spans="1:36" hidden="1">
      <c r="B101" s="6" t="s">
        <v>1749</v>
      </c>
      <c r="C101" s="45">
        <v>1</v>
      </c>
      <c r="D101" s="14" t="s">
        <v>272</v>
      </c>
      <c r="E101" s="14" t="s">
        <v>273</v>
      </c>
      <c r="F101" s="14" t="s">
        <v>274</v>
      </c>
      <c r="G101" s="14" t="s">
        <v>317</v>
      </c>
      <c r="H101" s="14" t="s">
        <v>318</v>
      </c>
      <c r="I101" s="14" t="s">
        <v>319</v>
      </c>
      <c r="J101" s="14" t="s">
        <v>362</v>
      </c>
      <c r="K101" s="14" t="s">
        <v>363</v>
      </c>
      <c r="L101" s="14" t="s">
        <v>364</v>
      </c>
      <c r="M101" s="14" t="s">
        <v>407</v>
      </c>
      <c r="N101" s="14" t="s">
        <v>408</v>
      </c>
      <c r="O101" s="14" t="s">
        <v>409</v>
      </c>
      <c r="P101" s="14" t="s">
        <v>452</v>
      </c>
      <c r="Q101" s="14" t="s">
        <v>453</v>
      </c>
      <c r="R101" s="14" t="s">
        <v>454</v>
      </c>
      <c r="S101" s="14" t="s">
        <v>497</v>
      </c>
      <c r="T101" s="14" t="s">
        <v>498</v>
      </c>
      <c r="U101" s="14" t="s">
        <v>499</v>
      </c>
      <c r="V101" s="14" t="s">
        <v>792</v>
      </c>
      <c r="W101" s="14" t="s">
        <v>793</v>
      </c>
      <c r="X101" s="14" t="s">
        <v>794</v>
      </c>
      <c r="Y101" s="14" t="s">
        <v>837</v>
      </c>
      <c r="Z101" s="14" t="s">
        <v>838</v>
      </c>
      <c r="AA101" s="14" t="s">
        <v>839</v>
      </c>
      <c r="AB101" s="14" t="s">
        <v>882</v>
      </c>
      <c r="AC101" s="14" t="s">
        <v>883</v>
      </c>
      <c r="AD101" s="14" t="s">
        <v>884</v>
      </c>
      <c r="AE101" s="14" t="s">
        <v>927</v>
      </c>
      <c r="AF101" s="14" t="s">
        <v>928</v>
      </c>
      <c r="AG101" s="14" t="s">
        <v>929</v>
      </c>
      <c r="AH101" s="14" t="s">
        <v>972</v>
      </c>
      <c r="AI101" s="14" t="s">
        <v>973</v>
      </c>
      <c r="AJ101" s="14" t="s">
        <v>974</v>
      </c>
    </row>
    <row r="102" spans="1:36" hidden="1">
      <c r="B102" s="39" t="s">
        <v>1750</v>
      </c>
      <c r="C102" s="45">
        <v>2</v>
      </c>
      <c r="D102" s="14" t="s">
        <v>275</v>
      </c>
      <c r="E102" s="14" t="s">
        <v>276</v>
      </c>
      <c r="F102" s="14" t="s">
        <v>277</v>
      </c>
      <c r="G102" s="14" t="s">
        <v>320</v>
      </c>
      <c r="H102" s="14" t="s">
        <v>321</v>
      </c>
      <c r="I102" s="14" t="s">
        <v>322</v>
      </c>
      <c r="J102" s="14" t="s">
        <v>365</v>
      </c>
      <c r="K102" s="14" t="s">
        <v>366</v>
      </c>
      <c r="L102" s="14" t="s">
        <v>367</v>
      </c>
      <c r="M102" s="14" t="s">
        <v>410</v>
      </c>
      <c r="N102" s="14" t="s">
        <v>411</v>
      </c>
      <c r="O102" s="14" t="s">
        <v>412</v>
      </c>
      <c r="P102" s="14" t="s">
        <v>455</v>
      </c>
      <c r="Q102" s="14" t="s">
        <v>456</v>
      </c>
      <c r="R102" s="14" t="s">
        <v>457</v>
      </c>
      <c r="S102" s="14" t="s">
        <v>500</v>
      </c>
      <c r="T102" s="14" t="s">
        <v>501</v>
      </c>
      <c r="U102" s="14" t="s">
        <v>502</v>
      </c>
      <c r="V102" s="14" t="s">
        <v>795</v>
      </c>
      <c r="W102" s="14" t="s">
        <v>796</v>
      </c>
      <c r="X102" s="14" t="s">
        <v>797</v>
      </c>
      <c r="Y102" s="14" t="s">
        <v>840</v>
      </c>
      <c r="Z102" s="14" t="s">
        <v>841</v>
      </c>
      <c r="AA102" s="14" t="s">
        <v>842</v>
      </c>
      <c r="AB102" s="14" t="s">
        <v>885</v>
      </c>
      <c r="AC102" s="14" t="s">
        <v>886</v>
      </c>
      <c r="AD102" s="14" t="s">
        <v>887</v>
      </c>
      <c r="AE102" s="14" t="s">
        <v>930</v>
      </c>
      <c r="AF102" s="14" t="s">
        <v>931</v>
      </c>
      <c r="AG102" s="14" t="s">
        <v>932</v>
      </c>
      <c r="AH102" s="14" t="s">
        <v>975</v>
      </c>
      <c r="AI102" s="14" t="s">
        <v>976</v>
      </c>
      <c r="AJ102" s="14" t="s">
        <v>977</v>
      </c>
    </row>
    <row r="103" spans="1:36" hidden="1">
      <c r="B103" s="40" t="s">
        <v>1751</v>
      </c>
      <c r="C103" s="45">
        <v>3</v>
      </c>
      <c r="D103" s="14" t="s">
        <v>278</v>
      </c>
      <c r="E103" s="14" t="s">
        <v>279</v>
      </c>
      <c r="F103" s="14" t="s">
        <v>280</v>
      </c>
      <c r="G103" s="14" t="s">
        <v>323</v>
      </c>
      <c r="H103" s="14" t="s">
        <v>324</v>
      </c>
      <c r="I103" s="14" t="s">
        <v>325</v>
      </c>
      <c r="J103" s="14" t="s">
        <v>368</v>
      </c>
      <c r="K103" s="14" t="s">
        <v>369</v>
      </c>
      <c r="L103" s="14" t="s">
        <v>370</v>
      </c>
      <c r="M103" s="14" t="s">
        <v>413</v>
      </c>
      <c r="N103" s="14" t="s">
        <v>414</v>
      </c>
      <c r="O103" s="14" t="s">
        <v>415</v>
      </c>
      <c r="P103" s="14" t="s">
        <v>458</v>
      </c>
      <c r="Q103" s="14" t="s">
        <v>459</v>
      </c>
      <c r="R103" s="14" t="s">
        <v>460</v>
      </c>
      <c r="S103" s="14" t="s">
        <v>503</v>
      </c>
      <c r="T103" s="14" t="s">
        <v>504</v>
      </c>
      <c r="U103" s="14" t="s">
        <v>505</v>
      </c>
      <c r="V103" s="14" t="s">
        <v>798</v>
      </c>
      <c r="W103" s="14" t="s">
        <v>799</v>
      </c>
      <c r="X103" s="14" t="s">
        <v>800</v>
      </c>
      <c r="Y103" s="14" t="s">
        <v>843</v>
      </c>
      <c r="Z103" s="14" t="s">
        <v>844</v>
      </c>
      <c r="AA103" s="14" t="s">
        <v>845</v>
      </c>
      <c r="AB103" s="14" t="s">
        <v>888</v>
      </c>
      <c r="AC103" s="14" t="s">
        <v>889</v>
      </c>
      <c r="AD103" s="14" t="s">
        <v>890</v>
      </c>
      <c r="AE103" s="14" t="s">
        <v>933</v>
      </c>
      <c r="AF103" s="14" t="s">
        <v>934</v>
      </c>
      <c r="AG103" s="14" t="s">
        <v>935</v>
      </c>
      <c r="AH103" s="14" t="s">
        <v>978</v>
      </c>
      <c r="AI103" s="14" t="s">
        <v>979</v>
      </c>
      <c r="AJ103" s="14" t="s">
        <v>980</v>
      </c>
    </row>
    <row r="104" spans="1:36" hidden="1">
      <c r="B104" s="41" t="s">
        <v>1752</v>
      </c>
      <c r="C104" s="45">
        <v>4</v>
      </c>
      <c r="D104" s="14" t="s">
        <v>281</v>
      </c>
      <c r="E104" s="14" t="s">
        <v>282</v>
      </c>
      <c r="F104" s="14" t="s">
        <v>283</v>
      </c>
      <c r="G104" s="14" t="s">
        <v>326</v>
      </c>
      <c r="H104" s="14" t="s">
        <v>327</v>
      </c>
      <c r="I104" s="14" t="s">
        <v>328</v>
      </c>
      <c r="J104" s="14" t="s">
        <v>371</v>
      </c>
      <c r="K104" s="14" t="s">
        <v>372</v>
      </c>
      <c r="L104" s="14" t="s">
        <v>373</v>
      </c>
      <c r="M104" s="14" t="s">
        <v>416</v>
      </c>
      <c r="N104" s="14" t="s">
        <v>417</v>
      </c>
      <c r="O104" s="14" t="s">
        <v>418</v>
      </c>
      <c r="P104" s="14" t="s">
        <v>461</v>
      </c>
      <c r="Q104" s="14" t="s">
        <v>462</v>
      </c>
      <c r="R104" s="14" t="s">
        <v>463</v>
      </c>
      <c r="S104" s="14" t="s">
        <v>506</v>
      </c>
      <c r="T104" s="14" t="s">
        <v>507</v>
      </c>
      <c r="U104" s="14" t="s">
        <v>508</v>
      </c>
      <c r="V104" s="14" t="s">
        <v>801</v>
      </c>
      <c r="W104" s="14" t="s">
        <v>802</v>
      </c>
      <c r="X104" s="14" t="s">
        <v>803</v>
      </c>
      <c r="Y104" s="14" t="s">
        <v>846</v>
      </c>
      <c r="Z104" s="14" t="s">
        <v>847</v>
      </c>
      <c r="AA104" s="14" t="s">
        <v>848</v>
      </c>
      <c r="AB104" s="14" t="s">
        <v>891</v>
      </c>
      <c r="AC104" s="14" t="s">
        <v>892</v>
      </c>
      <c r="AD104" s="14" t="s">
        <v>893</v>
      </c>
      <c r="AE104" s="14" t="s">
        <v>936</v>
      </c>
      <c r="AF104" s="14" t="s">
        <v>937</v>
      </c>
      <c r="AG104" s="14" t="s">
        <v>938</v>
      </c>
      <c r="AH104" s="14" t="s">
        <v>981</v>
      </c>
      <c r="AI104" s="14" t="s">
        <v>982</v>
      </c>
      <c r="AJ104" s="14" t="s">
        <v>983</v>
      </c>
    </row>
    <row r="105" spans="1:36" hidden="1">
      <c r="B105" s="41" t="s">
        <v>1753</v>
      </c>
      <c r="C105" s="45">
        <v>5</v>
      </c>
      <c r="D105" s="14" t="s">
        <v>284</v>
      </c>
      <c r="E105" s="14" t="s">
        <v>285</v>
      </c>
      <c r="F105" s="14" t="s">
        <v>286</v>
      </c>
      <c r="G105" s="14" t="s">
        <v>329</v>
      </c>
      <c r="H105" s="14" t="s">
        <v>330</v>
      </c>
      <c r="I105" s="14" t="s">
        <v>331</v>
      </c>
      <c r="J105" s="14" t="s">
        <v>374</v>
      </c>
      <c r="K105" s="14" t="s">
        <v>375</v>
      </c>
      <c r="L105" s="14" t="s">
        <v>376</v>
      </c>
      <c r="M105" s="14" t="s">
        <v>419</v>
      </c>
      <c r="N105" s="14" t="s">
        <v>420</v>
      </c>
      <c r="O105" s="14" t="s">
        <v>421</v>
      </c>
      <c r="P105" s="14" t="s">
        <v>464</v>
      </c>
      <c r="Q105" s="14" t="s">
        <v>465</v>
      </c>
      <c r="R105" s="14" t="s">
        <v>466</v>
      </c>
      <c r="S105" s="14" t="s">
        <v>509</v>
      </c>
      <c r="T105" s="14" t="s">
        <v>510</v>
      </c>
      <c r="U105" s="14" t="s">
        <v>511</v>
      </c>
      <c r="V105" s="14" t="s">
        <v>804</v>
      </c>
      <c r="W105" s="14" t="s">
        <v>805</v>
      </c>
      <c r="X105" s="14" t="s">
        <v>806</v>
      </c>
      <c r="Y105" s="14" t="s">
        <v>849</v>
      </c>
      <c r="Z105" s="14" t="s">
        <v>850</v>
      </c>
      <c r="AA105" s="14" t="s">
        <v>851</v>
      </c>
      <c r="AB105" s="14" t="s">
        <v>894</v>
      </c>
      <c r="AC105" s="14" t="s">
        <v>895</v>
      </c>
      <c r="AD105" s="14" t="s">
        <v>896</v>
      </c>
      <c r="AE105" s="14" t="s">
        <v>939</v>
      </c>
      <c r="AF105" s="14" t="s">
        <v>940</v>
      </c>
      <c r="AG105" s="14" t="s">
        <v>941</v>
      </c>
      <c r="AH105" s="14" t="s">
        <v>984</v>
      </c>
      <c r="AI105" s="14" t="s">
        <v>985</v>
      </c>
      <c r="AJ105" s="14" t="s">
        <v>986</v>
      </c>
    </row>
    <row r="106" spans="1:36" hidden="1">
      <c r="B106" s="40" t="s">
        <v>1754</v>
      </c>
      <c r="C106" s="45">
        <v>6</v>
      </c>
      <c r="D106" s="14" t="s">
        <v>287</v>
      </c>
      <c r="E106" s="14" t="s">
        <v>288</v>
      </c>
      <c r="F106" s="14" t="s">
        <v>289</v>
      </c>
      <c r="G106" s="14" t="s">
        <v>332</v>
      </c>
      <c r="H106" s="14" t="s">
        <v>333</v>
      </c>
      <c r="I106" s="14" t="s">
        <v>334</v>
      </c>
      <c r="J106" s="14" t="s">
        <v>377</v>
      </c>
      <c r="K106" s="14" t="s">
        <v>378</v>
      </c>
      <c r="L106" s="14" t="s">
        <v>379</v>
      </c>
      <c r="M106" s="14" t="s">
        <v>422</v>
      </c>
      <c r="N106" s="14" t="s">
        <v>423</v>
      </c>
      <c r="O106" s="14" t="s">
        <v>424</v>
      </c>
      <c r="P106" s="14" t="s">
        <v>467</v>
      </c>
      <c r="Q106" s="14" t="s">
        <v>468</v>
      </c>
      <c r="R106" s="14" t="s">
        <v>469</v>
      </c>
      <c r="S106" s="14" t="s">
        <v>512</v>
      </c>
      <c r="T106" s="14" t="s">
        <v>763</v>
      </c>
      <c r="U106" s="14" t="s">
        <v>764</v>
      </c>
      <c r="V106" s="14" t="s">
        <v>807</v>
      </c>
      <c r="W106" s="14" t="s">
        <v>808</v>
      </c>
      <c r="X106" s="14" t="s">
        <v>809</v>
      </c>
      <c r="Y106" s="14" t="s">
        <v>852</v>
      </c>
      <c r="Z106" s="14" t="s">
        <v>853</v>
      </c>
      <c r="AA106" s="14" t="s">
        <v>854</v>
      </c>
      <c r="AB106" s="14" t="s">
        <v>897</v>
      </c>
      <c r="AC106" s="14" t="s">
        <v>898</v>
      </c>
      <c r="AD106" s="14" t="s">
        <v>899</v>
      </c>
      <c r="AE106" s="14" t="s">
        <v>942</v>
      </c>
      <c r="AF106" s="14" t="s">
        <v>943</v>
      </c>
      <c r="AG106" s="14" t="s">
        <v>944</v>
      </c>
      <c r="AH106" s="14" t="s">
        <v>987</v>
      </c>
      <c r="AI106" s="14" t="s">
        <v>988</v>
      </c>
      <c r="AJ106" s="14" t="s">
        <v>989</v>
      </c>
    </row>
    <row r="107" spans="1:36" hidden="1">
      <c r="B107" s="39" t="s">
        <v>1755</v>
      </c>
      <c r="C107" s="45">
        <v>7</v>
      </c>
      <c r="D107" s="14" t="s">
        <v>290</v>
      </c>
      <c r="E107" s="14" t="s">
        <v>291</v>
      </c>
      <c r="F107" s="14" t="s">
        <v>292</v>
      </c>
      <c r="G107" s="14" t="s">
        <v>335</v>
      </c>
      <c r="H107" s="14" t="s">
        <v>336</v>
      </c>
      <c r="I107" s="14" t="s">
        <v>337</v>
      </c>
      <c r="J107" s="14" t="s">
        <v>380</v>
      </c>
      <c r="K107" s="14" t="s">
        <v>381</v>
      </c>
      <c r="L107" s="14" t="s">
        <v>382</v>
      </c>
      <c r="M107" s="14" t="s">
        <v>425</v>
      </c>
      <c r="N107" s="14" t="s">
        <v>426</v>
      </c>
      <c r="O107" s="14" t="s">
        <v>427</v>
      </c>
      <c r="P107" s="14" t="s">
        <v>470</v>
      </c>
      <c r="Q107" s="14" t="s">
        <v>471</v>
      </c>
      <c r="R107" s="14" t="s">
        <v>472</v>
      </c>
      <c r="S107" s="14" t="s">
        <v>765</v>
      </c>
      <c r="T107" s="14" t="s">
        <v>766</v>
      </c>
      <c r="U107" s="14" t="s">
        <v>767</v>
      </c>
      <c r="V107" s="14" t="s">
        <v>810</v>
      </c>
      <c r="W107" s="14" t="s">
        <v>811</v>
      </c>
      <c r="X107" s="14" t="s">
        <v>812</v>
      </c>
      <c r="Y107" s="14" t="s">
        <v>855</v>
      </c>
      <c r="Z107" s="14" t="s">
        <v>856</v>
      </c>
      <c r="AA107" s="14" t="s">
        <v>857</v>
      </c>
      <c r="AB107" s="14" t="s">
        <v>900</v>
      </c>
      <c r="AC107" s="14" t="s">
        <v>901</v>
      </c>
      <c r="AD107" s="14" t="s">
        <v>902</v>
      </c>
      <c r="AE107" s="14" t="s">
        <v>945</v>
      </c>
      <c r="AF107" s="14" t="s">
        <v>946</v>
      </c>
      <c r="AG107" s="14" t="s">
        <v>947</v>
      </c>
      <c r="AH107" s="14" t="s">
        <v>990</v>
      </c>
      <c r="AI107" s="14" t="s">
        <v>991</v>
      </c>
      <c r="AJ107" s="14" t="s">
        <v>992</v>
      </c>
    </row>
    <row r="108" spans="1:36" hidden="1">
      <c r="B108" s="40" t="s">
        <v>1756</v>
      </c>
      <c r="C108" s="45">
        <v>8</v>
      </c>
      <c r="D108" s="14" t="s">
        <v>293</v>
      </c>
      <c r="E108" s="14" t="s">
        <v>294</v>
      </c>
      <c r="F108" s="14" t="s">
        <v>295</v>
      </c>
      <c r="G108" s="14" t="s">
        <v>338</v>
      </c>
      <c r="H108" s="14" t="s">
        <v>339</v>
      </c>
      <c r="I108" s="14" t="s">
        <v>340</v>
      </c>
      <c r="J108" s="14" t="s">
        <v>383</v>
      </c>
      <c r="K108" s="14" t="s">
        <v>384</v>
      </c>
      <c r="L108" s="14" t="s">
        <v>385</v>
      </c>
      <c r="M108" s="14" t="s">
        <v>428</v>
      </c>
      <c r="N108" s="14" t="s">
        <v>429</v>
      </c>
      <c r="O108" s="14" t="s">
        <v>430</v>
      </c>
      <c r="P108" s="14" t="s">
        <v>473</v>
      </c>
      <c r="Q108" s="14" t="s">
        <v>474</v>
      </c>
      <c r="R108" s="14" t="s">
        <v>475</v>
      </c>
      <c r="S108" s="14" t="s">
        <v>768</v>
      </c>
      <c r="T108" s="14" t="s">
        <v>769</v>
      </c>
      <c r="U108" s="14" t="s">
        <v>770</v>
      </c>
      <c r="V108" s="14" t="s">
        <v>813</v>
      </c>
      <c r="W108" s="14" t="s">
        <v>814</v>
      </c>
      <c r="X108" s="14" t="s">
        <v>815</v>
      </c>
      <c r="Y108" s="14" t="s">
        <v>858</v>
      </c>
      <c r="Z108" s="14" t="s">
        <v>859</v>
      </c>
      <c r="AA108" s="14" t="s">
        <v>860</v>
      </c>
      <c r="AB108" s="14" t="s">
        <v>903</v>
      </c>
      <c r="AC108" s="14" t="s">
        <v>904</v>
      </c>
      <c r="AD108" s="14" t="s">
        <v>905</v>
      </c>
      <c r="AE108" s="14" t="s">
        <v>948</v>
      </c>
      <c r="AF108" s="14" t="s">
        <v>949</v>
      </c>
      <c r="AG108" s="14" t="s">
        <v>950</v>
      </c>
      <c r="AH108" s="14" t="s">
        <v>993</v>
      </c>
      <c r="AI108" s="14" t="s">
        <v>994</v>
      </c>
      <c r="AJ108" s="14" t="s">
        <v>995</v>
      </c>
    </row>
    <row r="109" spans="1:36" hidden="1">
      <c r="B109" s="40" t="s">
        <v>1757</v>
      </c>
      <c r="C109" s="45">
        <v>9</v>
      </c>
      <c r="D109" s="14" t="s">
        <v>296</v>
      </c>
      <c r="E109" s="14" t="s">
        <v>297</v>
      </c>
      <c r="F109" s="14" t="s">
        <v>298</v>
      </c>
      <c r="G109" s="14" t="s">
        <v>341</v>
      </c>
      <c r="H109" s="14" t="s">
        <v>342</v>
      </c>
      <c r="I109" s="14" t="s">
        <v>343</v>
      </c>
      <c r="J109" s="14" t="s">
        <v>386</v>
      </c>
      <c r="K109" s="14" t="s">
        <v>387</v>
      </c>
      <c r="L109" s="14" t="s">
        <v>388</v>
      </c>
      <c r="M109" s="14" t="s">
        <v>431</v>
      </c>
      <c r="N109" s="14" t="s">
        <v>432</v>
      </c>
      <c r="O109" s="14" t="s">
        <v>433</v>
      </c>
      <c r="P109" s="14" t="s">
        <v>476</v>
      </c>
      <c r="Q109" s="14" t="s">
        <v>477</v>
      </c>
      <c r="R109" s="14" t="s">
        <v>478</v>
      </c>
      <c r="S109" s="14" t="s">
        <v>771</v>
      </c>
      <c r="T109" s="14" t="s">
        <v>772</v>
      </c>
      <c r="U109" s="14" t="s">
        <v>773</v>
      </c>
      <c r="V109" s="14" t="s">
        <v>816</v>
      </c>
      <c r="W109" s="14" t="s">
        <v>817</v>
      </c>
      <c r="X109" s="14" t="s">
        <v>818</v>
      </c>
      <c r="Y109" s="14" t="s">
        <v>861</v>
      </c>
      <c r="Z109" s="14" t="s">
        <v>862</v>
      </c>
      <c r="AA109" s="14" t="s">
        <v>863</v>
      </c>
      <c r="AB109" s="14" t="s">
        <v>906</v>
      </c>
      <c r="AC109" s="14" t="s">
        <v>907</v>
      </c>
      <c r="AD109" s="14" t="s">
        <v>908</v>
      </c>
      <c r="AE109" s="14" t="s">
        <v>951</v>
      </c>
      <c r="AF109" s="14" t="s">
        <v>952</v>
      </c>
      <c r="AG109" s="14" t="s">
        <v>953</v>
      </c>
      <c r="AH109" s="14" t="s">
        <v>996</v>
      </c>
      <c r="AI109" s="14" t="s">
        <v>997</v>
      </c>
      <c r="AJ109" s="14" t="s">
        <v>998</v>
      </c>
    </row>
    <row r="110" spans="1:36" hidden="1">
      <c r="C110" s="45">
        <v>10</v>
      </c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</row>
    <row r="111" spans="1:36" hidden="1">
      <c r="A111" s="36" t="s">
        <v>1758</v>
      </c>
      <c r="C111" s="45">
        <v>11</v>
      </c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</row>
    <row r="112" spans="1:36" hidden="1">
      <c r="A112" s="36"/>
      <c r="B112" s="6" t="s">
        <v>1749</v>
      </c>
      <c r="C112" s="45">
        <v>12</v>
      </c>
      <c r="D112" s="14" t="s">
        <v>272</v>
      </c>
      <c r="E112" s="14" t="s">
        <v>273</v>
      </c>
      <c r="F112" s="14" t="s">
        <v>274</v>
      </c>
      <c r="G112" s="14" t="s">
        <v>317</v>
      </c>
      <c r="H112" s="14" t="s">
        <v>318</v>
      </c>
      <c r="I112" s="14" t="s">
        <v>319</v>
      </c>
      <c r="J112" s="14" t="s">
        <v>362</v>
      </c>
      <c r="K112" s="14" t="s">
        <v>363</v>
      </c>
      <c r="L112" s="14" t="s">
        <v>364</v>
      </c>
      <c r="M112" s="14" t="s">
        <v>407</v>
      </c>
      <c r="N112" s="14" t="s">
        <v>408</v>
      </c>
      <c r="O112" s="14" t="s">
        <v>409</v>
      </c>
      <c r="P112" s="14" t="s">
        <v>452</v>
      </c>
      <c r="Q112" s="14" t="s">
        <v>453</v>
      </c>
      <c r="R112" s="14" t="s">
        <v>454</v>
      </c>
      <c r="S112" s="14" t="s">
        <v>497</v>
      </c>
      <c r="T112" s="14" t="s">
        <v>498</v>
      </c>
      <c r="U112" s="14" t="s">
        <v>499</v>
      </c>
      <c r="V112" s="14" t="s">
        <v>792</v>
      </c>
      <c r="W112" s="14" t="s">
        <v>793</v>
      </c>
      <c r="X112" s="14" t="s">
        <v>794</v>
      </c>
      <c r="Y112" s="14" t="s">
        <v>837</v>
      </c>
      <c r="Z112" s="14" t="s">
        <v>838</v>
      </c>
      <c r="AA112" s="14" t="s">
        <v>839</v>
      </c>
      <c r="AB112" s="14" t="s">
        <v>882</v>
      </c>
      <c r="AC112" s="14" t="s">
        <v>883</v>
      </c>
      <c r="AD112" s="14" t="s">
        <v>884</v>
      </c>
      <c r="AE112" s="14" t="s">
        <v>927</v>
      </c>
      <c r="AF112" s="14" t="s">
        <v>928</v>
      </c>
      <c r="AG112" s="14" t="s">
        <v>929</v>
      </c>
      <c r="AH112" s="14" t="s">
        <v>972</v>
      </c>
      <c r="AI112" s="14" t="s">
        <v>973</v>
      </c>
      <c r="AJ112" s="14" t="s">
        <v>974</v>
      </c>
    </row>
    <row r="113" spans="1:36" hidden="1">
      <c r="B113" s="39" t="s">
        <v>1759</v>
      </c>
      <c r="C113" s="45">
        <v>13</v>
      </c>
      <c r="D113" s="14" t="s">
        <v>299</v>
      </c>
      <c r="E113" s="14" t="s">
        <v>300</v>
      </c>
      <c r="F113" s="14" t="s">
        <v>301</v>
      </c>
      <c r="G113" s="14" t="s">
        <v>344</v>
      </c>
      <c r="H113" s="14" t="s">
        <v>345</v>
      </c>
      <c r="I113" s="14" t="s">
        <v>346</v>
      </c>
      <c r="J113" s="14" t="s">
        <v>389</v>
      </c>
      <c r="K113" s="14" t="s">
        <v>390</v>
      </c>
      <c r="L113" s="14" t="s">
        <v>391</v>
      </c>
      <c r="M113" s="14" t="s">
        <v>434</v>
      </c>
      <c r="N113" s="14" t="s">
        <v>435</v>
      </c>
      <c r="O113" s="14" t="s">
        <v>436</v>
      </c>
      <c r="P113" s="14" t="s">
        <v>479</v>
      </c>
      <c r="Q113" s="14" t="s">
        <v>480</v>
      </c>
      <c r="R113" s="14" t="s">
        <v>481</v>
      </c>
      <c r="S113" s="14" t="s">
        <v>774</v>
      </c>
      <c r="T113" s="14" t="s">
        <v>775</v>
      </c>
      <c r="U113" s="14" t="s">
        <v>776</v>
      </c>
      <c r="V113" s="14" t="s">
        <v>819</v>
      </c>
      <c r="W113" s="14" t="s">
        <v>820</v>
      </c>
      <c r="X113" s="14" t="s">
        <v>821</v>
      </c>
      <c r="Y113" s="14" t="s">
        <v>864</v>
      </c>
      <c r="Z113" s="14" t="s">
        <v>865</v>
      </c>
      <c r="AA113" s="14" t="s">
        <v>866</v>
      </c>
      <c r="AB113" s="14" t="s">
        <v>909</v>
      </c>
      <c r="AC113" s="14" t="s">
        <v>910</v>
      </c>
      <c r="AD113" s="14" t="s">
        <v>911</v>
      </c>
      <c r="AE113" s="14" t="s">
        <v>954</v>
      </c>
      <c r="AF113" s="14" t="s">
        <v>955</v>
      </c>
      <c r="AG113" s="14" t="s">
        <v>956</v>
      </c>
      <c r="AH113" s="14" t="s">
        <v>999</v>
      </c>
      <c r="AI113" s="14" t="s">
        <v>1000</v>
      </c>
      <c r="AJ113" s="14" t="s">
        <v>1001</v>
      </c>
    </row>
    <row r="114" spans="1:36" hidden="1">
      <c r="B114" s="40" t="s">
        <v>1751</v>
      </c>
      <c r="C114" s="45">
        <v>14</v>
      </c>
      <c r="D114" s="14" t="s">
        <v>278</v>
      </c>
      <c r="E114" s="14" t="s">
        <v>279</v>
      </c>
      <c r="F114" s="14" t="s">
        <v>280</v>
      </c>
      <c r="G114" s="14" t="s">
        <v>323</v>
      </c>
      <c r="H114" s="14" t="s">
        <v>324</v>
      </c>
      <c r="I114" s="14" t="s">
        <v>325</v>
      </c>
      <c r="J114" s="14" t="s">
        <v>368</v>
      </c>
      <c r="K114" s="14" t="s">
        <v>369</v>
      </c>
      <c r="L114" s="14" t="s">
        <v>370</v>
      </c>
      <c r="M114" s="14" t="s">
        <v>413</v>
      </c>
      <c r="N114" s="14" t="s">
        <v>414</v>
      </c>
      <c r="O114" s="14" t="s">
        <v>415</v>
      </c>
      <c r="P114" s="14" t="s">
        <v>458</v>
      </c>
      <c r="Q114" s="14" t="s">
        <v>459</v>
      </c>
      <c r="R114" s="14" t="s">
        <v>460</v>
      </c>
      <c r="S114" s="14" t="s">
        <v>503</v>
      </c>
      <c r="T114" s="14" t="s">
        <v>504</v>
      </c>
      <c r="U114" s="14" t="s">
        <v>505</v>
      </c>
      <c r="V114" s="14" t="s">
        <v>798</v>
      </c>
      <c r="W114" s="14" t="s">
        <v>799</v>
      </c>
      <c r="X114" s="14" t="s">
        <v>800</v>
      </c>
      <c r="Y114" s="14" t="s">
        <v>843</v>
      </c>
      <c r="Z114" s="14" t="s">
        <v>844</v>
      </c>
      <c r="AA114" s="14" t="s">
        <v>845</v>
      </c>
      <c r="AB114" s="14" t="s">
        <v>888</v>
      </c>
      <c r="AC114" s="14" t="s">
        <v>889</v>
      </c>
      <c r="AD114" s="14" t="s">
        <v>890</v>
      </c>
      <c r="AE114" s="14" t="s">
        <v>933</v>
      </c>
      <c r="AF114" s="14" t="s">
        <v>934</v>
      </c>
      <c r="AG114" s="14" t="s">
        <v>935</v>
      </c>
      <c r="AH114" s="14" t="s">
        <v>978</v>
      </c>
      <c r="AI114" s="14" t="s">
        <v>979</v>
      </c>
      <c r="AJ114" s="14" t="s">
        <v>980</v>
      </c>
    </row>
    <row r="115" spans="1:36" hidden="1">
      <c r="B115" s="40" t="s">
        <v>1756</v>
      </c>
      <c r="C115" s="45">
        <v>15</v>
      </c>
      <c r="D115" s="14" t="s">
        <v>293</v>
      </c>
      <c r="E115" s="14" t="s">
        <v>294</v>
      </c>
      <c r="F115" s="14" t="s">
        <v>295</v>
      </c>
      <c r="G115" s="14" t="s">
        <v>338</v>
      </c>
      <c r="H115" s="14" t="s">
        <v>339</v>
      </c>
      <c r="I115" s="14" t="s">
        <v>340</v>
      </c>
      <c r="J115" s="14" t="s">
        <v>383</v>
      </c>
      <c r="K115" s="14" t="s">
        <v>384</v>
      </c>
      <c r="L115" s="14" t="s">
        <v>385</v>
      </c>
      <c r="M115" s="14" t="s">
        <v>428</v>
      </c>
      <c r="N115" s="14" t="s">
        <v>429</v>
      </c>
      <c r="O115" s="14" t="s">
        <v>430</v>
      </c>
      <c r="P115" s="14" t="s">
        <v>473</v>
      </c>
      <c r="Q115" s="14" t="s">
        <v>474</v>
      </c>
      <c r="R115" s="14" t="s">
        <v>475</v>
      </c>
      <c r="S115" s="14" t="s">
        <v>768</v>
      </c>
      <c r="T115" s="14" t="s">
        <v>769</v>
      </c>
      <c r="U115" s="14" t="s">
        <v>770</v>
      </c>
      <c r="V115" s="14" t="s">
        <v>813</v>
      </c>
      <c r="W115" s="14" t="s">
        <v>814</v>
      </c>
      <c r="X115" s="14" t="s">
        <v>815</v>
      </c>
      <c r="Y115" s="14" t="s">
        <v>858</v>
      </c>
      <c r="Z115" s="14" t="s">
        <v>859</v>
      </c>
      <c r="AA115" s="14" t="s">
        <v>860</v>
      </c>
      <c r="AB115" s="14" t="s">
        <v>903</v>
      </c>
      <c r="AC115" s="14" t="s">
        <v>904</v>
      </c>
      <c r="AD115" s="14" t="s">
        <v>905</v>
      </c>
      <c r="AE115" s="14" t="s">
        <v>948</v>
      </c>
      <c r="AF115" s="14" t="s">
        <v>949</v>
      </c>
      <c r="AG115" s="14" t="s">
        <v>950</v>
      </c>
      <c r="AH115" s="14" t="s">
        <v>993</v>
      </c>
      <c r="AI115" s="14" t="s">
        <v>994</v>
      </c>
      <c r="AJ115" s="14" t="s">
        <v>995</v>
      </c>
    </row>
    <row r="116" spans="1:36" hidden="1">
      <c r="B116" s="39" t="s">
        <v>1760</v>
      </c>
      <c r="C116" s="45">
        <v>16</v>
      </c>
      <c r="D116" s="14" t="s">
        <v>302</v>
      </c>
      <c r="E116" s="14" t="s">
        <v>303</v>
      </c>
      <c r="F116" s="14" t="s">
        <v>304</v>
      </c>
      <c r="G116" s="14" t="s">
        <v>347</v>
      </c>
      <c r="H116" s="14" t="s">
        <v>348</v>
      </c>
      <c r="I116" s="14" t="s">
        <v>349</v>
      </c>
      <c r="J116" s="14" t="s">
        <v>392</v>
      </c>
      <c r="K116" s="14" t="s">
        <v>393</v>
      </c>
      <c r="L116" s="14" t="s">
        <v>394</v>
      </c>
      <c r="M116" s="14" t="s">
        <v>437</v>
      </c>
      <c r="N116" s="14" t="s">
        <v>438</v>
      </c>
      <c r="O116" s="14" t="s">
        <v>439</v>
      </c>
      <c r="P116" s="14" t="s">
        <v>482</v>
      </c>
      <c r="Q116" s="14" t="s">
        <v>483</v>
      </c>
      <c r="R116" s="14" t="s">
        <v>484</v>
      </c>
      <c r="S116" s="14" t="s">
        <v>777</v>
      </c>
      <c r="T116" s="14" t="s">
        <v>778</v>
      </c>
      <c r="U116" s="14" t="s">
        <v>779</v>
      </c>
      <c r="V116" s="14" t="s">
        <v>822</v>
      </c>
      <c r="W116" s="14" t="s">
        <v>823</v>
      </c>
      <c r="X116" s="14" t="s">
        <v>824</v>
      </c>
      <c r="Y116" s="14" t="s">
        <v>867</v>
      </c>
      <c r="Z116" s="14" t="s">
        <v>868</v>
      </c>
      <c r="AA116" s="14" t="s">
        <v>869</v>
      </c>
      <c r="AB116" s="14" t="s">
        <v>912</v>
      </c>
      <c r="AC116" s="14" t="s">
        <v>913</v>
      </c>
      <c r="AD116" s="14" t="s">
        <v>914</v>
      </c>
      <c r="AE116" s="14" t="s">
        <v>957</v>
      </c>
      <c r="AF116" s="14" t="s">
        <v>958</v>
      </c>
      <c r="AG116" s="14" t="s">
        <v>959</v>
      </c>
      <c r="AH116" s="14" t="s">
        <v>1002</v>
      </c>
      <c r="AI116" s="14" t="s">
        <v>1003</v>
      </c>
      <c r="AJ116" s="14" t="s">
        <v>1004</v>
      </c>
    </row>
    <row r="117" spans="1:36" hidden="1">
      <c r="B117" s="40" t="s">
        <v>1754</v>
      </c>
      <c r="C117" s="45">
        <v>17</v>
      </c>
      <c r="D117" s="14" t="s">
        <v>287</v>
      </c>
      <c r="E117" s="14" t="s">
        <v>288</v>
      </c>
      <c r="F117" s="14" t="s">
        <v>289</v>
      </c>
      <c r="G117" s="14" t="s">
        <v>332</v>
      </c>
      <c r="H117" s="14" t="s">
        <v>333</v>
      </c>
      <c r="I117" s="14" t="s">
        <v>334</v>
      </c>
      <c r="J117" s="14" t="s">
        <v>377</v>
      </c>
      <c r="K117" s="14" t="s">
        <v>378</v>
      </c>
      <c r="L117" s="14" t="s">
        <v>379</v>
      </c>
      <c r="M117" s="14" t="s">
        <v>422</v>
      </c>
      <c r="N117" s="14" t="s">
        <v>423</v>
      </c>
      <c r="O117" s="14" t="s">
        <v>424</v>
      </c>
      <c r="P117" s="14" t="s">
        <v>467</v>
      </c>
      <c r="Q117" s="14" t="s">
        <v>468</v>
      </c>
      <c r="R117" s="14" t="s">
        <v>469</v>
      </c>
      <c r="S117" s="14" t="s">
        <v>512</v>
      </c>
      <c r="T117" s="14" t="s">
        <v>763</v>
      </c>
      <c r="U117" s="14" t="s">
        <v>764</v>
      </c>
      <c r="V117" s="14" t="s">
        <v>807</v>
      </c>
      <c r="W117" s="14" t="s">
        <v>808</v>
      </c>
      <c r="X117" s="14" t="s">
        <v>809</v>
      </c>
      <c r="Y117" s="14" t="s">
        <v>852</v>
      </c>
      <c r="Z117" s="14" t="s">
        <v>853</v>
      </c>
      <c r="AA117" s="14" t="s">
        <v>854</v>
      </c>
      <c r="AB117" s="14" t="s">
        <v>897</v>
      </c>
      <c r="AC117" s="14" t="s">
        <v>898</v>
      </c>
      <c r="AD117" s="14" t="s">
        <v>899</v>
      </c>
      <c r="AE117" s="14" t="s">
        <v>942</v>
      </c>
      <c r="AF117" s="14" t="s">
        <v>943</v>
      </c>
      <c r="AG117" s="14" t="s">
        <v>944</v>
      </c>
      <c r="AH117" s="14" t="s">
        <v>987</v>
      </c>
      <c r="AI117" s="14" t="s">
        <v>988</v>
      </c>
      <c r="AJ117" s="14" t="s">
        <v>989</v>
      </c>
    </row>
    <row r="118" spans="1:36" hidden="1">
      <c r="B118" s="40" t="s">
        <v>1757</v>
      </c>
      <c r="C118" s="45">
        <v>18</v>
      </c>
      <c r="D118" s="14" t="s">
        <v>296</v>
      </c>
      <c r="E118" s="14" t="s">
        <v>297</v>
      </c>
      <c r="F118" s="14" t="s">
        <v>298</v>
      </c>
      <c r="G118" s="14" t="s">
        <v>341</v>
      </c>
      <c r="H118" s="14" t="s">
        <v>342</v>
      </c>
      <c r="I118" s="14" t="s">
        <v>343</v>
      </c>
      <c r="J118" s="14" t="s">
        <v>386</v>
      </c>
      <c r="K118" s="14" t="s">
        <v>387</v>
      </c>
      <c r="L118" s="14" t="s">
        <v>388</v>
      </c>
      <c r="M118" s="14" t="s">
        <v>431</v>
      </c>
      <c r="N118" s="14" t="s">
        <v>432</v>
      </c>
      <c r="O118" s="14" t="s">
        <v>433</v>
      </c>
      <c r="P118" s="14" t="s">
        <v>476</v>
      </c>
      <c r="Q118" s="14" t="s">
        <v>477</v>
      </c>
      <c r="R118" s="14" t="s">
        <v>478</v>
      </c>
      <c r="S118" s="14" t="s">
        <v>771</v>
      </c>
      <c r="T118" s="14" t="s">
        <v>772</v>
      </c>
      <c r="U118" s="14" t="s">
        <v>773</v>
      </c>
      <c r="V118" s="14" t="s">
        <v>816</v>
      </c>
      <c r="W118" s="14" t="s">
        <v>817</v>
      </c>
      <c r="X118" s="14" t="s">
        <v>818</v>
      </c>
      <c r="Y118" s="14" t="s">
        <v>861</v>
      </c>
      <c r="Z118" s="14" t="s">
        <v>862</v>
      </c>
      <c r="AA118" s="14" t="s">
        <v>863</v>
      </c>
      <c r="AB118" s="14" t="s">
        <v>906</v>
      </c>
      <c r="AC118" s="14" t="s">
        <v>907</v>
      </c>
      <c r="AD118" s="14" t="s">
        <v>908</v>
      </c>
      <c r="AE118" s="14" t="s">
        <v>951</v>
      </c>
      <c r="AF118" s="14" t="s">
        <v>952</v>
      </c>
      <c r="AG118" s="14" t="s">
        <v>953</v>
      </c>
      <c r="AH118" s="14" t="s">
        <v>996</v>
      </c>
      <c r="AI118" s="14" t="s">
        <v>997</v>
      </c>
      <c r="AJ118" s="14" t="s">
        <v>998</v>
      </c>
    </row>
    <row r="119" spans="1:36" hidden="1">
      <c r="B119" s="6"/>
      <c r="C119" s="45">
        <v>19</v>
      </c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</row>
    <row r="120" spans="1:36" hidden="1">
      <c r="A120" s="36" t="s">
        <v>1761</v>
      </c>
      <c r="C120" s="45">
        <v>20</v>
      </c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</row>
    <row r="121" spans="1:36" hidden="1">
      <c r="A121" s="36"/>
      <c r="B121" s="6" t="s">
        <v>1761</v>
      </c>
      <c r="C121" s="45">
        <v>21</v>
      </c>
      <c r="D121" s="14" t="s">
        <v>305</v>
      </c>
      <c r="E121" s="14" t="s">
        <v>306</v>
      </c>
      <c r="F121" s="14" t="s">
        <v>307</v>
      </c>
      <c r="G121" s="14" t="s">
        <v>350</v>
      </c>
      <c r="H121" s="14" t="s">
        <v>351</v>
      </c>
      <c r="I121" s="14" t="s">
        <v>352</v>
      </c>
      <c r="J121" s="14" t="s">
        <v>395</v>
      </c>
      <c r="K121" s="14" t="s">
        <v>396</v>
      </c>
      <c r="L121" s="14" t="s">
        <v>397</v>
      </c>
      <c r="M121" s="14" t="s">
        <v>440</v>
      </c>
      <c r="N121" s="14" t="s">
        <v>441</v>
      </c>
      <c r="O121" s="14" t="s">
        <v>442</v>
      </c>
      <c r="P121" s="14" t="s">
        <v>485</v>
      </c>
      <c r="Q121" s="14" t="s">
        <v>486</v>
      </c>
      <c r="R121" s="14" t="s">
        <v>487</v>
      </c>
      <c r="S121" s="14" t="s">
        <v>780</v>
      </c>
      <c r="T121" s="14" t="s">
        <v>781</v>
      </c>
      <c r="U121" s="14" t="s">
        <v>782</v>
      </c>
      <c r="V121" s="14" t="s">
        <v>825</v>
      </c>
      <c r="W121" s="14" t="s">
        <v>826</v>
      </c>
      <c r="X121" s="14" t="s">
        <v>827</v>
      </c>
      <c r="Y121" s="14" t="s">
        <v>870</v>
      </c>
      <c r="Z121" s="14" t="s">
        <v>871</v>
      </c>
      <c r="AA121" s="14" t="s">
        <v>872</v>
      </c>
      <c r="AB121" s="14" t="s">
        <v>915</v>
      </c>
      <c r="AC121" s="14" t="s">
        <v>916</v>
      </c>
      <c r="AD121" s="14" t="s">
        <v>917</v>
      </c>
      <c r="AE121" s="14" t="s">
        <v>960</v>
      </c>
      <c r="AF121" s="14" t="s">
        <v>961</v>
      </c>
      <c r="AG121" s="14" t="s">
        <v>962</v>
      </c>
      <c r="AH121" s="14" t="s">
        <v>1005</v>
      </c>
      <c r="AI121" s="14" t="s">
        <v>1006</v>
      </c>
      <c r="AJ121" s="14" t="s">
        <v>1007</v>
      </c>
    </row>
    <row r="122" spans="1:36" hidden="1">
      <c r="B122" s="39" t="s">
        <v>1762</v>
      </c>
      <c r="C122" s="45">
        <v>22</v>
      </c>
      <c r="D122" s="14" t="s">
        <v>281</v>
      </c>
      <c r="E122" s="14" t="s">
        <v>282</v>
      </c>
      <c r="F122" s="14" t="s">
        <v>283</v>
      </c>
      <c r="G122" s="14" t="s">
        <v>326</v>
      </c>
      <c r="H122" s="14" t="s">
        <v>327</v>
      </c>
      <c r="I122" s="14" t="s">
        <v>328</v>
      </c>
      <c r="J122" s="14" t="s">
        <v>371</v>
      </c>
      <c r="K122" s="14" t="s">
        <v>372</v>
      </c>
      <c r="L122" s="14" t="s">
        <v>373</v>
      </c>
      <c r="M122" s="14" t="s">
        <v>416</v>
      </c>
      <c r="N122" s="14" t="s">
        <v>417</v>
      </c>
      <c r="O122" s="14" t="s">
        <v>418</v>
      </c>
      <c r="P122" s="14" t="s">
        <v>461</v>
      </c>
      <c r="Q122" s="14" t="s">
        <v>462</v>
      </c>
      <c r="R122" s="14" t="s">
        <v>463</v>
      </c>
      <c r="S122" s="14" t="s">
        <v>506</v>
      </c>
      <c r="T122" s="14" t="s">
        <v>507</v>
      </c>
      <c r="U122" s="14" t="s">
        <v>508</v>
      </c>
      <c r="V122" s="14" t="s">
        <v>801</v>
      </c>
      <c r="W122" s="14" t="s">
        <v>802</v>
      </c>
      <c r="X122" s="14" t="s">
        <v>803</v>
      </c>
      <c r="Y122" s="14" t="s">
        <v>846</v>
      </c>
      <c r="Z122" s="14" t="s">
        <v>847</v>
      </c>
      <c r="AA122" s="14" t="s">
        <v>848</v>
      </c>
      <c r="AB122" s="14" t="s">
        <v>891</v>
      </c>
      <c r="AC122" s="14" t="s">
        <v>892</v>
      </c>
      <c r="AD122" s="14" t="s">
        <v>893</v>
      </c>
      <c r="AE122" s="14" t="s">
        <v>936</v>
      </c>
      <c r="AF122" s="14" t="s">
        <v>937</v>
      </c>
      <c r="AG122" s="14" t="s">
        <v>938</v>
      </c>
      <c r="AH122" s="14" t="s">
        <v>981</v>
      </c>
      <c r="AI122" s="14" t="s">
        <v>982</v>
      </c>
      <c r="AJ122" s="14" t="s">
        <v>983</v>
      </c>
    </row>
    <row r="123" spans="1:36" hidden="1">
      <c r="B123" s="39" t="s">
        <v>1757</v>
      </c>
      <c r="C123" s="45">
        <v>23</v>
      </c>
      <c r="D123" s="14" t="s">
        <v>296</v>
      </c>
      <c r="E123" s="14" t="s">
        <v>297</v>
      </c>
      <c r="F123" s="14" t="s">
        <v>298</v>
      </c>
      <c r="G123" s="14" t="s">
        <v>341</v>
      </c>
      <c r="H123" s="14" t="s">
        <v>342</v>
      </c>
      <c r="I123" s="14" t="s">
        <v>343</v>
      </c>
      <c r="J123" s="14" t="s">
        <v>386</v>
      </c>
      <c r="K123" s="14" t="s">
        <v>387</v>
      </c>
      <c r="L123" s="14" t="s">
        <v>388</v>
      </c>
      <c r="M123" s="14" t="s">
        <v>431</v>
      </c>
      <c r="N123" s="14" t="s">
        <v>432</v>
      </c>
      <c r="O123" s="14" t="s">
        <v>433</v>
      </c>
      <c r="P123" s="14" t="s">
        <v>476</v>
      </c>
      <c r="Q123" s="14" t="s">
        <v>477</v>
      </c>
      <c r="R123" s="14" t="s">
        <v>478</v>
      </c>
      <c r="S123" s="14" t="s">
        <v>771</v>
      </c>
      <c r="T123" s="14" t="s">
        <v>772</v>
      </c>
      <c r="U123" s="14" t="s">
        <v>773</v>
      </c>
      <c r="V123" s="14" t="s">
        <v>816</v>
      </c>
      <c r="W123" s="14" t="s">
        <v>817</v>
      </c>
      <c r="X123" s="14" t="s">
        <v>818</v>
      </c>
      <c r="Y123" s="14" t="s">
        <v>861</v>
      </c>
      <c r="Z123" s="14" t="s">
        <v>862</v>
      </c>
      <c r="AA123" s="14" t="s">
        <v>863</v>
      </c>
      <c r="AB123" s="14" t="s">
        <v>906</v>
      </c>
      <c r="AC123" s="14" t="s">
        <v>907</v>
      </c>
      <c r="AD123" s="14" t="s">
        <v>908</v>
      </c>
      <c r="AE123" s="14" t="s">
        <v>951</v>
      </c>
      <c r="AF123" s="14" t="s">
        <v>952</v>
      </c>
      <c r="AG123" s="14" t="s">
        <v>953</v>
      </c>
      <c r="AH123" s="14" t="s">
        <v>996</v>
      </c>
      <c r="AI123" s="14" t="s">
        <v>997</v>
      </c>
      <c r="AJ123" s="14" t="s">
        <v>998</v>
      </c>
    </row>
    <row r="124" spans="1:36" hidden="1">
      <c r="B124" s="6"/>
      <c r="C124" s="45">
        <v>24</v>
      </c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</row>
    <row r="125" spans="1:36" hidden="1">
      <c r="A125" s="36" t="s">
        <v>1763</v>
      </c>
      <c r="C125" s="45">
        <v>25</v>
      </c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</row>
    <row r="126" spans="1:36" hidden="1">
      <c r="B126" s="6" t="s">
        <v>1764</v>
      </c>
      <c r="C126" s="45">
        <v>26</v>
      </c>
      <c r="D126" s="14" t="s">
        <v>263</v>
      </c>
      <c r="E126" s="14" t="s">
        <v>264</v>
      </c>
      <c r="F126" s="14" t="s">
        <v>265</v>
      </c>
      <c r="G126" s="14" t="s">
        <v>308</v>
      </c>
      <c r="H126" s="14" t="s">
        <v>309</v>
      </c>
      <c r="I126" s="14" t="s">
        <v>310</v>
      </c>
      <c r="J126" s="14" t="s">
        <v>353</v>
      </c>
      <c r="K126" s="14" t="s">
        <v>354</v>
      </c>
      <c r="L126" s="14" t="s">
        <v>355</v>
      </c>
      <c r="M126" s="14" t="s">
        <v>398</v>
      </c>
      <c r="N126" s="14" t="s">
        <v>399</v>
      </c>
      <c r="O126" s="14" t="s">
        <v>400</v>
      </c>
      <c r="P126" s="14" t="s">
        <v>443</v>
      </c>
      <c r="Q126" s="14" t="s">
        <v>444</v>
      </c>
      <c r="R126" s="14" t="s">
        <v>445</v>
      </c>
      <c r="S126" s="14" t="s">
        <v>488</v>
      </c>
      <c r="T126" s="14" t="s">
        <v>489</v>
      </c>
      <c r="U126" s="14" t="s">
        <v>490</v>
      </c>
      <c r="V126" s="14" t="s">
        <v>783</v>
      </c>
      <c r="W126" s="14" t="s">
        <v>784</v>
      </c>
      <c r="X126" s="14" t="s">
        <v>785</v>
      </c>
      <c r="Y126" s="14" t="s">
        <v>828</v>
      </c>
      <c r="Z126" s="14" t="s">
        <v>829</v>
      </c>
      <c r="AA126" s="14" t="s">
        <v>830</v>
      </c>
      <c r="AB126" s="14" t="s">
        <v>873</v>
      </c>
      <c r="AC126" s="14" t="s">
        <v>874</v>
      </c>
      <c r="AD126" s="14" t="s">
        <v>875</v>
      </c>
      <c r="AE126" s="14" t="s">
        <v>918</v>
      </c>
      <c r="AF126" s="14" t="s">
        <v>919</v>
      </c>
      <c r="AG126" s="14" t="s">
        <v>920</v>
      </c>
      <c r="AH126" s="14" t="s">
        <v>963</v>
      </c>
      <c r="AI126" s="14" t="s">
        <v>964</v>
      </c>
      <c r="AJ126" s="14" t="s">
        <v>965</v>
      </c>
    </row>
    <row r="127" spans="1:36" hidden="1">
      <c r="B127" s="39" t="s">
        <v>1765</v>
      </c>
      <c r="C127" s="45">
        <v>27</v>
      </c>
      <c r="D127" s="14" t="s">
        <v>266</v>
      </c>
      <c r="E127" s="14" t="s">
        <v>267</v>
      </c>
      <c r="F127" s="14" t="s">
        <v>268</v>
      </c>
      <c r="G127" s="14" t="s">
        <v>311</v>
      </c>
      <c r="H127" s="14" t="s">
        <v>312</v>
      </c>
      <c r="I127" s="14" t="s">
        <v>313</v>
      </c>
      <c r="J127" s="14" t="s">
        <v>356</v>
      </c>
      <c r="K127" s="14" t="s">
        <v>357</v>
      </c>
      <c r="L127" s="14" t="s">
        <v>358</v>
      </c>
      <c r="M127" s="14" t="s">
        <v>401</v>
      </c>
      <c r="N127" s="14" t="s">
        <v>402</v>
      </c>
      <c r="O127" s="14" t="s">
        <v>403</v>
      </c>
      <c r="P127" s="14" t="s">
        <v>446</v>
      </c>
      <c r="Q127" s="14" t="s">
        <v>447</v>
      </c>
      <c r="R127" s="14" t="s">
        <v>448</v>
      </c>
      <c r="S127" s="14" t="s">
        <v>491</v>
      </c>
      <c r="T127" s="14" t="s">
        <v>492</v>
      </c>
      <c r="U127" s="14" t="s">
        <v>493</v>
      </c>
      <c r="V127" s="14" t="s">
        <v>786</v>
      </c>
      <c r="W127" s="14" t="s">
        <v>787</v>
      </c>
      <c r="X127" s="14" t="s">
        <v>788</v>
      </c>
      <c r="Y127" s="14" t="s">
        <v>831</v>
      </c>
      <c r="Z127" s="14" t="s">
        <v>832</v>
      </c>
      <c r="AA127" s="14" t="s">
        <v>833</v>
      </c>
      <c r="AB127" s="14" t="s">
        <v>876</v>
      </c>
      <c r="AC127" s="14" t="s">
        <v>877</v>
      </c>
      <c r="AD127" s="14" t="s">
        <v>878</v>
      </c>
      <c r="AE127" s="14" t="s">
        <v>921</v>
      </c>
      <c r="AF127" s="14" t="s">
        <v>922</v>
      </c>
      <c r="AG127" s="14" t="s">
        <v>923</v>
      </c>
      <c r="AH127" s="14" t="s">
        <v>966</v>
      </c>
      <c r="AI127" s="14" t="s">
        <v>967</v>
      </c>
      <c r="AJ127" s="14" t="s">
        <v>968</v>
      </c>
    </row>
    <row r="128" spans="1:36" hidden="1">
      <c r="B128" s="39" t="s">
        <v>1766</v>
      </c>
      <c r="C128" s="45">
        <v>28</v>
      </c>
      <c r="D128" s="14" t="s">
        <v>269</v>
      </c>
      <c r="E128" s="14" t="s">
        <v>270</v>
      </c>
      <c r="F128" s="14" t="s">
        <v>271</v>
      </c>
      <c r="G128" s="14" t="s">
        <v>314</v>
      </c>
      <c r="H128" s="14" t="s">
        <v>315</v>
      </c>
      <c r="I128" s="14" t="s">
        <v>316</v>
      </c>
      <c r="J128" s="14" t="s">
        <v>359</v>
      </c>
      <c r="K128" s="14" t="s">
        <v>360</v>
      </c>
      <c r="L128" s="14" t="s">
        <v>361</v>
      </c>
      <c r="M128" s="14" t="s">
        <v>404</v>
      </c>
      <c r="N128" s="14" t="s">
        <v>405</v>
      </c>
      <c r="O128" s="14" t="s">
        <v>406</v>
      </c>
      <c r="P128" s="14" t="s">
        <v>449</v>
      </c>
      <c r="Q128" s="14" t="s">
        <v>450</v>
      </c>
      <c r="R128" s="14" t="s">
        <v>451</v>
      </c>
      <c r="S128" s="14" t="s">
        <v>494</v>
      </c>
      <c r="T128" s="14" t="s">
        <v>495</v>
      </c>
      <c r="U128" s="14" t="s">
        <v>496</v>
      </c>
      <c r="V128" s="14" t="s">
        <v>789</v>
      </c>
      <c r="W128" s="14" t="s">
        <v>790</v>
      </c>
      <c r="X128" s="14" t="s">
        <v>791</v>
      </c>
      <c r="Y128" s="14" t="s">
        <v>834</v>
      </c>
      <c r="Z128" s="14" t="s">
        <v>835</v>
      </c>
      <c r="AA128" s="14" t="s">
        <v>836</v>
      </c>
      <c r="AB128" s="14" t="s">
        <v>879</v>
      </c>
      <c r="AC128" s="14" t="s">
        <v>880</v>
      </c>
      <c r="AD128" s="14" t="s">
        <v>881</v>
      </c>
      <c r="AE128" s="14" t="s">
        <v>924</v>
      </c>
      <c r="AF128" s="14" t="s">
        <v>925</v>
      </c>
      <c r="AG128" s="14" t="s">
        <v>926</v>
      </c>
      <c r="AH128" s="14" t="s">
        <v>969</v>
      </c>
      <c r="AI128" s="14" t="s">
        <v>970</v>
      </c>
      <c r="AJ128" s="14" t="s">
        <v>971</v>
      </c>
    </row>
    <row r="129" spans="4:36" ht="15" hidden="1" customHeight="1"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</row>
    <row r="130" spans="4:36" ht="15" hidden="1" customHeight="1"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</row>
    <row r="131" spans="4:36" ht="15" customHeight="1"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</row>
    <row r="132" spans="4:36" ht="15" customHeight="1"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</row>
    <row r="133" spans="4:36" ht="15" customHeight="1"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</row>
    <row r="134" spans="4:36" ht="15" customHeight="1"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</row>
    <row r="135" spans="4:36" ht="15" customHeight="1"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</row>
    <row r="136" spans="4:36" ht="15" customHeight="1"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</row>
    <row r="137" spans="4:36" ht="15" customHeight="1"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</row>
    <row r="138" spans="4:36" ht="15" customHeight="1"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</row>
    <row r="139" spans="4:36" ht="15" customHeight="1"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</row>
    <row r="140" spans="4:36" ht="15" customHeight="1"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</row>
    <row r="141" spans="4:36" ht="15" customHeight="1"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</row>
    <row r="142" spans="4:36" ht="15" customHeight="1"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</row>
    <row r="143" spans="4:36" ht="15" customHeight="1"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</row>
    <row r="144" spans="4:36" ht="15" customHeight="1"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</row>
    <row r="145" spans="4:21" ht="15" customHeight="1"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</row>
    <row r="146" spans="4:21" ht="15" customHeight="1"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</row>
    <row r="147" spans="4:21" ht="15" customHeight="1"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</row>
  </sheetData>
  <mergeCells count="28">
    <mergeCell ref="S97:U97"/>
    <mergeCell ref="V97:X97"/>
    <mergeCell ref="Y97:AA97"/>
    <mergeCell ref="AB97:AD97"/>
    <mergeCell ref="AE97:AG97"/>
    <mergeCell ref="AH97:AJ97"/>
    <mergeCell ref="V62:X62"/>
    <mergeCell ref="Y62:AA62"/>
    <mergeCell ref="AB62:AD62"/>
    <mergeCell ref="AE62:AG62"/>
    <mergeCell ref="AH62:AJ62"/>
    <mergeCell ref="D97:F97"/>
    <mergeCell ref="G97:I97"/>
    <mergeCell ref="J97:L97"/>
    <mergeCell ref="M97:O97"/>
    <mergeCell ref="P97:R97"/>
    <mergeCell ref="S62:U62"/>
    <mergeCell ref="B6:K6"/>
    <mergeCell ref="L6:T6"/>
    <mergeCell ref="A8:H8"/>
    <mergeCell ref="L8:R8"/>
    <mergeCell ref="C10:E10"/>
    <mergeCell ref="G10:I10"/>
    <mergeCell ref="D62:F62"/>
    <mergeCell ref="G62:I62"/>
    <mergeCell ref="J62:L62"/>
    <mergeCell ref="M62:O62"/>
    <mergeCell ref="P62:R62"/>
  </mergeCells>
  <dataValidations count="1">
    <dataValidation type="list" allowBlank="1" showInputMessage="1" showErrorMessage="1" sqref="C10:E10" xr:uid="{1CA7B99F-0E8C-48F2-8196-7958EC30DEC1}">
      <formula1>$B$46:$B$56</formula1>
    </dataValidation>
  </dataValidations>
  <hyperlinks>
    <hyperlink ref="A44" r:id="rId1" display="http://www.abs.gov.au/websitedbs/d3310114.nsf/Home/©+Copyright?OpenDocument" xr:uid="{721A3AE9-640F-447B-A895-4D6F2FD1FB3C}"/>
    <hyperlink ref="D126" location="A127833187R" display="A127833187R" xr:uid="{09F743C6-6E03-41B7-A2B9-681BA7722B43}"/>
    <hyperlink ref="E126" location="A127830217L" display="A127830217L" xr:uid="{1F3FD34C-CF2D-4451-B60A-F63F86AA995E}"/>
    <hyperlink ref="F126" location="A127827247T" display="A127827247T" xr:uid="{58152C9B-F371-4B31-8A5F-27CA12B85C3B}"/>
    <hyperlink ref="D127" location="A127833189V" display="A127833189V" xr:uid="{7DEE80B3-766C-4EF2-9D3F-C3630B28395D}"/>
    <hyperlink ref="E127" location="A127830219T" display="A127830219T" xr:uid="{BA1F5138-93C6-4B92-8CF8-8AE7205E0D2B}"/>
    <hyperlink ref="F127" location="A127827249W" display="A127827249W" xr:uid="{BE107B4B-A7C0-41FA-8162-70CC245D82E2}"/>
    <hyperlink ref="D128" location="A127833188T" display="A127833188T" xr:uid="{08EE0494-6264-479D-8DFF-4165824C07C0}"/>
    <hyperlink ref="E128" location="A127830218R" display="A127830218R" xr:uid="{2B66B6C1-D9E7-406B-888F-1B1DA57474D8}"/>
    <hyperlink ref="F128" location="A127827248V" display="A127827248V" xr:uid="{56D50331-3F27-49B3-87F7-8E38E10D7E4A}"/>
    <hyperlink ref="D101" location="A127833182C" display="A127833182C" xr:uid="{67E2CE20-A0C5-4A24-A757-E4F4C012409A}"/>
    <hyperlink ref="E101" location="A127830212A" display="A127830212A" xr:uid="{680882E1-829D-41E8-859B-E5BDC66BCA30}"/>
    <hyperlink ref="F101" location="A127827242F" display="A127827242F" xr:uid="{E38C7DF8-999D-4AAB-9C6F-22AF8D49AA11}"/>
    <hyperlink ref="D102" location="A127833186L" display="A127833186L" xr:uid="{7B6FA6DF-9EF5-482C-B706-00F17B1B83F7}"/>
    <hyperlink ref="E102" location="A127830216K" display="A127830216K" xr:uid="{4F027E0C-88D2-4C0E-92C3-E571C0D0C45C}"/>
    <hyperlink ref="F102" location="A127827246R" display="A127827246R" xr:uid="{9C14096E-2317-4D18-BB5E-A605137A7F5D}"/>
    <hyperlink ref="D103" location="A127833181A" display="A127833181A" xr:uid="{3A4F14A0-6C77-4DD2-B53F-34EE79B7D943}"/>
    <hyperlink ref="E103" location="A127830211X" display="A127830211X" xr:uid="{0CFADDFD-F0DF-4B68-A56C-FF7CD1C8AA73}"/>
    <hyperlink ref="F103" location="A127827241C" display="A127827241C" xr:uid="{BCF3353D-F37B-4022-9E3B-79E845F6C1C4}"/>
    <hyperlink ref="D104" location="A127833179R" display="A127833179R" xr:uid="{8775CABD-2346-4A4B-9E47-C42CC8EFF2DC}"/>
    <hyperlink ref="E104" location="A127830209L" display="A127830209L" xr:uid="{08B312F6-FEE3-4680-BACE-279971648BA2}"/>
    <hyperlink ref="F104" location="A127827239T" display="A127827239T" xr:uid="{676B6D29-2596-4329-A5F6-BCFB1FF9BFBB}"/>
    <hyperlink ref="D105" location="A127833190C" display="A127833190C" xr:uid="{2B7456D3-1FB6-4627-AD68-0D3F8272563C}"/>
    <hyperlink ref="E105" location="A127830220A" display="A127830220A" xr:uid="{6EC69A7B-7E92-4A9E-A98B-F8C690FDF40C}"/>
    <hyperlink ref="F105" location="A127827250F" display="A127827250F" xr:uid="{9DD1994A-5E30-41F1-AB66-B4B97994BBF8}"/>
    <hyperlink ref="D106" location="A127833178L" display="A127833178L" xr:uid="{D11E8D36-ACE2-42BF-9BDE-9C42B6898A6B}"/>
    <hyperlink ref="E106" location="A127830208K" display="A127830208K" xr:uid="{BEC512FD-A876-45A8-B47F-AD1CBA7DEA5B}"/>
    <hyperlink ref="F106" location="A127827238R" display="A127827238R" xr:uid="{3860A5C3-5F3F-4CE6-9BA4-DC3AEBA9A8E9}"/>
    <hyperlink ref="D107" location="A127833185K" display="A127833185K" xr:uid="{1500D438-41F5-4FCA-A185-889AA66AD278}"/>
    <hyperlink ref="E107" location="A127830215J" display="A127830215J" xr:uid="{27BCEFB0-7DED-4524-9950-7EB3BD64BC83}"/>
    <hyperlink ref="F107" location="A127827245L" display="A127827245L" xr:uid="{597583C8-D2CE-464C-8CB8-7FD63CA3F427}"/>
    <hyperlink ref="D108" location="A127833180X" display="A127833180X" xr:uid="{72EA1890-8420-469C-8272-F90CE52EECFB}"/>
    <hyperlink ref="E108" location="A127830210W" display="A127830210W" xr:uid="{A684D470-2E26-4E82-A8F8-E1DDC2BB5E64}"/>
    <hyperlink ref="F108" location="A127827240A" display="A127827240A" xr:uid="{560C2D50-B3FC-4692-B2A3-86B29D41BD8C}"/>
    <hyperlink ref="D109" location="A127833177K" display="A127833177K" xr:uid="{B7299B29-8596-4249-9382-0BDDB9CE5540}"/>
    <hyperlink ref="E109" location="A127830207J" display="A127830207J" xr:uid="{28DB1864-29D9-4790-80CF-CEA5B13C4709}"/>
    <hyperlink ref="F109" location="A127827237L" display="A127827237L" xr:uid="{6660321C-E1C6-4297-BFDE-35E056654D34}"/>
    <hyperlink ref="D113" location="A127833184J" display="A127833184J" xr:uid="{21063010-9CF2-4EE5-84D1-81C3AB3BC8B7}"/>
    <hyperlink ref="E113" location="A127830214F" display="A127830214F" xr:uid="{C81613AB-C337-45CB-AD52-B65F3168B2A7}"/>
    <hyperlink ref="F113" location="A127827244K" display="A127827244K" xr:uid="{599A23C4-48CF-433D-9BD3-3F9CD4D080E2}"/>
    <hyperlink ref="D116" location="A127833183F" display="A127833183F" xr:uid="{A5BEFEF4-C35C-496E-8A7F-29F3F7670D9D}"/>
    <hyperlink ref="E116" location="A127830213C" display="A127830213C" xr:uid="{38C15F79-9002-43A2-B81B-6F49B780D0D3}"/>
    <hyperlink ref="F116" location="A127827243J" display="A127827243J" xr:uid="{84BAC7AA-BC8C-4889-91C4-3C669C69AB24}"/>
    <hyperlink ref="D121" location="A127833191F" display="A127833191F" xr:uid="{B530F99C-2647-4B11-AC31-2D2621E1F252}"/>
    <hyperlink ref="E121" location="A127830221C" display="A127830221C" xr:uid="{F5001B21-CAB5-4D82-BA59-0E2757459948}"/>
    <hyperlink ref="F121" location="A127827251J" display="A127827251J" xr:uid="{8C20AEFA-1684-4709-A975-EBB6FD954143}"/>
    <hyperlink ref="G126" location="A127832947A" display="A127832947A" xr:uid="{0BB49B7D-D66D-432C-ADC6-950C4D18B30E}"/>
    <hyperlink ref="H126" location="A127829977F" display="A127829977F" xr:uid="{AD7C7C75-53B0-4018-BBFA-3E89D417A729}"/>
    <hyperlink ref="I126" location="A127827007F" display="A127827007F" xr:uid="{462F7E42-2257-42E3-B6C4-9BE41CE4B23C}"/>
    <hyperlink ref="G127" location="A127832949F" display="A127832949F" xr:uid="{9D261EA1-B20E-44FC-8181-DFB9F2A3B925}"/>
    <hyperlink ref="H127" location="A127829979K" display="A127829979K" xr:uid="{47960D65-9999-4C03-86CA-07B41F5C533F}"/>
    <hyperlink ref="I127" location="A127827009K" display="A127827009K" xr:uid="{23D93206-FC58-4416-93C9-B5C78EE248EB}"/>
    <hyperlink ref="G128" location="A127832948C" display="A127832948C" xr:uid="{CF278698-E7F9-4129-A784-57F7A4F2007A}"/>
    <hyperlink ref="H128" location="A127829978J" display="A127829978J" xr:uid="{BD1EB30B-09A5-496A-AFF2-19C2BB3B54E1}"/>
    <hyperlink ref="I128" location="A127827008J" display="A127827008J" xr:uid="{E72252D2-C773-4E8D-ACAB-0B64EEA975EA}"/>
    <hyperlink ref="G101" location="A127832942R" display="A127832942R" xr:uid="{D534FF05-7CCB-463B-980E-D8E6675F8EBD}"/>
    <hyperlink ref="H101" location="A127829972V" display="A127829972V" xr:uid="{E4FB8815-A62D-4936-8DD6-B97C3759AB59}"/>
    <hyperlink ref="I101" location="A127827002V" display="A127827002V" xr:uid="{6E1D16E2-EE85-47D3-9E43-2D1538117295}"/>
    <hyperlink ref="G102" location="A127832946X" display="A127832946X" xr:uid="{1B521131-DA8E-4C1E-8134-F89B562A66CC}"/>
    <hyperlink ref="H102" location="A127829976C" display="A127829976C" xr:uid="{BD80D8EB-701F-41E9-80B0-F654A273DB2E}"/>
    <hyperlink ref="I102" location="A127827006C" display="A127827006C" xr:uid="{FC36CD59-3225-4690-91C6-7F6C9025A3B9}"/>
    <hyperlink ref="G103" location="A127832941L" display="A127832941L" xr:uid="{859F7282-10A1-414C-96FB-484D906D716F}"/>
    <hyperlink ref="H103" location="A127829971T" display="A127829971T" xr:uid="{7DEC805E-6A62-42A4-9B89-61480453A2A8}"/>
    <hyperlink ref="I103" location="A127827001T" display="A127827001T" xr:uid="{DCA0634B-76F8-4327-8CDA-3214C82D56E5}"/>
    <hyperlink ref="G104" location="A127832939A" display="A127832939A" xr:uid="{164F30DE-3727-4B15-9447-654EF66D27EF}"/>
    <hyperlink ref="H104" location="A127829969F" display="A127829969F" xr:uid="{DA11D6C6-2A29-47E1-88D7-E53C0DE37084}"/>
    <hyperlink ref="I104" location="A127826999R" display="A127826999R" xr:uid="{A7D3F736-594B-4D32-B08F-1F5D4DCB7857}"/>
    <hyperlink ref="G105" location="A127832950R" display="A127832950R" xr:uid="{FF0C92C7-1A60-4BF8-81B0-F3FAAAFF6135}"/>
    <hyperlink ref="H105" location="A127829980V" display="A127829980V" xr:uid="{6B6183DB-E420-4294-B9DE-78676F8C4A1B}"/>
    <hyperlink ref="I105" location="A127827010V" display="A127827010V" xr:uid="{2A41FB0E-B8D5-422F-AA61-B5CD5BA776BB}"/>
    <hyperlink ref="G106" location="A127832938X" display="A127832938X" xr:uid="{25347C1F-A180-4057-8BD7-8D44D35D0BAD}"/>
    <hyperlink ref="H106" location="A127829968C" display="A127829968C" xr:uid="{C98FD2DA-0BAC-4AFF-B825-CE09F864B6DB}"/>
    <hyperlink ref="I106" location="A127826998L" display="A127826998L" xr:uid="{D49CC9C3-734D-4299-86E8-096471ECBAB6}"/>
    <hyperlink ref="G107" location="A127832945W" display="A127832945W" xr:uid="{2CAB7400-B197-43A3-91CF-68DC035FB197}"/>
    <hyperlink ref="H107" location="A127829975A" display="A127829975A" xr:uid="{307DA460-6DE3-418B-92C9-FFEA0E45BE47}"/>
    <hyperlink ref="I107" location="A127827005A" display="A127827005A" xr:uid="{41DD2A51-D426-4760-90E5-5F60137CE0E2}"/>
    <hyperlink ref="G108" location="A127832940K" display="A127832940K" xr:uid="{215400B8-9773-4D44-AAC1-062FA5759F15}"/>
    <hyperlink ref="H108" location="A127829970R" display="A127829970R" xr:uid="{92B69D6E-124A-4873-8B48-442E8D0EA324}"/>
    <hyperlink ref="I108" location="A127827000R" display="A127827000R" xr:uid="{D7AC5E7B-C1A7-44A5-8760-6EC8080AFE13}"/>
    <hyperlink ref="G109" location="A127832937W" display="A127832937W" xr:uid="{8DA74727-9A18-477B-951A-3875F229F2F8}"/>
    <hyperlink ref="H109" location="A127829967A" display="A127829967A" xr:uid="{EA1C927C-AFAA-43F4-8242-5652CAB9FF2E}"/>
    <hyperlink ref="I109" location="A127826997K" display="A127826997K" xr:uid="{B7FFB146-4C3D-4D2E-A72C-2836D7191312}"/>
    <hyperlink ref="G113" location="A127832944V" display="A127832944V" xr:uid="{6DB4FDDC-9497-43D1-92A3-8BD71E8A2F9B}"/>
    <hyperlink ref="H113" location="A127829974X" display="A127829974X" xr:uid="{6377CD9E-123B-4AA7-97C6-85BBE564F4F6}"/>
    <hyperlink ref="I113" location="A127827004X" display="A127827004X" xr:uid="{70054A39-ED35-4863-AC1B-76452F826D9E}"/>
    <hyperlink ref="G116" location="A127832943T" display="A127832943T" xr:uid="{5AF5789B-E148-4421-BE11-1FD30A6EA350}"/>
    <hyperlink ref="H116" location="A127829973W" display="A127829973W" xr:uid="{B399AF23-37E2-4982-8E69-888470BC9FAB}"/>
    <hyperlink ref="I116" location="A127827003W" display="A127827003W" xr:uid="{A5D6450F-8E36-49ED-A6E9-F82D403D5D36}"/>
    <hyperlink ref="G121" location="A127832951T" display="A127832951T" xr:uid="{680FBB40-7E8F-43B3-B884-340C0C592F7A}"/>
    <hyperlink ref="H121" location="A127829981W" display="A127829981W" xr:uid="{961624F2-AB23-4BCD-81CB-AE8C315CD711}"/>
    <hyperlink ref="I121" location="A127827011W" display="A127827011W" xr:uid="{4CA00BC1-01E3-4660-876E-47D89B29BE6E}"/>
    <hyperlink ref="J126" location="A127833127L" display="A127833127L" xr:uid="{49278E36-7C0B-4F67-80EF-B2773579C2F7}"/>
    <hyperlink ref="K126" location="A127830157W" display="A127830157W" xr:uid="{01CC22FB-38DB-4A5B-A3FB-24F8D7786662}"/>
    <hyperlink ref="L126" location="A127827187A" display="A127827187A" xr:uid="{D2E0B33D-DD2C-4292-88BF-9DEDE98C651B}"/>
    <hyperlink ref="J127" location="A127833129T" display="A127833129T" xr:uid="{A63292A6-28B1-4018-85B7-31E0704B6A69}"/>
    <hyperlink ref="K127" location="A127830159A" display="A127830159A" xr:uid="{C09B4130-CABF-43F5-8C35-37556D140D0F}"/>
    <hyperlink ref="L127" location="A127827189F" display="A127827189F" xr:uid="{697FF2DF-C015-4D87-92E0-C5B099934379}"/>
    <hyperlink ref="J128" location="A127833128R" display="A127833128R" xr:uid="{0C305BDC-C3F2-46F8-B56E-6A78526B8B9A}"/>
    <hyperlink ref="K128" location="A127830158X" display="A127830158X" xr:uid="{B6394149-B414-428C-884C-F3BBF3E04ED3}"/>
    <hyperlink ref="L128" location="A127827188C" display="A127827188C" xr:uid="{414394E8-B5EA-4B92-8D6C-7266AABC55B3}"/>
    <hyperlink ref="J101" location="A127833122A" display="A127833122A" xr:uid="{8AA917B4-2739-442F-8D84-59DB91D2162E}"/>
    <hyperlink ref="K101" location="A127830152K" display="A127830152K" xr:uid="{EA44A81C-A9D5-40DA-94C4-A47E0261A109}"/>
    <hyperlink ref="L101" location="A127827182R" display="A127827182R" xr:uid="{28ABD0A1-C567-4E80-9D1F-5C39B61305E4}"/>
    <hyperlink ref="J102" location="A127833126K" display="A127833126K" xr:uid="{F883D753-E92F-4C96-A11B-E2C6B79E8D6E}"/>
    <hyperlink ref="K102" location="A127830156V" display="A127830156V" xr:uid="{33D4C577-B877-4CD1-81D1-D2335D06C207}"/>
    <hyperlink ref="L102" location="A127827186X" display="A127827186X" xr:uid="{1CAEB511-E570-4C51-936B-16E302BCF703}"/>
    <hyperlink ref="J103" location="A127833121X" display="A127833121X" xr:uid="{F552AD2C-8178-4086-910F-2D9DE902B93C}"/>
    <hyperlink ref="K103" location="A127830151J" display="A127830151J" xr:uid="{6C2AA81D-61AA-4BDB-B017-53B479E502F7}"/>
    <hyperlink ref="L103" location="A127827181L" display="A127827181L" xr:uid="{4C77F991-DE52-4895-BE07-4501E2D1363C}"/>
    <hyperlink ref="J104" location="A127833119L" display="A127833119L" xr:uid="{8C440F5E-9593-4CF8-AD5A-C5F0CBB5E78B}"/>
    <hyperlink ref="K104" location="A127830149W" display="A127830149W" xr:uid="{C262A892-0253-470B-B122-B03B7DE241B7}"/>
    <hyperlink ref="L104" location="A127827179A" display="A127827179A" xr:uid="{3ACFD0F6-7E74-493D-BA80-BC5BA0F15547}"/>
    <hyperlink ref="J105" location="A127833130A" display="A127833130A" xr:uid="{81D7FA3B-2C0E-46F0-9688-7A2440F73BBB}"/>
    <hyperlink ref="K105" location="A127830160K" display="A127830160K" xr:uid="{12B9E8A1-DC63-4B86-B493-37543B814C87}"/>
    <hyperlink ref="L105" location="A127827190R" display="A127827190R" xr:uid="{F5014520-CFBE-486B-922C-D3195295CD9A}"/>
    <hyperlink ref="J106" location="A127833118K" display="A127833118K" xr:uid="{9006B323-D8F0-4701-BAF0-745D21761EFE}"/>
    <hyperlink ref="K106" location="A127830148V" display="A127830148V" xr:uid="{FB65136F-CF09-4142-811C-C492D55F3911}"/>
    <hyperlink ref="L106" location="A127827178X" display="A127827178X" xr:uid="{9979B0AC-B350-4D96-9E47-7CEB8792FB01}"/>
    <hyperlink ref="J107" location="A127833125J" display="A127833125J" xr:uid="{AB7734D9-BAC5-4EBD-B97B-093D7149878B}"/>
    <hyperlink ref="K107" location="A127830155T" display="A127830155T" xr:uid="{CF8DFE14-A196-447D-A8E5-73DFE1905E62}"/>
    <hyperlink ref="L107" location="A127827185W" display="A127827185W" xr:uid="{74A447CD-E17B-4CA1-AAAF-47C37ACA86C8}"/>
    <hyperlink ref="J108" location="A127833120W" display="A127833120W" xr:uid="{5B9DF3B8-3AF8-4EC5-A93D-9C86182875C1}"/>
    <hyperlink ref="K108" location="A127830150F" display="A127830150F" xr:uid="{CDFF6667-DDB5-47B1-9D45-E132E1B0987E}"/>
    <hyperlink ref="L108" location="A127827180K" display="A127827180K" xr:uid="{B2F72790-7324-4B6A-8979-BDCC5C0AA25C}"/>
    <hyperlink ref="J109" location="A127833117J" display="A127833117J" xr:uid="{D16B6656-0108-4671-8B69-720762E2FE18}"/>
    <hyperlink ref="K109" location="A127830147T" display="A127830147T" xr:uid="{48AE27F2-36D5-4C78-AD56-EE783A3BF86A}"/>
    <hyperlink ref="L109" location="A127827177W" display="A127827177W" xr:uid="{E9440104-5E9C-4B43-989C-E858272AFB14}"/>
    <hyperlink ref="J113" location="A127833124F" display="A127833124F" xr:uid="{7B499A3D-8F94-4B36-AB60-175E18860917}"/>
    <hyperlink ref="K113" location="A127830154R" display="A127830154R" xr:uid="{9C06954C-2FF3-41A1-B123-7DEA6CDCED00}"/>
    <hyperlink ref="L113" location="A127827184V" display="A127827184V" xr:uid="{1269D05A-F9F3-4CA8-B4EB-AF6B8B09D7BF}"/>
    <hyperlink ref="J116" location="A127833123C" display="A127833123C" xr:uid="{489801AE-7DB4-4B51-A784-2EDF8B0CB660}"/>
    <hyperlink ref="K116" location="A127830153L" display="A127830153L" xr:uid="{CB409A68-409F-4123-BAB3-678BE9DC27CA}"/>
    <hyperlink ref="L116" location="A127827183T" display="A127827183T" xr:uid="{77DF3E59-E331-449B-9C7D-D7CC86CBA954}"/>
    <hyperlink ref="J121" location="A127833131C" display="A127833131C" xr:uid="{828D003C-DFB3-4A21-AE74-28ECEC910E35}"/>
    <hyperlink ref="K121" location="A127830161L" display="A127830161L" xr:uid="{577A2A53-EB5E-4288-8A2F-BDFE289D931D}"/>
    <hyperlink ref="L121" location="A127827191T" display="A127827191T" xr:uid="{6CE837B0-7A01-44C7-B14A-0F486471EA34}"/>
    <hyperlink ref="M126" location="A127833067W" display="A127833067W" xr:uid="{FF7D7A2A-1779-40DF-A50A-4BE2042F56B2}"/>
    <hyperlink ref="N126" location="A127830097F" display="A127830097F" xr:uid="{C0A78D21-898D-4967-B1C9-36478F7F19B4}"/>
    <hyperlink ref="O126" location="A127827127X" display="A127827127X" xr:uid="{B21687ED-ACC9-4995-9CEC-48DEE84671BF}"/>
    <hyperlink ref="M127" location="A127833069A" display="A127833069A" xr:uid="{DF40A83D-7F34-40E5-A986-973D84EF7BA3}"/>
    <hyperlink ref="N127" location="A127830099K" display="A127830099K" xr:uid="{90A89377-21DD-44BD-805F-8933A06B384F}"/>
    <hyperlink ref="O127" location="A127827129C" display="A127827129C" xr:uid="{2591F278-AA22-4F68-AE7E-AB07DEA39273}"/>
    <hyperlink ref="M128" location="A127833068X" display="A127833068X" xr:uid="{EC9308A5-1AE0-4042-8CBC-C7518E5E84DC}"/>
    <hyperlink ref="N128" location="A127830098J" display="A127830098J" xr:uid="{01635498-8ED9-4B7D-B558-37F30627704B}"/>
    <hyperlink ref="O128" location="A127827128A" display="A127827128A" xr:uid="{92E9A661-587B-4913-BCCA-AA4D8F660415}"/>
    <hyperlink ref="M101" location="A127833062K" display="A127833062K" xr:uid="{9D15EF02-DD78-49DD-ACDB-1B5A6A901580}"/>
    <hyperlink ref="N101" location="A127830092V" display="A127830092V" xr:uid="{6F84A4F0-0E88-4675-8DCF-77DEF6D2F399}"/>
    <hyperlink ref="O101" location="A127827122L" display="A127827122L" xr:uid="{D70AC6C7-6F81-4A72-A073-525AC24163F3}"/>
    <hyperlink ref="M102" location="A127833066V" display="A127833066V" xr:uid="{30FCD7CB-955F-4631-BCE3-445BE2E75D63}"/>
    <hyperlink ref="N102" location="A127830096C" display="A127830096C" xr:uid="{53D745F7-EEEC-4C29-910C-327A60EC95A4}"/>
    <hyperlink ref="O102" location="A127827126W" display="A127827126W" xr:uid="{0843B040-59C6-4BD5-8617-C35F11E24C72}"/>
    <hyperlink ref="M103" location="A127833061J" display="A127833061J" xr:uid="{7F03B575-4665-4FC8-B18C-27B42BF747AA}"/>
    <hyperlink ref="N103" location="A127830091T" display="A127830091T" xr:uid="{1FCA6966-7AAD-4329-9010-85B10F25960A}"/>
    <hyperlink ref="O103" location="A127827121K" display="A127827121K" xr:uid="{84B300E4-B1F3-49EC-B6D6-25620DBAF2A8}"/>
    <hyperlink ref="M104" location="A127833059W" display="A127833059W" xr:uid="{E3E23C8B-A643-40B4-BD79-E237B27BC768}"/>
    <hyperlink ref="N104" location="A127830089F" display="A127830089F" xr:uid="{2E015968-D7F2-4091-97D6-336CE3370955}"/>
    <hyperlink ref="O104" location="A127827119X" display="A127827119X" xr:uid="{4BA4B889-BC57-40AB-ADFA-8EFBF37467BC}"/>
    <hyperlink ref="M105" location="A127833070K" display="A127833070K" xr:uid="{704E267E-9A2D-4FC6-B408-E031FEDA4A04}"/>
    <hyperlink ref="N105" location="A127830100J" display="A127830100J" xr:uid="{6CFD0EAB-949C-4BCD-8EE6-B6B3638EEBB2}"/>
    <hyperlink ref="O105" location="A127827130L" display="A127827130L" xr:uid="{B1F67FD3-C410-4D10-8D14-6A2677D2DCE5}"/>
    <hyperlink ref="M106" location="A127833058V" display="A127833058V" xr:uid="{22B6F62A-F77B-4A54-9EE9-94A5E83075DC}"/>
    <hyperlink ref="N106" location="A127830088C" display="A127830088C" xr:uid="{C71FC181-8740-461C-AF9C-CEBBDD3DCD4A}"/>
    <hyperlink ref="O106" location="A127827118W" display="A127827118W" xr:uid="{09646645-1A28-4D57-8C8C-24D1C873CB99}"/>
    <hyperlink ref="M107" location="A127833065T" display="A127833065T" xr:uid="{090FC801-D4F7-4357-A055-D052B28BBE99}"/>
    <hyperlink ref="N107" location="A127830095A" display="A127830095A" xr:uid="{583D0B43-B6DA-4312-802A-07D077D686C5}"/>
    <hyperlink ref="O107" location="A127827125V" display="A127827125V" xr:uid="{0EA365C3-3499-4BE0-AE0C-ACE36477A5A5}"/>
    <hyperlink ref="M108" location="A127833060F" display="A127833060F" xr:uid="{80049242-BE89-4433-89FF-70F271E29692}"/>
    <hyperlink ref="N108" location="A127830090R" display="A127830090R" xr:uid="{8585BE32-0068-4963-9380-EA20B635C368}"/>
    <hyperlink ref="O108" location="A127827120J" display="A127827120J" xr:uid="{99E429D8-49B1-430F-916C-DE2E958AC493}"/>
    <hyperlink ref="M109" location="A127833057T" display="A127833057T" xr:uid="{486F5AA6-F607-440A-83EB-8373686F680E}"/>
    <hyperlink ref="N109" location="A127830087A" display="A127830087A" xr:uid="{D9AEECDB-BE17-40EA-A638-EDB1E6B973D6}"/>
    <hyperlink ref="O109" location="A127827117V" display="A127827117V" xr:uid="{2406676B-5735-4315-A75A-B2D1373029CD}"/>
    <hyperlink ref="M113" location="A127833064R" display="A127833064R" xr:uid="{D7BEE5F0-3B0E-4209-A8B3-37FED1FC2363}"/>
    <hyperlink ref="N113" location="A127830094X" display="A127830094X" xr:uid="{ACF2247F-44F8-4078-B540-EB2334C6D225}"/>
    <hyperlink ref="O113" location="A127827124T" display="A127827124T" xr:uid="{23E95B2F-C136-442F-8B13-AEF0C6081E62}"/>
    <hyperlink ref="M116" location="A127833063L" display="A127833063L" xr:uid="{BB384C34-052B-4859-BD01-F33B31C4B691}"/>
    <hyperlink ref="N116" location="A127830093W" display="A127830093W" xr:uid="{6EF8755B-B677-4AC5-9B19-679C7648D56A}"/>
    <hyperlink ref="O116" location="A127827123R" display="A127827123R" xr:uid="{BB7AB3A6-5358-41CF-AFE6-28030593B551}"/>
    <hyperlink ref="M121" location="A127833071L" display="A127833071L" xr:uid="{D6D67F17-EF9F-42F7-B4C7-0B726A21C814}"/>
    <hyperlink ref="N121" location="A127830101K" display="A127830101K" xr:uid="{FEA43B2C-B2C9-4A0B-AF1A-96A82339895F}"/>
    <hyperlink ref="O121" location="A127827131R" display="A127827131R" xr:uid="{1EC6DACC-BD4F-458C-AF36-8322D87F75FB}"/>
    <hyperlink ref="P126" location="A127833037J" display="A127833037J" xr:uid="{992C6B1A-EF96-4F8A-808D-72624435076A}"/>
    <hyperlink ref="Q126" location="A127830067T" display="A127830067T" xr:uid="{A1E3FAFF-3B5D-4855-8A93-BF77EF485A69}"/>
    <hyperlink ref="R126" location="A127827097W" display="A127827097W" xr:uid="{C0C59EFA-8DBB-4B22-924E-053862C42A65}"/>
    <hyperlink ref="P127" location="A127833039L" display="A127833039L" xr:uid="{8CD4380A-1C87-47B3-B5D8-00B7930A359F}"/>
    <hyperlink ref="Q127" location="A127830069W" display="A127830069W" xr:uid="{EEFBCE77-FA3D-49D8-A11F-98A7ED84CC9F}"/>
    <hyperlink ref="R127" location="A127827099A" display="A127827099A" xr:uid="{EF7830F8-BD99-4035-8334-37A0F94BCF5C}"/>
    <hyperlink ref="P128" location="A127833038K" display="A127833038K" xr:uid="{C33BE8AB-24D7-4804-B7C1-4E68F1C7BBB7}"/>
    <hyperlink ref="Q128" location="A127830068V" display="A127830068V" xr:uid="{D37FBF75-8BE9-49D3-B0D8-44087D055AB0}"/>
    <hyperlink ref="R128" location="A127827098X" display="A127827098X" xr:uid="{494D6763-782D-42F4-AD01-1B1D45669C8A}"/>
    <hyperlink ref="P101" location="A127833032W" display="A127833032W" xr:uid="{16D1A0E0-02C4-411A-B879-1942F52597CA}"/>
    <hyperlink ref="Q101" location="A127830062F" display="A127830062F" xr:uid="{44764F5B-F940-40A8-9187-8863892C3B34}"/>
    <hyperlink ref="R101" location="A127827092K" display="A127827092K" xr:uid="{8FA95CCA-3D26-4902-BD28-E17FA9747889}"/>
    <hyperlink ref="P102" location="A127833036F" display="A127833036F" xr:uid="{D133511E-E314-4904-99C1-EE7674F32678}"/>
    <hyperlink ref="Q102" location="A127830066R" display="A127830066R" xr:uid="{FE89A4D7-D2C8-44A0-B4B7-32BA1BAD3E89}"/>
    <hyperlink ref="R102" location="A127827096V" display="A127827096V" xr:uid="{204B718B-628C-419D-8716-C8F80CE4FDC6}"/>
    <hyperlink ref="P103" location="A127833031V" display="A127833031V" xr:uid="{B354F9D7-B1A0-49E6-B890-50109FE497B6}"/>
    <hyperlink ref="Q103" location="A127830061C" display="A127830061C" xr:uid="{52EE41C3-8252-4DDB-AEB1-B41381847644}"/>
    <hyperlink ref="R103" location="A127827091J" display="A127827091J" xr:uid="{EC594BD3-2255-4124-8CB9-0C4C415C0415}"/>
    <hyperlink ref="P104" location="A127833029J" display="A127833029J" xr:uid="{CFB049F4-541C-4B59-B71A-A9E207D9165C}"/>
    <hyperlink ref="Q104" location="A127830059T" display="A127830059T" xr:uid="{BEEA7417-19D9-4AF8-B8FC-CFF65F18FC62}"/>
    <hyperlink ref="R104" location="A127827089W" display="A127827089W" xr:uid="{D2196B2D-E68D-47B2-8B53-9B82A64A09CB}"/>
    <hyperlink ref="P105" location="A127833040W" display="A127833040W" xr:uid="{A17ADE36-2827-409E-BBEF-2A604C50AB04}"/>
    <hyperlink ref="Q105" location="A127830070F" display="A127830070F" xr:uid="{C8D6859B-9740-49EE-84D0-5814ACCF2E71}"/>
    <hyperlink ref="R105" location="A127827100X" display="A127827100X" xr:uid="{031BC206-6811-4D94-9C37-1DACF6E4766C}"/>
    <hyperlink ref="P106" location="A127833028F" display="A127833028F" xr:uid="{AB6169EA-A857-4176-9835-B2ADD62E4E0B}"/>
    <hyperlink ref="Q106" location="A127830058R" display="A127830058R" xr:uid="{362D0401-5B18-4374-B176-34B778E39133}"/>
    <hyperlink ref="R106" location="A127827088V" display="A127827088V" xr:uid="{59D5030E-7909-446C-AB53-294C24C5401F}"/>
    <hyperlink ref="P107" location="A127833035C" display="A127833035C" xr:uid="{487FE8F5-424D-42B7-9053-5DD50BE9FBEB}"/>
    <hyperlink ref="Q107" location="A127830065L" display="A127830065L" xr:uid="{BE6B667D-DB62-4574-990A-731D458ED731}"/>
    <hyperlink ref="R107" location="A127827095T" display="A127827095T" xr:uid="{BF01D67E-7FB7-4F40-9068-C44BD0D0147A}"/>
    <hyperlink ref="P108" location="A127833030T" display="A127833030T" xr:uid="{66193AE7-9FD6-490D-B567-E8FDFBF61614}"/>
    <hyperlink ref="Q108" location="A127830060A" display="A127830060A" xr:uid="{97A596E0-5165-434E-88BE-3B3B23747B4A}"/>
    <hyperlink ref="R108" location="A127827090F" display="A127827090F" xr:uid="{B0933CD5-7158-4D93-A138-912714D8C288}"/>
    <hyperlink ref="P109" location="A127833027C" display="A127833027C" xr:uid="{99C58620-BE8C-4585-8C9B-423A3FFF117B}"/>
    <hyperlink ref="Q109" location="A127830057L" display="A127830057L" xr:uid="{054FCCED-C631-45F3-BB65-A72FC423402D}"/>
    <hyperlink ref="R109" location="A127827087T" display="A127827087T" xr:uid="{F7D6CA9A-9B73-4E2F-AA69-CBED3EE286F9}"/>
    <hyperlink ref="P113" location="A127833034A" display="A127833034A" xr:uid="{CCE44DAE-9797-484D-94C7-2F66EA3AD646}"/>
    <hyperlink ref="Q113" location="A127830064K" display="A127830064K" xr:uid="{447001C2-EBBB-439D-BB1D-24EE803B946A}"/>
    <hyperlink ref="R113" location="A127827094R" display="A127827094R" xr:uid="{165101C3-500D-447D-9F5E-829588D3295A}"/>
    <hyperlink ref="P116" location="A127833033X" display="A127833033X" xr:uid="{17FF5722-6F08-42A6-A46F-FED5AB8A6B93}"/>
    <hyperlink ref="Q116" location="A127830063J" display="A127830063J" xr:uid="{387DB890-51DF-442B-BEAC-F659F2900D91}"/>
    <hyperlink ref="R116" location="A127827093L" display="A127827093L" xr:uid="{17FD62BE-2242-47F7-9EE9-0C575816E712}"/>
    <hyperlink ref="P121" location="A127833041X" display="A127833041X" xr:uid="{E1F5C34D-B6D4-417D-A4CF-D845C328C63A}"/>
    <hyperlink ref="Q121" location="A127830071J" display="A127830071J" xr:uid="{AC074FAC-FB17-46C7-8F04-896FCA2E508F}"/>
    <hyperlink ref="R121" location="A127827101A" display="A127827101A" xr:uid="{19B8F242-87B2-4435-AF0D-67ECAF4F1006}"/>
    <hyperlink ref="S126" location="A127833217T" display="A127833217T" xr:uid="{1FB8EF12-06C1-429E-A392-419FAE587D42}"/>
    <hyperlink ref="T126" location="A127830247A" display="A127830247A" xr:uid="{12FA115F-37BF-4F02-BDF2-592A4C276081}"/>
    <hyperlink ref="U126" location="A127827277F" display="A127827277F" xr:uid="{49FB50CD-2B89-4412-A01F-09A02BBB6462}"/>
    <hyperlink ref="S127" location="A127833219W" display="A127833219W" xr:uid="{7A17E47E-60C1-4A33-B63F-EDAC67C5A39B}"/>
    <hyperlink ref="T127" location="A127830249F" display="A127830249F" xr:uid="{5C88712B-292B-47FB-A0BE-DD290E834EDB}"/>
    <hyperlink ref="U127" location="A127827279K" display="A127827279K" xr:uid="{C21A8294-E6A2-4509-B789-41EA3192F99B}"/>
    <hyperlink ref="S128" location="A127833218V" display="A127833218V" xr:uid="{4597C779-F271-47F3-8ED7-62585C5F3445}"/>
    <hyperlink ref="T128" location="A127830248C" display="A127830248C" xr:uid="{2169D085-96B1-489E-8BAE-760A0924B23D}"/>
    <hyperlink ref="U128" location="A127827278J" display="A127827278J" xr:uid="{338BE2C1-AB9C-473A-B7BA-5F98D7446A84}"/>
    <hyperlink ref="S101" location="A127833212F" display="A127833212F" xr:uid="{0D56E292-7D31-4DA8-AF7C-D336AFC5E46A}"/>
    <hyperlink ref="T101" location="A127830242R" display="A127830242R" xr:uid="{CB370E6D-D3E1-4EA3-944E-3006F6AF1EDF}"/>
    <hyperlink ref="U101" location="A127827272V" display="A127827272V" xr:uid="{9296EEDA-B62B-43E6-B1F6-F2EFF4EAD474}"/>
    <hyperlink ref="S102" location="A127833216R" display="A127833216R" xr:uid="{C20154FB-C49E-45F9-AA3E-5D390B0CC067}"/>
    <hyperlink ref="T102" location="A127830246X" display="A127830246X" xr:uid="{DA4F816C-9A3A-45C4-BE57-0DDC6CE984FF}"/>
    <hyperlink ref="U102" location="A127827276C" display="A127827276C" xr:uid="{5403B62A-4631-4845-BF26-A59008996F2E}"/>
    <hyperlink ref="S103" location="A127833211C" display="A127833211C" xr:uid="{EB96A96F-22BE-4E17-9A31-7D074578799B}"/>
    <hyperlink ref="T103" location="A127830241L" display="A127830241L" xr:uid="{3746B7F7-146B-469A-BEEA-FDB505D4BB58}"/>
    <hyperlink ref="U103" location="A127827271T" display="A127827271T" xr:uid="{35B44CA0-2418-417B-A10C-3982880E2703}"/>
    <hyperlink ref="S104" location="A127833209T" display="A127833209T" xr:uid="{FB44C4EF-892C-4FF2-AB02-1E794E056F29}"/>
    <hyperlink ref="T104" location="A127830239A" display="A127830239A" xr:uid="{72BC49AE-2E5A-4575-B1EB-B1744ACAD357}"/>
    <hyperlink ref="U104" location="A127827269F" display="A127827269F" xr:uid="{08D8B332-1D6F-47C6-8509-5DD497402A8C}"/>
    <hyperlink ref="S105" location="A127833220F" display="A127833220F" xr:uid="{273926D1-FF18-49AC-BA6F-FC4C8ECF28F4}"/>
    <hyperlink ref="T105" location="A127830250R" display="A127830250R" xr:uid="{E57BACB3-9230-4723-BEB4-7BC679B2D54B}"/>
    <hyperlink ref="U105" location="A127827280V" display="A127827280V" xr:uid="{C618B6E7-F653-4512-916A-0A9640641324}"/>
    <hyperlink ref="S106" location="A127833208R" display="A127833208R" xr:uid="{14ACC3CE-1B25-45B4-B203-EA3CA2BC794F}"/>
    <hyperlink ref="T106" location="A127830238X" display="A127830238X" xr:uid="{96A3B090-4D53-4C34-AC1C-5664A9F325D1}"/>
    <hyperlink ref="U106" location="A127827268C" display="A127827268C" xr:uid="{3C9F8F38-B83F-4796-889F-F69D97E14B79}"/>
    <hyperlink ref="S107" location="A127833215L" display="A127833215L" xr:uid="{9630EE6F-C5BB-4314-83E2-729A7E3B8AFF}"/>
    <hyperlink ref="T107" location="A127830245W" display="A127830245W" xr:uid="{0AC2657B-3F9E-452A-BFCE-82254AC3BACC}"/>
    <hyperlink ref="U107" location="A127827275A" display="A127827275A" xr:uid="{6328F499-5EA9-4705-8C70-1C3E4FE61325}"/>
    <hyperlink ref="S108" location="A127833210A" display="A127833210A" xr:uid="{8C7E4DE5-8BEC-4577-BEFC-B9E536D2D591}"/>
    <hyperlink ref="T108" location="A127830240K" display="A127830240K" xr:uid="{E30E8AA9-A7F1-45D0-96E7-355A8CE5A052}"/>
    <hyperlink ref="U108" location="A127827270R" display="A127827270R" xr:uid="{F6E8E2B6-EFCC-4020-BF14-C3A37080BE48}"/>
    <hyperlink ref="S109" location="A127833207L" display="A127833207L" xr:uid="{C97B4732-6970-43B9-8B38-33CDA86680C7}"/>
    <hyperlink ref="T109" location="A127830237W" display="A127830237W" xr:uid="{A30D523A-56F0-48D5-B29C-B83DD7897392}"/>
    <hyperlink ref="U109" location="A127827267A" display="A127827267A" xr:uid="{9672D20C-9473-4FC8-AC3E-DE0067099A00}"/>
    <hyperlink ref="S113" location="A127833214K" display="A127833214K" xr:uid="{C932BEBD-E8BB-4243-A67B-64E045EF52AB}"/>
    <hyperlink ref="T113" location="A127830244V" display="A127830244V" xr:uid="{D95FC88E-B1C6-41A6-9277-85CF3464BCF5}"/>
    <hyperlink ref="U113" location="A127827274X" display="A127827274X" xr:uid="{D9E88084-8554-4EAB-8621-0638F3D87014}"/>
    <hyperlink ref="S116" location="A127833213J" display="A127833213J" xr:uid="{3E6DC740-22AA-449A-94D4-ECC424DEB292}"/>
    <hyperlink ref="T116" location="A127830243T" display="A127830243T" xr:uid="{1D64396F-7C04-43E3-B68C-E78C060478FD}"/>
    <hyperlink ref="U116" location="A127827273W" display="A127827273W" xr:uid="{E464282C-1953-4C21-8F32-EC673E12A063}"/>
    <hyperlink ref="S121" location="A127833221J" display="A127833221J" xr:uid="{DDA95FFD-BB29-4584-83C2-03DD638B29E8}"/>
    <hyperlink ref="T121" location="A127830251T" display="A127830251T" xr:uid="{B512125C-919E-4C79-B4F5-FB55216F5219}"/>
    <hyperlink ref="U121" location="A127827281W" display="A127827281W" xr:uid="{BF9F03F5-19B3-4BC5-8FB3-7DC0D0A7F680}"/>
    <hyperlink ref="V126" location="A127833247F" display="A127833247F" xr:uid="{EE7A2E34-B95F-462C-AF79-E707A585822A}"/>
    <hyperlink ref="W126" location="A127830277R" display="A127830277R" xr:uid="{E8D2250A-0FE4-402A-87C7-2838E4C8DD46}"/>
    <hyperlink ref="X126" location="A127827307J" display="A127827307J" xr:uid="{E6D6BE81-47D7-4C0D-99A9-4CE22CA00409}"/>
    <hyperlink ref="V127" location="A127833249K" display="A127833249K" xr:uid="{D1D52800-1133-4D38-A135-A8E93A4074E0}"/>
    <hyperlink ref="W127" location="A127830279V" display="A127830279V" xr:uid="{15677C31-7394-4849-8C4A-8DC34CBC8B05}"/>
    <hyperlink ref="X127" location="A127827309L" display="A127827309L" xr:uid="{A700A153-3470-4CA3-AD1C-461A921DFEE1}"/>
    <hyperlink ref="V128" location="A127833248J" display="A127833248J" xr:uid="{6A9DA0AE-5BD7-4E28-ABD8-330CE0A96D23}"/>
    <hyperlink ref="W128" location="A127830278T" display="A127830278T" xr:uid="{2D2FA6AD-F470-40DD-97FF-E9C32E11304A}"/>
    <hyperlink ref="X128" location="A127827308K" display="A127827308K" xr:uid="{D1AE9F32-2AAD-4AE0-B2A5-6CE486FB7DAF}"/>
    <hyperlink ref="V101" location="A127833242V" display="A127833242V" xr:uid="{55EA2E43-FE66-4E42-9077-5ADF436AB231}"/>
    <hyperlink ref="W101" location="A127830272C" display="A127830272C" xr:uid="{284081E9-B12F-4CF7-897E-83ECB1DA05CA}"/>
    <hyperlink ref="X101" location="A127827302W" display="A127827302W" xr:uid="{2AFEA0FE-E03F-44A1-BA55-E835D41E344F}"/>
    <hyperlink ref="V102" location="A127833246C" display="A127833246C" xr:uid="{EF737D3F-ACB6-4CEB-899A-5E5FE4BF2E23}"/>
    <hyperlink ref="W102" location="A127830276L" display="A127830276L" xr:uid="{F1CA979A-A485-41FA-9CE6-ADB46F870585}"/>
    <hyperlink ref="X102" location="A127827306F" display="A127827306F" xr:uid="{1404F458-459E-46A8-97B7-BB3C3422A688}"/>
    <hyperlink ref="V103" location="A127833241T" display="A127833241T" xr:uid="{9246FA75-EF1F-4D4D-AC86-59373E4E056D}"/>
    <hyperlink ref="W103" location="A127830271A" display="A127830271A" xr:uid="{6A5AC453-56B0-40A0-9CD2-DECD4B3844AE}"/>
    <hyperlink ref="X103" location="A127827301V" display="A127827301V" xr:uid="{C3301447-E87D-49E4-8048-956EEA49CD46}"/>
    <hyperlink ref="V104" location="A127833239F" display="A127833239F" xr:uid="{A9CEA80A-AE43-43A9-A81A-F59877F7E88E}"/>
    <hyperlink ref="W104" location="A127830269R" display="A127830269R" xr:uid="{8696EEB4-4BB9-4E21-820F-970A616BC36F}"/>
    <hyperlink ref="X104" location="A127827299V" display="A127827299V" xr:uid="{2CF282B4-1CB0-41AD-A99E-6B2EC3856EAE}"/>
    <hyperlink ref="V105" location="A127833250V" display="A127833250V" xr:uid="{275F8077-7F62-48E4-9912-AC6C276A454E}"/>
    <hyperlink ref="W105" location="A127830280C" display="A127830280C" xr:uid="{B5723E28-1673-4F0F-A6CE-E23C666DF5FA}"/>
    <hyperlink ref="X105" location="A127827310W" display="A127827310W" xr:uid="{1AB55150-8609-4507-92F2-BD8CC08BCFC2}"/>
    <hyperlink ref="V106" location="A127833238C" display="A127833238C" xr:uid="{8E11E272-10A5-4E69-B95C-0847AED271B8}"/>
    <hyperlink ref="W106" location="A127830268L" display="A127830268L" xr:uid="{8B5F0CC1-73F6-4C89-AB02-1A4829C896F6}"/>
    <hyperlink ref="X106" location="A127827298T" display="A127827298T" xr:uid="{69995EDB-6BB1-4125-8AEB-4329E11998B0}"/>
    <hyperlink ref="V107" location="A127833245A" display="A127833245A" xr:uid="{A9F58295-E664-47E7-A575-44A321DA92FF}"/>
    <hyperlink ref="W107" location="A127830275K" display="A127830275K" xr:uid="{F1B66FDE-48D2-479F-A6E2-1D1EC3BB6B94}"/>
    <hyperlink ref="X107" location="A127827305C" display="A127827305C" xr:uid="{7B0AB61A-01F0-4478-BB57-38E20B777967}"/>
    <hyperlink ref="V108" location="A127833240R" display="A127833240R" xr:uid="{07624136-076B-4DC8-9C8E-92B561ACD481}"/>
    <hyperlink ref="W108" location="A127830270X" display="A127830270X" xr:uid="{F80859C8-964C-44E4-A70B-F398F5E77056}"/>
    <hyperlink ref="X108" location="A127827300T" display="A127827300T" xr:uid="{A2D0263D-64DF-47EA-9AF1-F49CC13AB141}"/>
    <hyperlink ref="V109" location="A127833237A" display="A127833237A" xr:uid="{8DC15D4F-A4D7-4351-B6C9-76EF21BCCAFB}"/>
    <hyperlink ref="W109" location="A127830267K" display="A127830267K" xr:uid="{202DC575-F2E3-470C-ACFD-E979CF33CCF5}"/>
    <hyperlink ref="X109" location="A127827297R" display="A127827297R" xr:uid="{ADFBE695-06E2-4A5B-B3CA-A91676DA00A5}"/>
    <hyperlink ref="V113" location="A127833244X" display="A127833244X" xr:uid="{D71A7F26-9CE3-43E3-8C30-663CD75AF5AB}"/>
    <hyperlink ref="W113" location="A127830274J" display="A127830274J" xr:uid="{0C10EB67-D92C-4918-A70A-314756B199F9}"/>
    <hyperlink ref="X113" location="A127827304A" display="A127827304A" xr:uid="{7768C5AC-ED2D-4261-A487-215D573117BD}"/>
    <hyperlink ref="V116" location="A127833243W" display="A127833243W" xr:uid="{86B88D7A-9A8D-403A-87C9-CE5148B5AA53}"/>
    <hyperlink ref="W116" location="A127830273F" display="A127830273F" xr:uid="{585673AD-3D49-40E5-9002-A50BD3D0493B}"/>
    <hyperlink ref="X116" location="A127827303X" display="A127827303X" xr:uid="{10613B71-FFFF-4C44-96D5-8E49F62A1F3D}"/>
    <hyperlink ref="V121" location="A127833251W" display="A127833251W" xr:uid="{240C756C-6CCB-4415-B872-221A83F27BE0}"/>
    <hyperlink ref="W121" location="A127830281F" display="A127830281F" xr:uid="{ABF68EBD-27AF-4FF4-9384-9B033A822DEE}"/>
    <hyperlink ref="X121" location="A127827311X" display="A127827311X" xr:uid="{F53424AC-867C-4081-A08C-AA6092D04978}"/>
    <hyperlink ref="Y126" location="A127833157A" display="A127833157A" xr:uid="{5AE233A1-7422-4C3B-8238-17866FC09229}"/>
    <hyperlink ref="Z126" location="A127830187K" display="A127830187K" xr:uid="{2E60D3A8-56DF-461A-8383-5AADBB6A21AF}"/>
    <hyperlink ref="AA126" location="A127827217C" display="A127827217C" xr:uid="{93918CC5-D32A-480A-9B51-6E22AA65B522}"/>
    <hyperlink ref="Y127" location="A127833159F" display="A127833159F" xr:uid="{A3530D79-9E16-4CF9-8228-AF4692389B03}"/>
    <hyperlink ref="Z127" location="A127830189R" display="A127830189R" xr:uid="{ECC3012B-1F19-454F-8330-C79B7DE60806}"/>
    <hyperlink ref="AA127" location="A127827219J" display="A127827219J" xr:uid="{8159BDC3-5E70-4341-9427-ACFEBBB65164}"/>
    <hyperlink ref="Y128" location="A127833158C" display="A127833158C" xr:uid="{C513AC5D-8EA2-4A25-B9E5-3143471E2EA7}"/>
    <hyperlink ref="Z128" location="A127830188L" display="A127830188L" xr:uid="{BDEFB7F9-FABA-4A6D-965F-E2678459BAED}"/>
    <hyperlink ref="AA128" location="A127827218F" display="A127827218F" xr:uid="{389D3CE0-9144-42E0-B6A0-96014D44CB3D}"/>
    <hyperlink ref="Y101" location="A127833152R" display="A127833152R" xr:uid="{7160A5BF-7D96-49DB-B148-BF6B5704AF39}"/>
    <hyperlink ref="Z101" location="A127830182X" display="A127830182X" xr:uid="{0AEA328D-F145-4FCD-923F-5D383783BF69}"/>
    <hyperlink ref="AA101" location="A127827212T" display="A127827212T" xr:uid="{7BADA224-3249-433C-9ABA-4086F5B702E8}"/>
    <hyperlink ref="Y102" location="A127833156X" display="A127833156X" xr:uid="{AC810630-8743-43FA-8C81-FA1062493F69}"/>
    <hyperlink ref="Z102" location="A127830186J" display="A127830186J" xr:uid="{7E14E5FA-6893-4CBF-91A6-9D3C15C7010F}"/>
    <hyperlink ref="AA102" location="A127827216A" display="A127827216A" xr:uid="{457F3264-4FD1-4B3A-9B22-613B054185F8}"/>
    <hyperlink ref="Y103" location="A127833151L" display="A127833151L" xr:uid="{60FB49B5-9320-4A02-ADD1-C75BF5CE8EEB}"/>
    <hyperlink ref="Z103" location="A127830181W" display="A127830181W" xr:uid="{D31E699E-682C-4161-813A-1D11865C0881}"/>
    <hyperlink ref="AA103" location="A127827211R" display="A127827211R" xr:uid="{255F55FA-73C0-4F05-92E7-37D26276ECEA}"/>
    <hyperlink ref="Y104" location="A127833149A" display="A127833149A" xr:uid="{8CEC2537-A6D9-4FFA-8E6A-6F0C2A3D5EB3}"/>
    <hyperlink ref="Z104" location="A127830179K" display="A127830179K" xr:uid="{F40A189A-0287-408E-B27B-336DDA85787D}"/>
    <hyperlink ref="AA104" location="A127827209C" display="A127827209C" xr:uid="{2E8C084F-7C62-4158-81BC-74672436EBF4}"/>
    <hyperlink ref="Y105" location="A127833160R" display="A127833160R" xr:uid="{0FE22E40-1F6D-4A6A-B136-3DBDD8BDBF32}"/>
    <hyperlink ref="Z105" location="A127830190X" display="A127830190X" xr:uid="{9DC679BE-8C2A-4F66-A62A-797265EF1FDC}"/>
    <hyperlink ref="AA105" location="A127827220T" display="A127827220T" xr:uid="{99C99E05-3BFD-4892-9579-35BA83B09632}"/>
    <hyperlink ref="Y106" location="A127833148X" display="A127833148X" xr:uid="{A8B70F42-DC31-4E7C-B251-0DD4E639D7E8}"/>
    <hyperlink ref="Z106" location="A127830178J" display="A127830178J" xr:uid="{8DC9CAC9-4F7B-4250-B446-9DD16B624364}"/>
    <hyperlink ref="AA106" location="A127827208A" display="A127827208A" xr:uid="{FC22949F-5514-48BC-8251-7E23B2AA558E}"/>
    <hyperlink ref="Y107" location="A127833155W" display="A127833155W" xr:uid="{755FD53F-34F9-4885-AF23-7A7C2C6B7658}"/>
    <hyperlink ref="Z107" location="A127830185F" display="A127830185F" xr:uid="{EAF3EAF1-7E04-42F3-BA9F-0581E5000C0C}"/>
    <hyperlink ref="AA107" location="A127827215X" display="A127827215X" xr:uid="{AE19B8D2-C108-4216-87E9-81175322FFAF}"/>
    <hyperlink ref="Y108" location="A127833150K" display="A127833150K" xr:uid="{799F533C-1FC9-49DF-A2B7-2C483DE8BDDC}"/>
    <hyperlink ref="Z108" location="A127830180V" display="A127830180V" xr:uid="{919FF095-1E50-4AAD-9EEF-364F5C64BD19}"/>
    <hyperlink ref="AA108" location="A127827210L" display="A127827210L" xr:uid="{4C0D11CE-C845-427D-9141-C16035A08E83}"/>
    <hyperlink ref="Y109" location="A127833147W" display="A127833147W" xr:uid="{64A79B1B-6CAB-49EC-BE2A-14A7064424D5}"/>
    <hyperlink ref="Z109" location="A127830177F" display="A127830177F" xr:uid="{7941398D-986B-4022-8E3E-6179F96D3287}"/>
    <hyperlink ref="AA109" location="A127827207X" display="A127827207X" xr:uid="{B0109CC8-AF0C-4BA7-9702-9419CE1D35D0}"/>
    <hyperlink ref="Y113" location="A127833154V" display="A127833154V" xr:uid="{1330DF20-CEC1-45E7-871D-A644749C9DA5}"/>
    <hyperlink ref="Z113" location="A127830184C" display="A127830184C" xr:uid="{3AA0ED09-5EBF-4A4A-BA91-626425B65F75}"/>
    <hyperlink ref="AA113" location="A127827214W" display="A127827214W" xr:uid="{3453FF4E-B6B3-4288-A420-E581EDD13CB6}"/>
    <hyperlink ref="Y116" location="A127833153T" display="A127833153T" xr:uid="{9D7E0E53-0A8C-44DE-9BDD-358E7A76012B}"/>
    <hyperlink ref="Z116" location="A127830183A" display="A127830183A" xr:uid="{AC43EBF8-281F-4B98-A492-A0CC0F325EB2}"/>
    <hyperlink ref="AA116" location="A127827213V" display="A127827213V" xr:uid="{106C15A8-6B05-4EC9-B50E-F130E38295E9}"/>
    <hyperlink ref="Y121" location="A127833161T" display="A127833161T" xr:uid="{D58A915D-4C86-4516-A562-1C31D454DD91}"/>
    <hyperlink ref="Z121" location="A127830191A" display="A127830191A" xr:uid="{135C2E93-207B-48D7-9658-E510EFA8D0BB}"/>
    <hyperlink ref="AA121" location="A127827221V" display="A127827221V" xr:uid="{8EA99E40-2070-4A05-8280-96086EFBC11A}"/>
    <hyperlink ref="AB126" location="A127833007V" display="A127833007V" xr:uid="{5A9A540F-AE7A-42D4-BCB7-61C1BBD791B2}"/>
    <hyperlink ref="AC126" location="A127830037C" display="A127830037C" xr:uid="{2014721C-8C0D-47C7-9577-2C8EEE69DEC0}"/>
    <hyperlink ref="AD126" location="A127827067J" display="A127827067J" xr:uid="{53387606-7538-45D0-ACBF-2B186C3F14E9}"/>
    <hyperlink ref="AB127" location="A127833009X" display="A127833009X" xr:uid="{4A32497F-738B-491C-97ED-80F4476E10F4}"/>
    <hyperlink ref="AC127" location="A127830039J" display="A127830039J" xr:uid="{C705D656-BFAD-40F2-860C-ACF9E6879FE6}"/>
    <hyperlink ref="AD127" location="A127827069L" display="A127827069L" xr:uid="{F36173A4-FFFB-4C5C-BA51-EEFC09E6833A}"/>
    <hyperlink ref="AB128" location="A127833008W" display="A127833008W" xr:uid="{A6788985-CC3A-48FA-8AB8-84CFF9AD2CE3}"/>
    <hyperlink ref="AC128" location="A127830038F" display="A127830038F" xr:uid="{EFCBFAF0-A953-4768-B8FF-A80467353518}"/>
    <hyperlink ref="AD128" location="A127827068K" display="A127827068K" xr:uid="{4308479F-DBB9-483A-9D60-B3080987B04C}"/>
    <hyperlink ref="AB101" location="A127833002J" display="A127833002J" xr:uid="{A27A321F-978E-4B27-B599-1850EBCDAE9E}"/>
    <hyperlink ref="AC101" location="A127830032T" display="A127830032T" xr:uid="{44085A4B-1341-4E23-A5AE-BBB6B449284A}"/>
    <hyperlink ref="AD101" location="A127827062W" display="A127827062W" xr:uid="{1CA06131-138B-4368-ADDF-8F34BD2E59ED}"/>
    <hyperlink ref="AB102" location="A127833006T" display="A127833006T" xr:uid="{AB3A19CC-918B-43B2-9F69-F45AF7702230}"/>
    <hyperlink ref="AC102" location="A127830036A" display="A127830036A" xr:uid="{C69548B0-7957-4880-9578-6062F6747A1C}"/>
    <hyperlink ref="AD102" location="A127827066F" display="A127827066F" xr:uid="{663E7C15-B862-42BC-A264-8E7D937F69D2}"/>
    <hyperlink ref="AB103" location="A127833001F" display="A127833001F" xr:uid="{9EFCCC63-3AE0-411B-ADCC-E0F61C4F9406}"/>
    <hyperlink ref="AC103" location="A127830031R" display="A127830031R" xr:uid="{085B58A3-8EB5-4167-8E08-E86531A7F585}"/>
    <hyperlink ref="AD103" location="A127827061V" display="A127827061V" xr:uid="{2860D307-6C13-41A5-A27E-5B8308038998}"/>
    <hyperlink ref="AB104" location="A127832999C" display="A127832999C" xr:uid="{361AF436-D2B4-49BF-8B6C-AF859CDC1FE0}"/>
    <hyperlink ref="AC104" location="A127830029C" display="A127830029C" xr:uid="{308551DF-74E7-4088-9AEE-878EC41F12FC}"/>
    <hyperlink ref="AD104" location="A127827059J" display="A127827059J" xr:uid="{EB1E0D7B-69F4-4A64-A240-41AC5F4A6B85}"/>
    <hyperlink ref="AB105" location="A127833010J" display="A127833010J" xr:uid="{6FB81327-C6E2-473F-BF18-0FAA08112E3B}"/>
    <hyperlink ref="AC105" location="A127830040T" display="A127830040T" xr:uid="{8C82174C-7400-42D7-A31E-4C974DA84932}"/>
    <hyperlink ref="AD105" location="A127827070W" display="A127827070W" xr:uid="{E61486EC-B056-4494-9D34-FAA8FE166E9C}"/>
    <hyperlink ref="AB106" location="A127832998A" display="A127832998A" xr:uid="{2B578076-70B8-4E28-B6B2-9CD324C8B1F7}"/>
    <hyperlink ref="AC106" location="A127830028A" display="A127830028A" xr:uid="{8DD501A9-2CB9-419F-8C2A-58D02819ABB1}"/>
    <hyperlink ref="AD106" location="A127827058F" display="A127827058F" xr:uid="{292A2A62-F019-4B39-8452-A029C1A06C5E}"/>
    <hyperlink ref="AB107" location="A127833005R" display="A127833005R" xr:uid="{B0B663B4-3933-4422-8178-A230878F2485}"/>
    <hyperlink ref="AC107" location="A127830035X" display="A127830035X" xr:uid="{4867AF19-1790-4BA4-B129-57463E726682}"/>
    <hyperlink ref="AD107" location="A127827065C" display="A127827065C" xr:uid="{7DF9616F-3D58-449C-B7D5-3C8D3245FE46}"/>
    <hyperlink ref="AB108" location="A127833000C" display="A127833000C" xr:uid="{14B273C0-F09C-4E06-A8E4-203A20B152F3}"/>
    <hyperlink ref="AC108" location="A127830030L" display="A127830030L" xr:uid="{3FC58564-C2A8-47F2-B6AA-568458D191DD}"/>
    <hyperlink ref="AD108" location="A127827060T" display="A127827060T" xr:uid="{CE656F29-342B-4103-8B39-F8064391BC54}"/>
    <hyperlink ref="AB109" location="A127832997X" display="A127832997X" xr:uid="{B660377E-6492-4FB2-A21E-6C97A4673F52}"/>
    <hyperlink ref="AC109" location="A127830027X" display="A127830027X" xr:uid="{DF74E18F-FEAD-4133-9EB9-56A1A6ABC01D}"/>
    <hyperlink ref="AD109" location="A127827057C" display="A127827057C" xr:uid="{0B9D7510-E030-495D-87FD-F62BAB1FB923}"/>
    <hyperlink ref="AB113" location="A127833004L" display="A127833004L" xr:uid="{0447F0CF-FF6D-4386-B253-EB9CE2DB22AE}"/>
    <hyperlink ref="AC113" location="A127830034W" display="A127830034W" xr:uid="{BEF477C7-A13D-46EC-A2B9-3235EB32D209}"/>
    <hyperlink ref="AD113" location="A127827064A" display="A127827064A" xr:uid="{2975413C-52BD-4C64-BBED-99EEDCC88277}"/>
    <hyperlink ref="AB116" location="A127833003K" display="A127833003K" xr:uid="{4EFF7227-9E37-404F-A8F3-C24332128B92}"/>
    <hyperlink ref="AC116" location="A127830033V" display="A127830033V" xr:uid="{CB7BF502-F0B7-4B05-AAA8-69E811B0E16B}"/>
    <hyperlink ref="AD116" location="A127827063X" display="A127827063X" xr:uid="{90158638-3373-4FA4-882E-8CA931D77B8E}"/>
    <hyperlink ref="AB121" location="A127833011K" display="A127833011K" xr:uid="{08094678-06C3-480A-B0E9-910349E622D0}"/>
    <hyperlink ref="AC121" location="A127830041V" display="A127830041V" xr:uid="{278F82BE-D959-4E24-8591-AC31E52AD90E}"/>
    <hyperlink ref="AD121" location="A127827071X" display="A127827071X" xr:uid="{7B575778-B2F4-4C6C-98C4-C5B7214EE892}"/>
    <hyperlink ref="AE126" location="A127832977R" display="A127832977R" xr:uid="{36DB98BE-BC35-446B-A7CD-5FE686827BB0}"/>
    <hyperlink ref="AF126" location="A127830007R" display="A127830007R" xr:uid="{0C96DD7D-95B6-4079-AEA9-04D49B2E947C}"/>
    <hyperlink ref="AG126" location="A127827037V" display="A127827037V" xr:uid="{BBA4D449-CF29-46CF-BE05-3AE166766476}"/>
    <hyperlink ref="AE127" location="A127832979V" display="A127832979V" xr:uid="{1D06E9B9-E075-43B1-B796-52C6131DE5B4}"/>
    <hyperlink ref="AF127" location="A127830009V" display="A127830009V" xr:uid="{503DC348-CC7C-4991-9766-3BA9742EA4B8}"/>
    <hyperlink ref="AG127" location="A127827039X" display="A127827039X" xr:uid="{6A86AF8E-A229-4342-9181-BE09E096D43A}"/>
    <hyperlink ref="AE128" location="A127832978T" display="A127832978T" xr:uid="{2B5F2EE0-79A7-4E18-8125-0C3739BBB57E}"/>
    <hyperlink ref="AF128" location="A127830008T" display="A127830008T" xr:uid="{B49B1465-BE73-4D57-8A8D-843FC684780E}"/>
    <hyperlink ref="AG128" location="A127827038W" display="A127827038W" xr:uid="{E87C8813-3E02-470C-A759-0EDBCA245827}"/>
    <hyperlink ref="AE101" location="A127832972C" display="A127832972C" xr:uid="{23C02E0F-4750-4A09-8006-7842BF65DED6}"/>
    <hyperlink ref="AF101" location="A127830002C" display="A127830002C" xr:uid="{283C175A-714D-41AC-9771-75FAA6169CC5}"/>
    <hyperlink ref="AG101" location="A127827032J" display="A127827032J" xr:uid="{51E95115-342C-4602-9ECE-1EB8889C986B}"/>
    <hyperlink ref="AE102" location="A127832976L" display="A127832976L" xr:uid="{46C6D0D0-19C9-40AB-BBD5-0412A195D2F9}"/>
    <hyperlink ref="AF102" location="A127830006L" display="A127830006L" xr:uid="{9006EB9C-350F-48CC-8948-2EB3C67E2142}"/>
    <hyperlink ref="AG102" location="A127827036T" display="A127827036T" xr:uid="{246AB07A-BC21-46FA-B5ED-B5CDC27DCD48}"/>
    <hyperlink ref="AE103" location="A127832971A" display="A127832971A" xr:uid="{05B38EE5-B9D7-4ED7-A96B-777D2E7C87B7}"/>
    <hyperlink ref="AF103" location="A127830001A" display="A127830001A" xr:uid="{D0375081-2733-4444-AD04-303B1023B212}"/>
    <hyperlink ref="AG103" location="A127827031F" display="A127827031F" xr:uid="{375EEF36-985D-4E2A-9CB7-021398452410}"/>
    <hyperlink ref="AE104" location="A127832969R" display="A127832969R" xr:uid="{DA1BBACE-0787-4B70-997D-141F25AF56E6}"/>
    <hyperlink ref="AF104" location="A127829999V" display="A127829999V" xr:uid="{9C2D635C-936E-4707-89D2-25A5C996913B}"/>
    <hyperlink ref="AG104" location="A127827029V" display="A127827029V" xr:uid="{B63D62C3-391E-4D0F-A558-1ACA3D8CA51C}"/>
    <hyperlink ref="AE105" location="A127832980C" display="A127832980C" xr:uid="{0ACE201F-149C-4219-A572-98100FA0BB03}"/>
    <hyperlink ref="AF105" location="A127830010C" display="A127830010C" xr:uid="{E884972E-7889-42BE-B191-D0FD88F92D37}"/>
    <hyperlink ref="AG105" location="A127827040J" display="A127827040J" xr:uid="{DAF8AE39-AF9D-4218-A059-6E1D24FF39ED}"/>
    <hyperlink ref="AE106" location="A127832968L" display="A127832968L" xr:uid="{7C573E35-7C94-4092-992B-46AD09F6F90C}"/>
    <hyperlink ref="AF106" location="A127829998T" display="A127829998T" xr:uid="{419122ED-1D52-46FC-9B4F-18392BE904B6}"/>
    <hyperlink ref="AG106" location="A127827028T" display="A127827028T" xr:uid="{3599CFD8-9F02-4635-89E5-13037A6E54B0}"/>
    <hyperlink ref="AE107" location="A127832975K" display="A127832975K" xr:uid="{9810918F-7C8A-4A6E-BE13-BEC8B8889B55}"/>
    <hyperlink ref="AF107" location="A127830005K" display="A127830005K" xr:uid="{5F3C4DF8-ED5D-4254-B864-7E8ABCDAA9AC}"/>
    <hyperlink ref="AG107" location="A127827035R" display="A127827035R" xr:uid="{100226D5-E2B1-43CC-9B17-97566B6039A1}"/>
    <hyperlink ref="AE108" location="A127832970X" display="A127832970X" xr:uid="{55CC8445-6235-4C37-91CB-DDCC133C30E3}"/>
    <hyperlink ref="AF108" location="A127830000X" display="A127830000X" xr:uid="{10015ED7-6DFB-4489-B4EB-DB0BFC6E25FA}"/>
    <hyperlink ref="AG108" location="A127827030C" display="A127827030C" xr:uid="{253AA648-E849-4ACB-89CF-FBCD6604761D}"/>
    <hyperlink ref="AE109" location="A127832967K" display="A127832967K" xr:uid="{BCF13D3E-F9B2-4F3D-BD08-C83618465799}"/>
    <hyperlink ref="AF109" location="A127829997R" display="A127829997R" xr:uid="{3C3B0C94-C324-4D5C-A8B3-D217E27D8A36}"/>
    <hyperlink ref="AG109" location="A127827027R" display="A127827027R" xr:uid="{E465D559-32BA-42B2-9202-37FE6B5FBF9E}"/>
    <hyperlink ref="AE113" location="A127832974J" display="A127832974J" xr:uid="{799B25C8-1241-430D-B1DC-A1EB47592FAB}"/>
    <hyperlink ref="AF113" location="A127830004J" display="A127830004J" xr:uid="{1BE1D1AC-CB4C-4D6E-8E0F-2A31CAD4A432}"/>
    <hyperlink ref="AG113" location="A127827034L" display="A127827034L" xr:uid="{989B99E7-2C52-41BF-80E1-3A3907A53253}"/>
    <hyperlink ref="AE116" location="A127832973F" display="A127832973F" xr:uid="{066C905E-0C5E-4CDA-AA41-8E4B9C5C8279}"/>
    <hyperlink ref="AF116" location="A127830003F" display="A127830003F" xr:uid="{D4B179AE-A61D-44D8-93F0-2E43507DFE81}"/>
    <hyperlink ref="AG116" location="A127827033K" display="A127827033K" xr:uid="{A41CA187-B370-4417-8FF3-CFA6409576C5}"/>
    <hyperlink ref="AE121" location="A127832981F" display="A127832981F" xr:uid="{2D1CB2D5-EC5E-4368-B7E0-B6D7BBDB5A2D}"/>
    <hyperlink ref="AF121" location="A127830011F" display="A127830011F" xr:uid="{7147A088-15FF-4906-9B23-E91214AD301F}"/>
    <hyperlink ref="AG121" location="A127827041K" display="A127827041K" xr:uid="{FCA64079-B4E7-4EBF-9F8D-1C928093214D}"/>
    <hyperlink ref="AH126" location="A127833097K" display="A127833097K" xr:uid="{18DF5E2B-53E0-4EAE-ADD4-FA5BA4011B15}"/>
    <hyperlink ref="AI126" location="A127830127J" display="A127830127J" xr:uid="{AE5F43A9-5E30-433D-BB5D-1208AACD5462}"/>
    <hyperlink ref="AJ126" location="A127827157L" display="A127827157L" xr:uid="{22519B43-79E8-4D80-967D-4E0CCA3185E4}"/>
    <hyperlink ref="AH127" location="A127833099R" display="A127833099R" xr:uid="{C115A101-B2FE-492C-B7B5-04E4A4E356E2}"/>
    <hyperlink ref="AI127" location="A127830129L" display="A127830129L" xr:uid="{1C74A8E2-EE82-48D4-91D0-D4744282F5F3}"/>
    <hyperlink ref="AJ127" location="A127827159T" display="A127827159T" xr:uid="{7D425DB0-20B0-49AA-B1D7-6140DCC7CD8F}"/>
    <hyperlink ref="AH128" location="A127833098L" display="A127833098L" xr:uid="{BD7C889C-5CAB-4DBA-B15D-C8C86C7521A1}"/>
    <hyperlink ref="AI128" location="A127830128K" display="A127830128K" xr:uid="{9CE26F1F-C4FF-495C-A5CA-A204C3B501D8}"/>
    <hyperlink ref="AJ128" location="A127827158R" display="A127827158R" xr:uid="{998916F5-AAC8-4019-9177-C246C5CE6AB6}"/>
    <hyperlink ref="AH101" location="A127833092X" display="A127833092X" xr:uid="{E33281A8-FC1B-4713-971E-898A1114E0F4}"/>
    <hyperlink ref="AI101" location="A127830122W" display="A127830122W" xr:uid="{8A739FDD-49EC-4939-B09F-F0844521C9B3}"/>
    <hyperlink ref="AJ101" location="A127827152A" display="A127827152A" xr:uid="{6B8B8730-AF30-439F-A765-881129DB4F97}"/>
    <hyperlink ref="AH102" location="A127833096J" display="A127833096J" xr:uid="{2B83BAF2-0D84-4502-86B0-FFFF9CE27D35}"/>
    <hyperlink ref="AI102" location="A127830126F" display="A127830126F" xr:uid="{268B5D15-87F8-403B-B6DF-AD85F5E98CF1}"/>
    <hyperlink ref="AJ102" location="A127827156K" display="A127827156K" xr:uid="{09F1DBC5-9B4D-4176-A548-D20DEEF3BD45}"/>
    <hyperlink ref="AH103" location="A127833091W" display="A127833091W" xr:uid="{A4B0D3D2-BD5E-44C9-A4CA-11D03B45E271}"/>
    <hyperlink ref="AI103" location="A127830121V" display="A127830121V" xr:uid="{295FE750-1709-4203-A945-A891896D8741}"/>
    <hyperlink ref="AJ103" location="A127827151X" display="A127827151X" xr:uid="{C2C34E12-D603-4BA1-8C3D-37B7AC2A5238}"/>
    <hyperlink ref="AH104" location="A127833089K" display="A127833089K" xr:uid="{06F4C4CB-62A1-41EF-8B4E-D6B7051D89BE}"/>
    <hyperlink ref="AI104" location="A127830119J" display="A127830119J" xr:uid="{17035E64-2775-4BAF-A043-A69CF6533200}"/>
    <hyperlink ref="AJ104" location="A127827149L" display="A127827149L" xr:uid="{42641C6F-6B00-4FB8-B405-4B88878DB5F5}"/>
    <hyperlink ref="AH105" location="A127833100L" display="A127833100L" xr:uid="{68D65BD9-BC9D-4378-AD49-5E2093D91270}"/>
    <hyperlink ref="AI105" location="A127830130W" display="A127830130W" xr:uid="{F4336DEC-5A20-4ADA-A35E-304237414116}"/>
    <hyperlink ref="AJ105" location="A127827160A" display="A127827160A" xr:uid="{B8924AB9-65E8-43A5-8107-23A396BB53A6}"/>
    <hyperlink ref="AH106" location="A127833088J" display="A127833088J" xr:uid="{AEB1F9D0-66BB-409D-9EE2-2E0C03159856}"/>
    <hyperlink ref="AI106" location="A127830118F" display="A127830118F" xr:uid="{4B2E674B-4DB2-4EB9-BE71-D2EDDCBF804F}"/>
    <hyperlink ref="AJ106" location="A127827148K" display="A127827148K" xr:uid="{D1AD72E4-E1A1-4418-B813-4C5DE457E17B}"/>
    <hyperlink ref="AH107" location="A127833095F" display="A127833095F" xr:uid="{26B4E654-EEB6-4A3E-BFD6-73920FD66B92}"/>
    <hyperlink ref="AI107" location="A127830125C" display="A127830125C" xr:uid="{6D71443F-A91B-4824-981B-26B0667EE6FA}"/>
    <hyperlink ref="AJ107" location="A127827155J" display="A127827155J" xr:uid="{1A9A3869-538F-40A2-9292-30E7DAAD2262}"/>
    <hyperlink ref="AH108" location="A127833090V" display="A127833090V" xr:uid="{F2D247F4-14B2-497B-9D44-F6837172D1C6}"/>
    <hyperlink ref="AI108" location="A127830120T" display="A127830120T" xr:uid="{3DB444F2-EF5F-40AE-B00F-E1AD35259C29}"/>
    <hyperlink ref="AJ108" location="A127827150W" display="A127827150W" xr:uid="{71E7D9F5-4184-4629-A6D5-AFB6D50D608C}"/>
    <hyperlink ref="AH109" location="A127833087F" display="A127833087F" xr:uid="{81040168-9A80-4F93-9FAA-4125EF4A6CFF}"/>
    <hyperlink ref="AI109" location="A127830117C" display="A127830117C" xr:uid="{4BD6B0CF-9795-4608-8B91-4F84B71532BC}"/>
    <hyperlink ref="AJ109" location="A127827147J" display="A127827147J" xr:uid="{6B0B95F5-8A33-48E6-8D53-4BF24911AF70}"/>
    <hyperlink ref="AH113" location="A127833094C" display="A127833094C" xr:uid="{B6DFEBB1-D3BA-4388-90BE-4D7D9DEF32EB}"/>
    <hyperlink ref="AI113" location="A127830124A" display="A127830124A" xr:uid="{7DBE4ACE-B55E-46D9-A154-B55D30D93818}"/>
    <hyperlink ref="AJ113" location="A127827154F" display="A127827154F" xr:uid="{C2DB6B38-9C47-4248-9719-3A28B694DD3F}"/>
    <hyperlink ref="AH116" location="A127833093A" display="A127833093A" xr:uid="{9C15D292-6CC6-459B-B955-35C6EDFACD0F}"/>
    <hyperlink ref="AI116" location="A127830123X" display="A127830123X" xr:uid="{A0DF1290-774D-4BBC-BF7F-826C6994E352}"/>
    <hyperlink ref="AJ116" location="A127827153C" display="A127827153C" xr:uid="{4501E04C-D650-4860-8B2F-DC01D6EAA20C}"/>
    <hyperlink ref="AH121" location="A127833101R" display="A127833101R" xr:uid="{95A16545-250C-4AA8-B454-D6C99F2D8769}"/>
    <hyperlink ref="AI121" location="A127830131X" display="A127830131X" xr:uid="{9D8A8924-4B77-4360-9130-ED1518E8A622}"/>
    <hyperlink ref="AJ121" location="A127827161C" display="A127827161C" xr:uid="{9DD93729-2207-4913-B9C8-E198CA0473C9}"/>
    <hyperlink ref="D112" location="A127833182C" display="A127833182C" xr:uid="{8C50F225-668D-4697-9B25-ACB38F6F374E}"/>
    <hyperlink ref="E112" location="A127830212A" display="A127830212A" xr:uid="{0C4E9D18-2E68-496F-AF8E-66A2CB55D5D7}"/>
    <hyperlink ref="F112" location="A127827242F" display="A127827242F" xr:uid="{CE1EEB87-40BA-44AA-B466-A7B0B373D025}"/>
    <hyperlink ref="G112" location="A127832942R" display="A127832942R" xr:uid="{EF049D73-0707-4CB8-984A-9129E2D7C7E0}"/>
    <hyperlink ref="H112" location="A127829972V" display="A127829972V" xr:uid="{332E1513-C08B-4497-A147-0406D661EC1E}"/>
    <hyperlink ref="I112" location="A127827002V" display="A127827002V" xr:uid="{31E68441-DBCF-4707-86D9-3FDB85E2D9B8}"/>
    <hyperlink ref="J112" location="A127833122A" display="A127833122A" xr:uid="{484A5602-7FCB-49F3-ACFF-177DA9419D7D}"/>
    <hyperlink ref="K112" location="A127830152K" display="A127830152K" xr:uid="{4A5AAB20-5FA1-455B-8371-860A8EE908A7}"/>
    <hyperlink ref="L112" location="A127827182R" display="A127827182R" xr:uid="{25B01393-12B4-4866-BFDE-D9091581E6A5}"/>
    <hyperlink ref="M112" location="A127833062K" display="A127833062K" xr:uid="{9631B360-43C7-41C1-B214-027B63213FCC}"/>
    <hyperlink ref="N112" location="A127830092V" display="A127830092V" xr:uid="{90144A4A-89D6-4346-A641-EEDF1E7CD19E}"/>
    <hyperlink ref="O112" location="A127827122L" display="A127827122L" xr:uid="{DB8C96C0-67D3-40C0-8E00-C0672B1EE92B}"/>
    <hyperlink ref="P112" location="A127833032W" display="A127833032W" xr:uid="{075B34CD-0710-42A9-B824-57245E969D40}"/>
    <hyperlink ref="Q112" location="A127830062F" display="A127830062F" xr:uid="{E564FF47-940A-467C-95B7-2A06A7A440EC}"/>
    <hyperlink ref="R112" location="A127827092K" display="A127827092K" xr:uid="{480E316C-69A9-49E2-BC71-D6835D7971DD}"/>
    <hyperlink ref="S112" location="A127833212F" display="A127833212F" xr:uid="{5EFE21D8-7889-4ABA-B1B7-F3A79D254E7D}"/>
    <hyperlink ref="T112" location="A127830242R" display="A127830242R" xr:uid="{4A730771-8CEC-4421-BA29-391168F214EE}"/>
    <hyperlink ref="U112" location="A127827272V" display="A127827272V" xr:uid="{A6BC88B3-5B7A-470C-94F6-F210A982C898}"/>
    <hyperlink ref="V112" location="A127833242V" display="A127833242V" xr:uid="{FDA54229-0482-420A-A66B-CF565543F059}"/>
    <hyperlink ref="W112" location="A127830272C" display="A127830272C" xr:uid="{D0B3624F-2F87-46CE-B41C-B2872CCBB2A6}"/>
    <hyperlink ref="X112" location="A127827302W" display="A127827302W" xr:uid="{7B4608BF-54E0-4CAA-8891-ADDFEA817190}"/>
    <hyperlink ref="Y112" location="A127833152R" display="A127833152R" xr:uid="{9BB5C2FD-F934-43AB-A8B9-C68C7AA67E16}"/>
    <hyperlink ref="Z112" location="A127830182X" display="A127830182X" xr:uid="{D1002092-04AF-4554-ACCA-CEF40B9A673D}"/>
    <hyperlink ref="AA112" location="A127827212T" display="A127827212T" xr:uid="{53FC1B66-AC25-4E93-92CD-D7BE1276E9C3}"/>
    <hyperlink ref="AB112" location="A127833002J" display="A127833002J" xr:uid="{EED476D5-399F-48C4-A755-29D3D6E77068}"/>
    <hyperlink ref="AC112" location="A127830032T" display="A127830032T" xr:uid="{38EBC9B4-D50C-42E4-B4A8-54B0901A97AD}"/>
    <hyperlink ref="AD112" location="A127827062W" display="A127827062W" xr:uid="{A64411E8-AF78-4B75-82AB-D7A620A80BA9}"/>
    <hyperlink ref="AE112" location="A127832972C" display="A127832972C" xr:uid="{BCAF9C5C-AA7C-4E47-A374-F40962AA3946}"/>
    <hyperlink ref="AF112" location="A127830002C" display="A127830002C" xr:uid="{E2B2D670-5587-4F39-8E9D-ED9C6B1CB536}"/>
    <hyperlink ref="AG112" location="A127827032J" display="A127827032J" xr:uid="{943F0077-2B25-42F7-932C-24D47D21DE89}"/>
    <hyperlink ref="AH112" location="A127833092X" display="A127833092X" xr:uid="{F75E6369-2CEE-46C1-BDF9-0D105C62ECE9}"/>
    <hyperlink ref="AI112" location="A127830122W" display="A127830122W" xr:uid="{48256033-B2E6-4DC3-AC43-C83B22E9A431}"/>
    <hyperlink ref="AJ112" location="A127827152A" display="A127827152A" xr:uid="{06F684B2-05CA-4775-8AAE-1BC406C311FF}"/>
    <hyperlink ref="D114" location="A127833181A" display="A127833181A" xr:uid="{A255F40F-8424-4884-AE07-253B62FDD832}"/>
    <hyperlink ref="E114" location="A127830211X" display="A127830211X" xr:uid="{86FADB0C-4F2A-4EAF-A5EA-05064BAC943A}"/>
    <hyperlink ref="F114" location="A127827241C" display="A127827241C" xr:uid="{EDBD6832-2DA0-40B7-940F-FC1ADD910745}"/>
    <hyperlink ref="G114" location="A127832941L" display="A127832941L" xr:uid="{3371B135-B47A-4094-93C6-D715C30A3C03}"/>
    <hyperlink ref="H114" location="A127829971T" display="A127829971T" xr:uid="{D2BD2B12-C2BE-46EF-B274-8A7DDA593B21}"/>
    <hyperlink ref="I114" location="A127827001T" display="A127827001T" xr:uid="{0016B24F-24A1-474D-AD12-98014F31484B}"/>
    <hyperlink ref="J114" location="A127833121X" display="A127833121X" xr:uid="{0B11497C-A3A6-4B93-8ED8-6A57452ED0F4}"/>
    <hyperlink ref="K114" location="A127830151J" display="A127830151J" xr:uid="{0C067075-30E3-4780-9FA1-B8AA93522D35}"/>
    <hyperlink ref="L114" location="A127827181L" display="A127827181L" xr:uid="{41A0F7A7-5869-4EBC-8F0A-7B80D533BFAC}"/>
    <hyperlink ref="M114" location="A127833061J" display="A127833061J" xr:uid="{252FB0D8-6470-4541-851A-89ECF8EB42F0}"/>
    <hyperlink ref="N114" location="A127830091T" display="A127830091T" xr:uid="{F691C16F-1011-4036-BED0-A5246DD65CB9}"/>
    <hyperlink ref="O114" location="A127827121K" display="A127827121K" xr:uid="{1C3355CE-0F62-4B19-9A9B-5D0B323339A9}"/>
    <hyperlink ref="P114" location="A127833031V" display="A127833031V" xr:uid="{5708E5B8-2E88-4B58-BAE7-6B465B23F72D}"/>
    <hyperlink ref="Q114" location="A127830061C" display="A127830061C" xr:uid="{8F6327FD-A99C-4EB8-90EE-DDC8DE6B188C}"/>
    <hyperlink ref="R114" location="A127827091J" display="A127827091J" xr:uid="{1FC96923-7E80-4BA5-A3C2-583D2C1693BD}"/>
    <hyperlink ref="S114" location="A127833211C" display="A127833211C" xr:uid="{C7BB4288-A751-4533-B783-9F59C97F2A58}"/>
    <hyperlink ref="T114" location="A127830241L" display="A127830241L" xr:uid="{F55C12BC-B1C2-4D13-8AEF-4706BAF10EBF}"/>
    <hyperlink ref="U114" location="A127827271T" display="A127827271T" xr:uid="{3416C5A5-B03D-4BEF-B60A-5A3E4ADF2475}"/>
    <hyperlink ref="V114" location="A127833241T" display="A127833241T" xr:uid="{AF7F85B9-2AEC-4232-ABF7-8B4A4EA0281A}"/>
    <hyperlink ref="W114" location="A127830271A" display="A127830271A" xr:uid="{3583CD85-7367-46EC-97C2-9B93A47506EA}"/>
    <hyperlink ref="X114" location="A127827301V" display="A127827301V" xr:uid="{7DEE0E79-AFC3-4453-8174-12105444FE8A}"/>
    <hyperlink ref="Y114" location="A127833151L" display="A127833151L" xr:uid="{B8BB7A84-0FD1-47E4-85B3-C9790AB3F6D4}"/>
    <hyperlink ref="Z114" location="A127830181W" display="A127830181W" xr:uid="{7062AF88-545A-47F5-BA3B-862186BE8EF3}"/>
    <hyperlink ref="AA114" location="A127827211R" display="A127827211R" xr:uid="{75B9A809-E48E-460D-BA60-213CC4F2D200}"/>
    <hyperlink ref="AB114" location="A127833001F" display="A127833001F" xr:uid="{E074EAF0-1701-413E-8260-7180299E5158}"/>
    <hyperlink ref="AC114" location="A127830031R" display="A127830031R" xr:uid="{5D41FB86-DC0D-459C-AC9C-6FE328684679}"/>
    <hyperlink ref="AD114" location="A127827061V" display="A127827061V" xr:uid="{432C469E-05DE-46B4-9040-682DA6419CF0}"/>
    <hyperlink ref="AE114" location="A127832971A" display="A127832971A" xr:uid="{D77833D4-B699-4EEC-9118-EE713DE22D13}"/>
    <hyperlink ref="AF114" location="A127830001A" display="A127830001A" xr:uid="{01D3A84B-7BC6-45FD-A8C2-F928D2BAE56F}"/>
    <hyperlink ref="AG114" location="A127827031F" display="A127827031F" xr:uid="{FB4DC7FE-255D-40EF-B173-90CFF2483F0F}"/>
    <hyperlink ref="AH114" location="A127833091W" display="A127833091W" xr:uid="{93B02E67-43E3-4BE8-8680-98C43AAADBA1}"/>
    <hyperlink ref="AI114" location="A127830121V" display="A127830121V" xr:uid="{D5FFD05B-6196-48F6-B358-7950A86A817C}"/>
    <hyperlink ref="AJ114" location="A127827151X" display="A127827151X" xr:uid="{53BE0DF1-74A3-4D34-B52E-D97DB1703BAF}"/>
    <hyperlink ref="D115" location="A127833180X" display="A127833180X" xr:uid="{7A5F30D0-2CD0-425B-B438-0C703AA8FE26}"/>
    <hyperlink ref="E115" location="A127830210W" display="A127830210W" xr:uid="{9E6D3022-4EB1-44E6-9928-14AA534BB541}"/>
    <hyperlink ref="F115" location="A127827240A" display="A127827240A" xr:uid="{1A1AB683-4A86-4A50-A859-C6FCF81590B9}"/>
    <hyperlink ref="G115" location="A127832940K" display="A127832940K" xr:uid="{BD677B55-E3BC-4F37-8220-8C24AF06498D}"/>
    <hyperlink ref="H115" location="A127829970R" display="A127829970R" xr:uid="{BE1907FE-3309-46F4-A9BA-00B1F678A090}"/>
    <hyperlink ref="I115" location="A127827000R" display="A127827000R" xr:uid="{338ED091-15D4-49F0-8DF4-EC4AEE17D576}"/>
    <hyperlink ref="J115" location="A127833120W" display="A127833120W" xr:uid="{7754F071-C118-46E7-9B64-16469EE5DFA2}"/>
    <hyperlink ref="K115" location="A127830150F" display="A127830150F" xr:uid="{BE633C96-A101-430A-8B81-C2EA567C2702}"/>
    <hyperlink ref="L115" location="A127827180K" display="A127827180K" xr:uid="{D1BE0892-B056-4298-A801-89A4B96CA79A}"/>
    <hyperlink ref="M115" location="A127833060F" display="A127833060F" xr:uid="{2512F47E-35B2-4B90-AADA-EC9FDF09A57A}"/>
    <hyperlink ref="N115" location="A127830090R" display="A127830090R" xr:uid="{609AA4FE-6020-46CD-A0AA-083B6DB84DF1}"/>
    <hyperlink ref="O115" location="A127827120J" display="A127827120J" xr:uid="{E2F28018-46C8-42BD-99E6-9E23BCAAADAF}"/>
    <hyperlink ref="P115" location="A127833030T" display="A127833030T" xr:uid="{554739C2-12E4-476F-B34B-3332D28A1DB2}"/>
    <hyperlink ref="Q115" location="A127830060A" display="A127830060A" xr:uid="{951B2A42-70AF-4DBA-9297-E758FD61AAD2}"/>
    <hyperlink ref="R115" location="A127827090F" display="A127827090F" xr:uid="{B00F243D-B72A-4287-A5BF-3EB9541F0523}"/>
    <hyperlink ref="S115" location="A127833210A" display="A127833210A" xr:uid="{D09D70D5-FB66-49AB-AE6E-5C1A4B7A395E}"/>
    <hyperlink ref="T115" location="A127830240K" display="A127830240K" xr:uid="{50A2D3F2-1C7A-4C82-B097-AB0C7D31F36C}"/>
    <hyperlink ref="U115" location="A127827270R" display="A127827270R" xr:uid="{E60767B8-6A4C-4965-B855-BFC98B376E3C}"/>
    <hyperlink ref="V115" location="A127833240R" display="A127833240R" xr:uid="{853DAA39-E49A-42A8-B417-68DC691B933E}"/>
    <hyperlink ref="W115" location="A127830270X" display="A127830270X" xr:uid="{7A8F162A-2170-400B-B30E-C54ED0922572}"/>
    <hyperlink ref="X115" location="A127827300T" display="A127827300T" xr:uid="{AE04F48D-7252-465D-8B92-A0EF7763163A}"/>
    <hyperlink ref="Y115" location="A127833150K" display="A127833150K" xr:uid="{EA9E9343-2325-47DE-B9F1-4813F208FFE2}"/>
    <hyperlink ref="Z115" location="A127830180V" display="A127830180V" xr:uid="{24527F63-2016-4F09-87AB-0777BDDEA3EA}"/>
    <hyperlink ref="AA115" location="A127827210L" display="A127827210L" xr:uid="{078D2976-0F7E-48BE-A4E3-8963A2A498C4}"/>
    <hyperlink ref="AB115" location="A127833000C" display="A127833000C" xr:uid="{B9122AC7-16D4-4370-8CDD-B659F681D798}"/>
    <hyperlink ref="AC115" location="A127830030L" display="A127830030L" xr:uid="{AEBACC51-D8F5-42E3-9EAD-644514E21EAE}"/>
    <hyperlink ref="AD115" location="A127827060T" display="A127827060T" xr:uid="{AAE670E0-2DE6-4DB2-91E9-2611858752BB}"/>
    <hyperlink ref="AE115" location="A127832970X" display="A127832970X" xr:uid="{B860DE3F-ACA3-450E-AC59-FD9063838C69}"/>
    <hyperlink ref="AF115" location="A127830000X" display="A127830000X" xr:uid="{28597D1B-CE5A-490E-8750-30B04674040C}"/>
    <hyperlink ref="AG115" location="A127827030C" display="A127827030C" xr:uid="{1FE0EEBF-3E41-4C9C-8A8E-8DDC9E0AAFE8}"/>
    <hyperlink ref="AH115" location="A127833090V" display="A127833090V" xr:uid="{0ABC6DFE-EA18-4109-B75A-9181F239DF41}"/>
    <hyperlink ref="AI115" location="A127830120T" display="A127830120T" xr:uid="{529BE059-64B6-4B43-A391-5FA1BC71CD61}"/>
    <hyperlink ref="AJ115" location="A127827150W" display="A127827150W" xr:uid="{333E109A-208C-4DE7-910B-0C2775CAFC47}"/>
    <hyperlink ref="D117" location="A127833178L" display="A127833178L" xr:uid="{E8923158-30FF-4DFF-B96D-4BEC15F7D5C1}"/>
    <hyperlink ref="E117" location="A127830208K" display="A127830208K" xr:uid="{74CC163C-203B-454B-B161-04ED9C24C518}"/>
    <hyperlink ref="F117" location="A127827238R" display="A127827238R" xr:uid="{E6712360-2CA8-4590-835E-E24B3F9B82FE}"/>
    <hyperlink ref="G117" location="A127832938X" display="A127832938X" xr:uid="{07BABD2C-78A2-42CB-9B21-877592034FCB}"/>
    <hyperlink ref="H117" location="A127829968C" display="A127829968C" xr:uid="{334DE090-4033-41C6-8384-CA89DBC592DD}"/>
    <hyperlink ref="I117" location="A127826998L" display="A127826998L" xr:uid="{507E6818-CD92-4EFB-98EB-1DAC1AB44AB7}"/>
    <hyperlink ref="J117" location="A127833118K" display="A127833118K" xr:uid="{DF0D1B37-B4B8-4D2F-89BC-8F5488A38E26}"/>
    <hyperlink ref="K117" location="A127830148V" display="A127830148V" xr:uid="{6EBA0FC4-CB0A-45CD-AD6F-953FED9D7933}"/>
    <hyperlink ref="L117" location="A127827178X" display="A127827178X" xr:uid="{CE725835-C3A8-418E-8813-D02424DC5079}"/>
    <hyperlink ref="M117" location="A127833058V" display="A127833058V" xr:uid="{EC889A80-F5B4-4D0D-9FCB-895642810E85}"/>
    <hyperlink ref="N117" location="A127830088C" display="A127830088C" xr:uid="{E6768D2A-2F2B-45CF-A6AE-79BDEAAEDEFF}"/>
    <hyperlink ref="O117" location="A127827118W" display="A127827118W" xr:uid="{20DAC5CA-E329-4F3C-A641-B8BD6570CCC3}"/>
    <hyperlink ref="P117" location="A127833028F" display="A127833028F" xr:uid="{63360689-BBF9-49D5-9938-CE4912932C48}"/>
    <hyperlink ref="Q117" location="A127830058R" display="A127830058R" xr:uid="{668CDFE0-1E95-4319-B3E7-CE9828365A9F}"/>
    <hyperlink ref="R117" location="A127827088V" display="A127827088V" xr:uid="{4917B434-4D4C-4226-B5C3-30FCE30D429C}"/>
    <hyperlink ref="S117" location="A127833208R" display="A127833208R" xr:uid="{D9BBD132-CBD9-42E7-85FA-5D9857D3FFF4}"/>
    <hyperlink ref="T117" location="A127830238X" display="A127830238X" xr:uid="{BA6307C7-C869-4FCE-995A-1B44505F599A}"/>
    <hyperlink ref="U117" location="A127827268C" display="A127827268C" xr:uid="{4C937998-54B4-4BC0-89E1-0DD7FEAEF7F5}"/>
    <hyperlink ref="V117" location="A127833238C" display="A127833238C" xr:uid="{E69A54F7-C767-4EAA-95ED-2EC62D21F56F}"/>
    <hyperlink ref="W117" location="A127830268L" display="A127830268L" xr:uid="{29BD4EC7-F837-465F-99BF-6BC25EE60791}"/>
    <hyperlink ref="X117" location="A127827298T" display="A127827298T" xr:uid="{CC43BD3A-4A0A-465E-974B-F2FD4FCF2C61}"/>
    <hyperlink ref="Y117" location="A127833148X" display="A127833148X" xr:uid="{82F6465A-9509-48F9-8479-2E0FD91279F2}"/>
    <hyperlink ref="Z117" location="A127830178J" display="A127830178J" xr:uid="{F6351760-30EF-49D0-BCD2-EA8908399D34}"/>
    <hyperlink ref="AA117" location="A127827208A" display="A127827208A" xr:uid="{71770874-CF17-4451-8DD8-F4193F05DF55}"/>
    <hyperlink ref="AB117" location="A127832998A" display="A127832998A" xr:uid="{69A9B351-FBBB-404F-9BB6-759CE2B7ED13}"/>
    <hyperlink ref="AC117" location="A127830028A" display="A127830028A" xr:uid="{FEC87E75-A967-4768-AF88-E04317559219}"/>
    <hyperlink ref="AD117" location="A127827058F" display="A127827058F" xr:uid="{635BA835-A5B9-4DD9-A510-FB657A05D98C}"/>
    <hyperlink ref="AE117" location="A127832968L" display="A127832968L" xr:uid="{C372F0F3-FAA5-4200-AEF6-35174A4A7789}"/>
    <hyperlink ref="AF117" location="A127829998T" display="A127829998T" xr:uid="{CC8F70E3-396B-4B1E-85A3-833E12ED51EA}"/>
    <hyperlink ref="AG117" location="A127827028T" display="A127827028T" xr:uid="{8228EACD-7CF0-4350-9E1A-11B79A63D489}"/>
    <hyperlink ref="AH117" location="A127833088J" display="A127833088J" xr:uid="{330381B3-B13D-44C4-9A24-B82866D9BE9A}"/>
    <hyperlink ref="AI117" location="A127830118F" display="A127830118F" xr:uid="{4305D06E-FAA9-4E68-8697-0C1314E2E853}"/>
    <hyperlink ref="AJ117" location="A127827148K" display="A127827148K" xr:uid="{E2CD3077-ED71-417F-A6D2-59603CE5DFA8}"/>
    <hyperlink ref="D118" location="A127833177K" display="A127833177K" xr:uid="{484B9BE3-84BA-4C0E-9F28-00D5699AA18C}"/>
    <hyperlink ref="E118" location="A127830207J" display="A127830207J" xr:uid="{BD655073-3D8F-4660-80BE-87BFF7F623B5}"/>
    <hyperlink ref="F118" location="A127827237L" display="A127827237L" xr:uid="{B1673984-2EBE-42DB-9E40-157CDA5A065F}"/>
    <hyperlink ref="G118" location="A127832937W" display="A127832937W" xr:uid="{4B000F8E-B6F2-4020-B515-EEDD449A2AFB}"/>
    <hyperlink ref="H118" location="A127829967A" display="A127829967A" xr:uid="{C886FB35-523D-4B5F-A7BD-569D5FEB2AF3}"/>
    <hyperlink ref="I118" location="A127826997K" display="A127826997K" xr:uid="{4FF86394-071B-4FE8-9DB5-C583689E0A5F}"/>
    <hyperlink ref="J118" location="A127833117J" display="A127833117J" xr:uid="{E03166D4-5CFB-4690-8752-A8B3416BC8AA}"/>
    <hyperlink ref="K118" location="A127830147T" display="A127830147T" xr:uid="{CF990017-7C12-42BD-8728-8C654EF47D84}"/>
    <hyperlink ref="L118" location="A127827177W" display="A127827177W" xr:uid="{1040C781-CA93-4DC4-BD7A-CE45A6BD9112}"/>
    <hyperlink ref="M118" location="A127833057T" display="A127833057T" xr:uid="{24F3005B-FE0F-47BA-83FE-F7D1F21C41B0}"/>
    <hyperlink ref="N118" location="A127830087A" display="A127830087A" xr:uid="{33209997-B583-4B20-B755-4B3E3D804D8E}"/>
    <hyperlink ref="O118" location="A127827117V" display="A127827117V" xr:uid="{3AF2367C-364C-478B-AE8A-205D837D568E}"/>
    <hyperlink ref="P118" location="A127833027C" display="A127833027C" xr:uid="{D5443A0F-3E9D-4BA6-AC2B-2C6FCF2202A1}"/>
    <hyperlink ref="Q118" location="A127830057L" display="A127830057L" xr:uid="{C9462C05-6CB5-469D-A31A-ED18B3C0E1FE}"/>
    <hyperlink ref="R118" location="A127827087T" display="A127827087T" xr:uid="{902F62FD-9327-4A0E-B731-D6039A5641FF}"/>
    <hyperlink ref="S118" location="A127833207L" display="A127833207L" xr:uid="{77ABA15F-35C9-441E-AD4B-0766F935251D}"/>
    <hyperlink ref="T118" location="A127830237W" display="A127830237W" xr:uid="{2F7F0E07-E766-44F3-A4D6-1B30C5506333}"/>
    <hyperlink ref="U118" location="A127827267A" display="A127827267A" xr:uid="{DD03743A-665B-4876-8490-1619DA73A858}"/>
    <hyperlink ref="V118" location="A127833237A" display="A127833237A" xr:uid="{2D5B6B83-20E0-47E4-B485-3AAAE6F01E71}"/>
    <hyperlink ref="W118" location="A127830267K" display="A127830267K" xr:uid="{40C80908-C250-4546-8123-4E7D793571AD}"/>
    <hyperlink ref="X118" location="A127827297R" display="A127827297R" xr:uid="{0E7B8632-8227-4742-9B85-072A4E649724}"/>
    <hyperlink ref="Y118" location="A127833147W" display="A127833147W" xr:uid="{E4D9A7B1-BB75-4C57-B3E4-D5A87AC5630C}"/>
    <hyperlink ref="Z118" location="A127830177F" display="A127830177F" xr:uid="{6F9FEA27-7077-46CB-96CE-C12D83FA70C7}"/>
    <hyperlink ref="AA118" location="A127827207X" display="A127827207X" xr:uid="{C5C177C2-0B11-48E3-952F-5819ABDB300C}"/>
    <hyperlink ref="AB118" location="A127832997X" display="A127832997X" xr:uid="{8885100F-41E3-4284-A86C-3788548EAE3E}"/>
    <hyperlink ref="AC118" location="A127830027X" display="A127830027X" xr:uid="{14467F95-4C01-4759-83DB-5A69D9E558AB}"/>
    <hyperlink ref="AD118" location="A127827057C" display="A127827057C" xr:uid="{2A48AAF3-4E28-4736-96B5-9AD88DB3B22E}"/>
    <hyperlink ref="AE118" location="A127832967K" display="A127832967K" xr:uid="{64F01683-2370-49AE-8805-2C74697DAE5E}"/>
    <hyperlink ref="AF118" location="A127829997R" display="A127829997R" xr:uid="{BDCC3A5B-19B1-45D4-847C-A7F4E8CFFF60}"/>
    <hyperlink ref="AG118" location="A127827027R" display="A127827027R" xr:uid="{E9DDA5E9-C803-4067-8240-3255C999E833}"/>
    <hyperlink ref="AH118" location="A127833087F" display="A127833087F" xr:uid="{0C9E6C59-F8BD-4C9C-8A33-06585913F09C}"/>
    <hyperlink ref="AI118" location="A127830117C" display="A127830117C" xr:uid="{1C60A49B-0907-490B-A8EA-37F35B29A5D9}"/>
    <hyperlink ref="AJ118" location="A127827147J" display="A127827147J" xr:uid="{08F5B0EE-E9B8-457A-9007-ED3E45839122}"/>
    <hyperlink ref="D122" location="A127833179R" display="A127833179R" xr:uid="{45C6B3C9-F2C6-460A-8C90-DEA5F31D2D1B}"/>
    <hyperlink ref="E122" location="A127830209L" display="A127830209L" xr:uid="{FD4280FD-3B33-48D4-B183-5D2AC46FAC9E}"/>
    <hyperlink ref="F122" location="A127827239T" display="A127827239T" xr:uid="{3E069628-078E-44FC-BDB5-57550FA18D4D}"/>
    <hyperlink ref="G122" location="A127832939A" display="A127832939A" xr:uid="{70FC0B98-3777-431F-8847-D599DE1607B8}"/>
    <hyperlink ref="H122" location="A127829969F" display="A127829969F" xr:uid="{154D9A6B-05B7-4A2E-A638-B4AF9A569DC9}"/>
    <hyperlink ref="I122" location="A127826999R" display="A127826999R" xr:uid="{548471CB-B89F-485E-A5E0-1B69FF3FC0A1}"/>
    <hyperlink ref="J122" location="A127833119L" display="A127833119L" xr:uid="{14FF1007-7C66-4270-A15E-E41797F6F90C}"/>
    <hyperlink ref="K122" location="A127830149W" display="A127830149W" xr:uid="{DCDBC85C-186A-4985-9C59-B5E6FFD585ED}"/>
    <hyperlink ref="L122" location="A127827179A" display="A127827179A" xr:uid="{DAAA5193-0E65-46F0-BC38-BD1933B48316}"/>
    <hyperlink ref="M122" location="A127833059W" display="A127833059W" xr:uid="{80E00887-0F70-4014-9D98-84893D74E0DC}"/>
    <hyperlink ref="N122" location="A127830089F" display="A127830089F" xr:uid="{D07E540E-23A3-45F4-84AC-73B2ED1E41AD}"/>
    <hyperlink ref="O122" location="A127827119X" display="A127827119X" xr:uid="{65B2653D-B82C-4C05-96F8-F288186038C4}"/>
    <hyperlink ref="P122" location="A127833029J" display="A127833029J" xr:uid="{03720913-D658-4FD4-9877-D5C14F547400}"/>
    <hyperlink ref="Q122" location="A127830059T" display="A127830059T" xr:uid="{F952099C-3F02-4785-96CE-DAED4D882476}"/>
    <hyperlink ref="R122" location="A127827089W" display="A127827089W" xr:uid="{09E55DFF-D4D8-4B7C-A4A7-BFCA3CEE60EF}"/>
    <hyperlink ref="S122" location="A127833209T" display="A127833209T" xr:uid="{B39CA5BC-54F9-4345-92A4-6AFD12B43390}"/>
    <hyperlink ref="T122" location="A127830239A" display="A127830239A" xr:uid="{50D6085A-85B4-400C-B211-56A7CB91465E}"/>
    <hyperlink ref="U122" location="A127827269F" display="A127827269F" xr:uid="{33A6B4EC-3329-4DA8-A939-C54619E9E7D5}"/>
    <hyperlink ref="V122" location="A127833239F" display="A127833239F" xr:uid="{910D94D4-7C0C-4A52-8CF6-3FAF81693BC5}"/>
    <hyperlink ref="W122" location="A127830269R" display="A127830269R" xr:uid="{6B63D22B-112D-4771-B8E5-9E3211BBA23E}"/>
    <hyperlink ref="X122" location="A127827299V" display="A127827299V" xr:uid="{3BFC11B1-F0F0-4C8E-90C6-E1971D1D5B2C}"/>
    <hyperlink ref="Y122" location="A127833149A" display="A127833149A" xr:uid="{5B1C2A76-5673-4DD6-A3D0-2D6FB9B5CC50}"/>
    <hyperlink ref="Z122" location="A127830179K" display="A127830179K" xr:uid="{A898DF6E-CFF9-45CB-A305-B21F12D7F25E}"/>
    <hyperlink ref="AA122" location="A127827209C" display="A127827209C" xr:uid="{32739D83-8B54-40AE-8409-488D932FE7B1}"/>
    <hyperlink ref="AB122" location="A127832999C" display="A127832999C" xr:uid="{7E744B67-4B9F-4517-B978-EC5398EE21F9}"/>
    <hyperlink ref="AC122" location="A127830029C" display="A127830029C" xr:uid="{5121E842-724F-452C-BA82-B8D501244E82}"/>
    <hyperlink ref="AD122" location="A127827059J" display="A127827059J" xr:uid="{1363029D-771D-41C0-9084-30E5CB3A4283}"/>
    <hyperlink ref="AE122" location="A127832969R" display="A127832969R" xr:uid="{87F53C0F-4117-477F-BDA8-BB0D4A08922E}"/>
    <hyperlink ref="AF122" location="A127829999V" display="A127829999V" xr:uid="{4D00C0BA-1BE0-4B5F-B56D-E4B49815FD81}"/>
    <hyperlink ref="AG122" location="A127827029V" display="A127827029V" xr:uid="{59F68450-35E5-4C6C-885D-9782B36B31F0}"/>
    <hyperlink ref="AH122" location="A127833089K" display="A127833089K" xr:uid="{76E32B18-39B4-422C-A74E-E82834498D5F}"/>
    <hyperlink ref="AI122" location="A127830119J" display="A127830119J" xr:uid="{2E87A4D8-CC4F-4147-BB59-DDA8C1BB01B5}"/>
    <hyperlink ref="AJ122" location="A127827149L" display="A127827149L" xr:uid="{948C13CD-C4D2-4BF7-9040-659AC8BBBB57}"/>
    <hyperlink ref="D123" location="A127833177K" display="A127833177K" xr:uid="{86BA5DFC-7093-4704-B148-3236A47C695A}"/>
    <hyperlink ref="E123" location="A127830207J" display="A127830207J" xr:uid="{AD08E24F-A45C-4DD6-8D1F-B4DEFD868AA8}"/>
    <hyperlink ref="F123" location="A127827237L" display="A127827237L" xr:uid="{0F568B22-7343-4158-8986-79E83B74EC0F}"/>
    <hyperlink ref="G123" location="A127832937W" display="A127832937W" xr:uid="{90CFCF0A-DDE0-49D9-A8FD-D8F024E0F534}"/>
    <hyperlink ref="H123" location="A127829967A" display="A127829967A" xr:uid="{D6523F66-6C9D-4099-8DB6-F571EDF1EAD5}"/>
    <hyperlink ref="I123" location="A127826997K" display="A127826997K" xr:uid="{197CC043-24E4-402D-B68A-06B0060C0D9B}"/>
    <hyperlink ref="J123" location="A127833117J" display="A127833117J" xr:uid="{0A39ACE3-5BE6-4E86-8B2E-AE8023DC43B5}"/>
    <hyperlink ref="K123" location="A127830147T" display="A127830147T" xr:uid="{3E984A75-DE95-4D0D-BD49-CCAD9A8AA927}"/>
    <hyperlink ref="L123" location="A127827177W" display="A127827177W" xr:uid="{B7442E1E-2E63-4587-A9B3-292F5E45C54D}"/>
    <hyperlink ref="M123" location="A127833057T" display="A127833057T" xr:uid="{4E1E474C-C5A3-4EE8-8EBD-1BE0A691E5ED}"/>
    <hyperlink ref="N123" location="A127830087A" display="A127830087A" xr:uid="{70C4D380-ED99-475B-99CC-772BF970AF38}"/>
    <hyperlink ref="O123" location="A127827117V" display="A127827117V" xr:uid="{6E29FD64-B197-428A-86FC-8E0FB538C9D1}"/>
    <hyperlink ref="P123" location="A127833027C" display="A127833027C" xr:uid="{AC6DF7BF-0018-4564-BE7B-77F7449AF95A}"/>
    <hyperlink ref="Q123" location="A127830057L" display="A127830057L" xr:uid="{AB2EC72A-88CF-4CCF-BD96-BE5E7A14E637}"/>
    <hyperlink ref="R123" location="A127827087T" display="A127827087T" xr:uid="{70C6A6B7-C3E5-468C-93BA-2F47E2179598}"/>
    <hyperlink ref="S123" location="A127833207L" display="A127833207L" xr:uid="{3D8C4557-E355-4A80-801A-7020AB641772}"/>
    <hyperlink ref="T123" location="A127830237W" display="A127830237W" xr:uid="{1C029504-6A3A-4EC4-B03E-BE04AA92EC26}"/>
    <hyperlink ref="U123" location="A127827267A" display="A127827267A" xr:uid="{403C7364-8053-42C8-9500-B25AE583B443}"/>
    <hyperlink ref="V123" location="A127833237A" display="A127833237A" xr:uid="{2FA16EE5-3E71-497C-A7D3-3B53A19497CE}"/>
    <hyperlink ref="W123" location="A127830267K" display="A127830267K" xr:uid="{370A1E68-17B7-4681-9D5B-34F64B46AF7B}"/>
    <hyperlink ref="X123" location="A127827297R" display="A127827297R" xr:uid="{12E5275B-7335-46FC-97F1-C895E6A8C9AE}"/>
    <hyperlink ref="Y123" location="A127833147W" display="A127833147W" xr:uid="{6D2095BD-F2C6-4B74-BFE1-0E13E2637DC5}"/>
    <hyperlink ref="Z123" location="A127830177F" display="A127830177F" xr:uid="{28E16FED-FF64-48D9-B49A-1445BD38AB50}"/>
    <hyperlink ref="AA123" location="A127827207X" display="A127827207X" xr:uid="{946412B1-7FFF-4676-9DCE-CBEB8592745F}"/>
    <hyperlink ref="AB123" location="A127832997X" display="A127832997X" xr:uid="{8002771E-C399-432C-86C6-C3829622D383}"/>
    <hyperlink ref="AC123" location="A127830027X" display="A127830027X" xr:uid="{C5E75CF4-9D8A-4BA1-BB05-6E26EE28F6D6}"/>
    <hyperlink ref="AD123" location="A127827057C" display="A127827057C" xr:uid="{CDA85E08-09F5-460D-A24D-F99E0176A46A}"/>
    <hyperlink ref="AE123" location="A127832967K" display="A127832967K" xr:uid="{E6C6A9D6-3189-48B3-81BC-B525976E5ABA}"/>
    <hyperlink ref="AF123" location="A127829997R" display="A127829997R" xr:uid="{BE0D67F9-C970-4030-B6D0-EA9A3B96A9A3}"/>
    <hyperlink ref="AG123" location="A127827027R" display="A127827027R" xr:uid="{EE647FDE-D47C-47F7-A2DB-9C5A1038ABA7}"/>
    <hyperlink ref="AH123" location="A127833087F" display="A127833087F" xr:uid="{ECBD2D64-7C0D-4766-AAA3-78674B9AE620}"/>
    <hyperlink ref="AI123" location="A127830117C" display="A127830117C" xr:uid="{A6A390B1-ABE5-434F-BBE6-84E86CCA7DD0}"/>
    <hyperlink ref="AJ123" location="A127827147J" display="A127827147J" xr:uid="{F1C82B1A-F837-43F2-ACD3-2BF88E3D4DAC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51FF9-BA24-4263-BF62-F624DE8800DF}">
  <sheetPr>
    <pageSetUpPr fitToPage="1"/>
  </sheetPr>
  <dimension ref="A1:AD149"/>
  <sheetViews>
    <sheetView zoomScaleNormal="100" workbookViewId="0">
      <pane ySplit="12" topLeftCell="A13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0" ht="11.25" customHeight="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20" ht="15.95" customHeight="1">
      <c r="A2" s="6"/>
      <c r="B2" s="26" t="s">
        <v>1723</v>
      </c>
      <c r="C2" s="7"/>
      <c r="D2" s="7"/>
      <c r="E2" s="7"/>
      <c r="F2" s="7"/>
      <c r="G2" s="7"/>
      <c r="H2" s="7"/>
      <c r="I2" s="7"/>
      <c r="J2" s="7"/>
      <c r="K2" s="7"/>
      <c r="L2" s="26"/>
      <c r="M2" s="7"/>
      <c r="N2" s="7"/>
      <c r="O2" s="7"/>
      <c r="P2" s="7"/>
      <c r="Q2" s="7"/>
      <c r="R2" s="7"/>
      <c r="S2" s="7"/>
      <c r="T2" s="7"/>
    </row>
    <row r="3" spans="1:20" ht="11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0" ht="11.25" customHeight="1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</row>
    <row r="5" spans="1:20" ht="15.95" customHeight="1">
      <c r="A5" s="25"/>
      <c r="B5" s="27" t="str">
        <f>Contents!B5</f>
        <v>6229.0 Underemployed workers</v>
      </c>
      <c r="C5" s="25"/>
      <c r="D5" s="25"/>
      <c r="E5" s="25"/>
      <c r="F5" s="25"/>
      <c r="G5" s="25"/>
      <c r="H5" s="25"/>
      <c r="I5" s="25"/>
      <c r="J5" s="25"/>
      <c r="K5" s="25"/>
      <c r="L5" s="27"/>
      <c r="M5" s="25"/>
      <c r="N5" s="25"/>
      <c r="O5" s="25"/>
      <c r="P5" s="25"/>
      <c r="Q5" s="25"/>
      <c r="R5" s="25"/>
      <c r="S5" s="25"/>
      <c r="T5" s="25"/>
    </row>
    <row r="6" spans="1:20" ht="15.95" customHeight="1">
      <c r="A6" s="25"/>
      <c r="B6" s="65" t="str">
        <f>Contents!B6</f>
        <v>Table 1. Cyclical and structural underemployment of full-time and part-time workers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</row>
    <row r="7" spans="1:20" ht="15.95" customHeight="1">
      <c r="A7" s="25"/>
      <c r="B7" s="28" t="str">
        <f>Contents!B7</f>
        <v>Released at 11:30 am (Canberra time) Tue 24 May 2022</v>
      </c>
      <c r="C7" s="25"/>
      <c r="D7" s="25"/>
      <c r="E7" s="25"/>
      <c r="F7" s="25"/>
      <c r="G7" s="25"/>
      <c r="H7" s="25"/>
      <c r="I7" s="25"/>
      <c r="J7" s="25"/>
      <c r="K7" s="25"/>
      <c r="L7" s="28"/>
      <c r="M7" s="25"/>
      <c r="N7" s="25"/>
      <c r="O7" s="25"/>
      <c r="P7" s="25"/>
      <c r="Q7" s="25"/>
      <c r="R7" s="25"/>
      <c r="S7" s="25"/>
      <c r="T7" s="25"/>
    </row>
    <row r="8" spans="1:20" ht="15.75" customHeight="1">
      <c r="A8" s="66" t="str">
        <f>Contents!C12</f>
        <v>Table 1.2 - Cyclical and structural underemployment of full-time and part-time workers by state and territory, February 2022</v>
      </c>
      <c r="B8" s="66"/>
      <c r="C8" s="66"/>
      <c r="D8" s="66"/>
      <c r="E8" s="66"/>
      <c r="F8" s="66"/>
      <c r="G8" s="66"/>
      <c r="H8" s="66"/>
      <c r="I8" s="29"/>
      <c r="J8" s="30"/>
      <c r="K8" s="30"/>
      <c r="L8" s="66"/>
      <c r="M8" s="66"/>
      <c r="N8" s="66"/>
      <c r="O8" s="66"/>
      <c r="P8" s="66"/>
      <c r="Q8" s="66"/>
      <c r="R8" s="66"/>
      <c r="S8" s="29"/>
      <c r="T8" s="30"/>
    </row>
    <row r="9" spans="1:20" ht="15.75" customHeight="1">
      <c r="A9" s="31"/>
      <c r="B9" s="31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</row>
    <row r="10" spans="1:20" ht="15" customHeight="1">
      <c r="A10" s="31"/>
      <c r="B10" s="33" t="s">
        <v>1799</v>
      </c>
      <c r="C10" s="67" t="s">
        <v>1777</v>
      </c>
      <c r="D10" s="67"/>
      <c r="E10" s="67"/>
      <c r="F10" s="34"/>
      <c r="G10" s="68" t="s">
        <v>1743</v>
      </c>
      <c r="H10" s="68"/>
      <c r="I10" s="68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</row>
    <row r="11" spans="1:20">
      <c r="A11" s="31"/>
      <c r="B11" s="31"/>
      <c r="C11" s="32" t="s">
        <v>1744</v>
      </c>
      <c r="D11" s="32" t="s">
        <v>1745</v>
      </c>
      <c r="E11" s="32" t="s">
        <v>1746</v>
      </c>
      <c r="F11" s="32"/>
      <c r="G11" s="32" t="s">
        <v>1744</v>
      </c>
      <c r="H11" s="32" t="s">
        <v>1745</v>
      </c>
      <c r="I11" s="32" t="s">
        <v>1746</v>
      </c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</row>
    <row r="12" spans="1:20">
      <c r="A12" s="31"/>
      <c r="B12" s="31"/>
      <c r="C12" s="35" t="s">
        <v>1747</v>
      </c>
      <c r="D12" s="35" t="s">
        <v>1747</v>
      </c>
      <c r="E12" s="35" t="s">
        <v>1747</v>
      </c>
      <c r="F12" s="35"/>
      <c r="G12" s="35" t="s">
        <v>1747</v>
      </c>
      <c r="H12" s="35" t="s">
        <v>1747</v>
      </c>
      <c r="I12" s="35" t="s">
        <v>1747</v>
      </c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</row>
    <row r="13" spans="1:20">
      <c r="A13" s="36" t="s">
        <v>1748</v>
      </c>
      <c r="C13" s="35"/>
      <c r="D13" s="35"/>
      <c r="E13" s="35"/>
      <c r="F13" s="37"/>
      <c r="G13" s="35"/>
      <c r="H13" s="35"/>
      <c r="I13" s="35"/>
    </row>
    <row r="14" spans="1:20">
      <c r="B14" s="6" t="s">
        <v>1749</v>
      </c>
      <c r="C14" s="38" cm="1">
        <f t="array" ref="C14">INDEX($D$64:$AD$91,$C64,C$56)</f>
        <v>1570.816</v>
      </c>
      <c r="D14" s="38" cm="1">
        <f t="array" ref="D14">INDEX($D$64:$AD$91,$C64,D$56)</f>
        <v>824.32799999999997</v>
      </c>
      <c r="E14" s="38" cm="1">
        <f t="array" ref="E14">INDEX($D$64:$AD$91,$C64,E$56)</f>
        <v>746.48800000000006</v>
      </c>
      <c r="F14" s="38"/>
      <c r="G14" s="14" t="str" cm="1">
        <f t="array" ref="G14">HYPERLINK(TEXT("#"&amp;INDEX($D$99:$AD$126,$C99,C$56),),INDEX($D$99:$AD$126,$C99,C$56))</f>
        <v>A127833182C</v>
      </c>
      <c r="H14" s="14" t="str" cm="1">
        <f t="array" ref="H14">HYPERLINK(TEXT("#"&amp;INDEX($D$99:$AD$126,$C99,D$56),),INDEX($D$99:$AD$126,$C99,D$56))</f>
        <v>A127830212A</v>
      </c>
      <c r="I14" s="14" t="str" cm="1">
        <f t="array" ref="I14">HYPERLINK(TEXT("#"&amp;INDEX($D$99:$AD$126,$C99,E$56),),INDEX($D$99:$AD$126,$C99,E$56))</f>
        <v>A127827242F</v>
      </c>
    </row>
    <row r="15" spans="1:20">
      <c r="B15" s="39" t="s">
        <v>1750</v>
      </c>
      <c r="C15" s="38" cm="1">
        <f t="array" ref="C15">INDEX($D$64:$AD$91,$C65,C$56)</f>
        <v>418.20400000000001</v>
      </c>
      <c r="D15" s="38" cm="1">
        <f t="array" ref="D15">INDEX($D$64:$AD$91,$C65,D$56)</f>
        <v>232.63800000000001</v>
      </c>
      <c r="E15" s="38" cm="1">
        <f t="array" ref="E15">INDEX($D$64:$AD$91,$C65,E$56)</f>
        <v>185.566</v>
      </c>
      <c r="F15" s="38"/>
      <c r="G15" s="14" t="str" cm="1">
        <f t="array" ref="G15">HYPERLINK(TEXT("#"&amp;INDEX($D$99:$AD$126,$C100,C$56),),INDEX($D$99:$AD$126,$C100,C$56))</f>
        <v>A127833186L</v>
      </c>
      <c r="H15" s="14" t="str" cm="1">
        <f t="array" ref="H15">HYPERLINK(TEXT("#"&amp;INDEX($D$99:$AD$126,$C100,D$56),),INDEX($D$99:$AD$126,$C100,D$56))</f>
        <v>A127830216K</v>
      </c>
      <c r="I15" s="14" t="str" cm="1">
        <f t="array" ref="I15">HYPERLINK(TEXT("#"&amp;INDEX($D$99:$AD$126,$C100,E$56),),INDEX($D$99:$AD$126,$C100,E$56))</f>
        <v>A127827246R</v>
      </c>
    </row>
    <row r="16" spans="1:20">
      <c r="B16" s="40" t="s">
        <v>1751</v>
      </c>
      <c r="C16" s="38" cm="1">
        <f t="array" ref="C16">INDEX($D$64:$AD$91,$C66,C$56)</f>
        <v>168.17500000000001</v>
      </c>
      <c r="D16" s="38" cm="1">
        <f t="array" ref="D16">INDEX($D$64:$AD$91,$C66,D$56)</f>
        <v>124.782</v>
      </c>
      <c r="E16" s="38" cm="1">
        <f t="array" ref="E16">INDEX($D$64:$AD$91,$C66,E$56)</f>
        <v>43.393000000000001</v>
      </c>
      <c r="F16" s="38"/>
      <c r="G16" s="14" t="str" cm="1">
        <f t="array" ref="G16">HYPERLINK(TEXT("#"&amp;INDEX($D$99:$AD$126,$C101,C$56),),INDEX($D$99:$AD$126,$C101,C$56))</f>
        <v>A127833181A</v>
      </c>
      <c r="H16" s="14" t="str" cm="1">
        <f t="array" ref="H16">HYPERLINK(TEXT("#"&amp;INDEX($D$99:$AD$126,$C101,D$56),),INDEX($D$99:$AD$126,$C101,D$56))</f>
        <v>A127830211X</v>
      </c>
      <c r="I16" s="14" t="str" cm="1">
        <f t="array" ref="I16">HYPERLINK(TEXT("#"&amp;INDEX($D$99:$AD$126,$C101,E$56),),INDEX($D$99:$AD$126,$C101,E$56))</f>
        <v>A127827241C</v>
      </c>
    </row>
    <row r="17" spans="1:9">
      <c r="B17" s="41" t="s">
        <v>1752</v>
      </c>
      <c r="C17" s="38" cm="1">
        <f t="array" ref="C17">INDEX($D$64:$AD$91,$C67,C$56)</f>
        <v>98.323999999999998</v>
      </c>
      <c r="D17" s="38" cm="1">
        <f t="array" ref="D17">INDEX($D$64:$AD$91,$C67,D$56)</f>
        <v>68.805999999999997</v>
      </c>
      <c r="E17" s="38" cm="1">
        <f t="array" ref="E17">INDEX($D$64:$AD$91,$C67,E$56)</f>
        <v>29.518000000000001</v>
      </c>
      <c r="F17" s="38"/>
      <c r="G17" s="14" t="str" cm="1">
        <f t="array" ref="G17">HYPERLINK(TEXT("#"&amp;INDEX($D$99:$AD$126,$C102,C$56),),INDEX($D$99:$AD$126,$C102,C$56))</f>
        <v>A127833179R</v>
      </c>
      <c r="H17" s="14" t="str" cm="1">
        <f t="array" ref="H17">HYPERLINK(TEXT("#"&amp;INDEX($D$99:$AD$126,$C102,D$56),),INDEX($D$99:$AD$126,$C102,D$56))</f>
        <v>A127830209L</v>
      </c>
      <c r="I17" s="14" t="str" cm="1">
        <f t="array" ref="I17">HYPERLINK(TEXT("#"&amp;INDEX($D$99:$AD$126,$C102,E$56),),INDEX($D$99:$AD$126,$C102,E$56))</f>
        <v>A127827239T</v>
      </c>
    </row>
    <row r="18" spans="1:9">
      <c r="B18" s="41" t="s">
        <v>1753</v>
      </c>
      <c r="C18" s="38" cm="1">
        <f t="array" ref="C18">INDEX($D$64:$AD$91,$C68,C$56)</f>
        <v>69.850999999999999</v>
      </c>
      <c r="D18" s="38" cm="1">
        <f t="array" ref="D18">INDEX($D$64:$AD$91,$C68,D$56)</f>
        <v>55.975999999999999</v>
      </c>
      <c r="E18" s="38" cm="1">
        <f t="array" ref="E18">INDEX($D$64:$AD$91,$C68,E$56)</f>
        <v>13.874000000000001</v>
      </c>
      <c r="F18" s="38"/>
      <c r="G18" s="14" t="str" cm="1">
        <f t="array" ref="G18">HYPERLINK(TEXT("#"&amp;INDEX($D$99:$AD$126,$C103,C$56),),INDEX($D$99:$AD$126,$C103,C$56))</f>
        <v>A127833190C</v>
      </c>
      <c r="H18" s="14" t="str" cm="1">
        <f t="array" ref="H18">HYPERLINK(TEXT("#"&amp;INDEX($D$99:$AD$126,$C103,D$56),),INDEX($D$99:$AD$126,$C103,D$56))</f>
        <v>A127830220A</v>
      </c>
      <c r="I18" s="14" t="str" cm="1">
        <f t="array" ref="I18">HYPERLINK(TEXT("#"&amp;INDEX($D$99:$AD$126,$C103,E$56),),INDEX($D$99:$AD$126,$C103,E$56))</f>
        <v>A127827250F</v>
      </c>
    </row>
    <row r="19" spans="1:9">
      <c r="B19" s="40" t="s">
        <v>1754</v>
      </c>
      <c r="C19" s="38" cm="1">
        <f t="array" ref="C19">INDEX($D$64:$AD$91,$C69,C$56)</f>
        <v>250.029</v>
      </c>
      <c r="D19" s="38" cm="1">
        <f t="array" ref="D19">INDEX($D$64:$AD$91,$C69,D$56)</f>
        <v>107.85599999999999</v>
      </c>
      <c r="E19" s="38" cm="1">
        <f t="array" ref="E19">INDEX($D$64:$AD$91,$C69,E$56)</f>
        <v>142.17400000000001</v>
      </c>
      <c r="F19" s="38"/>
      <c r="G19" s="14" t="str" cm="1">
        <f t="array" ref="G19">HYPERLINK(TEXT("#"&amp;INDEX($D$99:$AD$126,$C104,C$56),),INDEX($D$99:$AD$126,$C104,C$56))</f>
        <v>A127833178L</v>
      </c>
      <c r="H19" s="14" t="str" cm="1">
        <f t="array" ref="H19">HYPERLINK(TEXT("#"&amp;INDEX($D$99:$AD$126,$C104,D$56),),INDEX($D$99:$AD$126,$C104,D$56))</f>
        <v>A127830208K</v>
      </c>
      <c r="I19" s="14" t="str" cm="1">
        <f t="array" ref="I19">HYPERLINK(TEXT("#"&amp;INDEX($D$99:$AD$126,$C104,E$56),),INDEX($D$99:$AD$126,$C104,E$56))</f>
        <v>A127827238R</v>
      </c>
    </row>
    <row r="20" spans="1:9">
      <c r="B20" s="39" t="s">
        <v>1755</v>
      </c>
      <c r="C20" s="38" cm="1">
        <f t="array" ref="C20">INDEX($D$64:$AD$91,$C70,C$56)</f>
        <v>1314.856</v>
      </c>
      <c r="D20" s="38" cm="1">
        <f t="array" ref="D20">INDEX($D$64:$AD$91,$C70,D$56)</f>
        <v>678.1</v>
      </c>
      <c r="E20" s="38" cm="1">
        <f t="array" ref="E20">INDEX($D$64:$AD$91,$C70,E$56)</f>
        <v>636.75599999999997</v>
      </c>
      <c r="F20" s="38"/>
      <c r="G20" s="14" t="str" cm="1">
        <f t="array" ref="G20">HYPERLINK(TEXT("#"&amp;INDEX($D$99:$AD$126,$C105,C$56),),INDEX($D$99:$AD$126,$C105,C$56))</f>
        <v>A127833185K</v>
      </c>
      <c r="H20" s="14" t="str" cm="1">
        <f t="array" ref="H20">HYPERLINK(TEXT("#"&amp;INDEX($D$99:$AD$126,$C105,D$56),),INDEX($D$99:$AD$126,$C105,D$56))</f>
        <v>A127830215J</v>
      </c>
      <c r="I20" s="14" t="str" cm="1">
        <f t="array" ref="I20">HYPERLINK(TEXT("#"&amp;INDEX($D$99:$AD$126,$C105,E$56),),INDEX($D$99:$AD$126,$C105,E$56))</f>
        <v>A127827245L</v>
      </c>
    </row>
    <row r="21" spans="1:9">
      <c r="B21" s="40" t="s">
        <v>1756</v>
      </c>
      <c r="C21" s="38" cm="1">
        <f t="array" ref="C21">INDEX($D$64:$AD$91,$C71,C$56)</f>
        <v>511.22500000000002</v>
      </c>
      <c r="D21" s="38" cm="1">
        <f t="array" ref="D21">INDEX($D$64:$AD$91,$C71,D$56)</f>
        <v>358.13900000000001</v>
      </c>
      <c r="E21" s="38" cm="1">
        <f t="array" ref="E21">INDEX($D$64:$AD$91,$C71,E$56)</f>
        <v>153.08600000000001</v>
      </c>
      <c r="F21" s="38"/>
      <c r="G21" s="14" t="str" cm="1">
        <f t="array" ref="G21">HYPERLINK(TEXT("#"&amp;INDEX($D$99:$AD$126,$C106,C$56),),INDEX($D$99:$AD$126,$C106,C$56))</f>
        <v>A127833180X</v>
      </c>
      <c r="H21" s="14" t="str" cm="1">
        <f t="array" ref="H21">HYPERLINK(TEXT("#"&amp;INDEX($D$99:$AD$126,$C106,D$56),),INDEX($D$99:$AD$126,$C106,D$56))</f>
        <v>A127830210W</v>
      </c>
      <c r="I21" s="14" t="str" cm="1">
        <f t="array" ref="I21">HYPERLINK(TEXT("#"&amp;INDEX($D$99:$AD$126,$C106,E$56),),INDEX($D$99:$AD$126,$C106,E$56))</f>
        <v>A127827240A</v>
      </c>
    </row>
    <row r="22" spans="1:9">
      <c r="B22" s="40" t="s">
        <v>1757</v>
      </c>
      <c r="C22" s="38" cm="1">
        <f t="array" ref="C22">INDEX($D$64:$AD$91,$C72,C$56)</f>
        <v>803.63199999999995</v>
      </c>
      <c r="D22" s="38" cm="1">
        <f t="array" ref="D22">INDEX($D$64:$AD$91,$C72,D$56)</f>
        <v>319.96199999999999</v>
      </c>
      <c r="E22" s="38" cm="1">
        <f t="array" ref="E22">INDEX($D$64:$AD$91,$C72,E$56)</f>
        <v>483.67</v>
      </c>
      <c r="F22" s="38"/>
      <c r="G22" s="14" t="str" cm="1">
        <f t="array" ref="G22">HYPERLINK(TEXT("#"&amp;INDEX($D$99:$AD$126,$C107,C$56),),INDEX($D$99:$AD$126,$C107,C$56))</f>
        <v>A127833177K</v>
      </c>
      <c r="H22" s="14" t="str" cm="1">
        <f t="array" ref="H22">HYPERLINK(TEXT("#"&amp;INDEX($D$99:$AD$126,$C107,D$56),),INDEX($D$99:$AD$126,$C107,D$56))</f>
        <v>A127830207J</v>
      </c>
      <c r="I22" s="14" t="str" cm="1">
        <f t="array" ref="I22">HYPERLINK(TEXT("#"&amp;INDEX($D$99:$AD$126,$C107,E$56),),INDEX($D$99:$AD$126,$C107,E$56))</f>
        <v>A127827237L</v>
      </c>
    </row>
    <row r="23" spans="1:9">
      <c r="C23" s="38"/>
      <c r="D23" s="38"/>
      <c r="E23" s="38"/>
      <c r="F23" s="38"/>
      <c r="G23" s="14"/>
      <c r="H23" s="14"/>
      <c r="I23" s="14"/>
    </row>
    <row r="24" spans="1:9">
      <c r="A24" s="36" t="s">
        <v>1758</v>
      </c>
      <c r="C24" s="38"/>
      <c r="D24" s="38"/>
      <c r="E24" s="38"/>
      <c r="F24" s="38"/>
      <c r="G24" s="14"/>
      <c r="H24" s="14"/>
      <c r="I24" s="14"/>
    </row>
    <row r="25" spans="1:9">
      <c r="A25" s="36"/>
      <c r="B25" s="6" t="s">
        <v>1749</v>
      </c>
      <c r="C25" s="38" cm="1">
        <f t="array" ref="C25">INDEX($D$64:$AD$91,$C75,C$56)</f>
        <v>1570.816</v>
      </c>
      <c r="D25" s="38" cm="1">
        <f t="array" ref="D25">INDEX($D$64:$AD$91,$C75,D$56)</f>
        <v>824.32799999999997</v>
      </c>
      <c r="E25" s="38" cm="1">
        <f t="array" ref="E25">INDEX($D$64:$AD$91,$C75,E$56)</f>
        <v>746.48800000000006</v>
      </c>
      <c r="F25" s="38"/>
      <c r="G25" s="14" t="str" cm="1">
        <f t="array" ref="G25">HYPERLINK(TEXT("#"&amp;INDEX($D$99:$AD$126,$C110,C$56),),INDEX($D$99:$AD$126,$C110,C$56))</f>
        <v>A127833182C</v>
      </c>
      <c r="H25" s="14" t="str" cm="1">
        <f t="array" ref="H25">HYPERLINK(TEXT("#"&amp;INDEX($D$99:$AD$126,$C110,D$56),),INDEX($D$99:$AD$126,$C110,D$56))</f>
        <v>A127830212A</v>
      </c>
      <c r="I25" s="14" t="str" cm="1">
        <f t="array" ref="I25">HYPERLINK(TEXT("#"&amp;INDEX($D$99:$AD$126,$C110,E$56),),INDEX($D$99:$AD$126,$C110,E$56))</f>
        <v>A127827242F</v>
      </c>
    </row>
    <row r="26" spans="1:9">
      <c r="B26" s="39" t="s">
        <v>1759</v>
      </c>
      <c r="C26" s="38" cm="1">
        <f t="array" ref="C26">INDEX($D$64:$AD$91,$C76,C$56)</f>
        <v>639.29399999999998</v>
      </c>
      <c r="D26" s="38" cm="1">
        <f t="array" ref="D26">INDEX($D$64:$AD$91,$C76,D$56)</f>
        <v>453.61</v>
      </c>
      <c r="E26" s="38" cm="1">
        <f t="array" ref="E26">INDEX($D$64:$AD$91,$C76,E$56)</f>
        <v>185.684</v>
      </c>
      <c r="F26" s="38"/>
      <c r="G26" s="14" t="str" cm="1">
        <f t="array" ref="G26">HYPERLINK(TEXT("#"&amp;INDEX($D$99:$AD$126,$C111,C$56),),INDEX($D$99:$AD$126,$C111,C$56))</f>
        <v>A127833184J</v>
      </c>
      <c r="H26" s="14" t="str" cm="1">
        <f t="array" ref="H26">HYPERLINK(TEXT("#"&amp;INDEX($D$99:$AD$126,$C111,D$56),),INDEX($D$99:$AD$126,$C111,D$56))</f>
        <v>A127830214F</v>
      </c>
      <c r="I26" s="14" t="str" cm="1">
        <f t="array" ref="I26">HYPERLINK(TEXT("#"&amp;INDEX($D$99:$AD$126,$C111,E$56),),INDEX($D$99:$AD$126,$C111,E$56))</f>
        <v>A127827244K</v>
      </c>
    </row>
    <row r="27" spans="1:9">
      <c r="B27" s="40" t="s">
        <v>1751</v>
      </c>
      <c r="C27" s="38" cm="1">
        <f t="array" ref="C27">INDEX($D$64:$AD$91,$C77,C$56)</f>
        <v>168.17500000000001</v>
      </c>
      <c r="D27" s="38" cm="1">
        <f t="array" ref="D27">INDEX($D$64:$AD$91,$C77,D$56)</f>
        <v>124.782</v>
      </c>
      <c r="E27" s="38" cm="1">
        <f t="array" ref="E27">INDEX($D$64:$AD$91,$C77,E$56)</f>
        <v>43.393000000000001</v>
      </c>
      <c r="F27" s="38"/>
      <c r="G27" s="14" t="str" cm="1">
        <f t="array" ref="G27">HYPERLINK(TEXT("#"&amp;INDEX($D$99:$AD$126,$C112,C$56),),INDEX($D$99:$AD$126,$C112,C$56))</f>
        <v>A127833181A</v>
      </c>
      <c r="H27" s="14" t="str" cm="1">
        <f t="array" ref="H27">HYPERLINK(TEXT("#"&amp;INDEX($D$99:$AD$126,$C112,D$56),),INDEX($D$99:$AD$126,$C112,D$56))</f>
        <v>A127830211X</v>
      </c>
      <c r="I27" s="14" t="str" cm="1">
        <f t="array" ref="I27">HYPERLINK(TEXT("#"&amp;INDEX($D$99:$AD$126,$C112,E$56),),INDEX($D$99:$AD$126,$C112,E$56))</f>
        <v>A127827241C</v>
      </c>
    </row>
    <row r="28" spans="1:9">
      <c r="B28" s="40" t="s">
        <v>1756</v>
      </c>
      <c r="C28" s="38" cm="1">
        <f t="array" ref="C28">INDEX($D$64:$AD$91,$C78,C$56)</f>
        <v>511.22500000000002</v>
      </c>
      <c r="D28" s="38" cm="1">
        <f t="array" ref="D28">INDEX($D$64:$AD$91,$C78,D$56)</f>
        <v>358.13900000000001</v>
      </c>
      <c r="E28" s="38" cm="1">
        <f t="array" ref="E28">INDEX($D$64:$AD$91,$C78,E$56)</f>
        <v>153.08600000000001</v>
      </c>
      <c r="F28" s="38"/>
      <c r="G28" s="14" t="str" cm="1">
        <f t="array" ref="G28">HYPERLINK(TEXT("#"&amp;INDEX($D$99:$AD$126,$C113,C$56),),INDEX($D$99:$AD$126,$C113,C$56))</f>
        <v>A127833180X</v>
      </c>
      <c r="H28" s="14" t="str" cm="1">
        <f t="array" ref="H28">HYPERLINK(TEXT("#"&amp;INDEX($D$99:$AD$126,$C113,D$56),),INDEX($D$99:$AD$126,$C113,D$56))</f>
        <v>A127830210W</v>
      </c>
      <c r="I28" s="14" t="str" cm="1">
        <f t="array" ref="I28">HYPERLINK(TEXT("#"&amp;INDEX($D$99:$AD$126,$C113,E$56),),INDEX($D$99:$AD$126,$C113,E$56))</f>
        <v>A127827240A</v>
      </c>
    </row>
    <row r="29" spans="1:9">
      <c r="B29" s="39" t="s">
        <v>1760</v>
      </c>
      <c r="C29" s="38" cm="1">
        <f t="array" ref="C29">INDEX($D$64:$AD$91,$C79,C$56)</f>
        <v>931.52200000000005</v>
      </c>
      <c r="D29" s="38" cm="1">
        <f t="array" ref="D29">INDEX($D$64:$AD$91,$C79,D$56)</f>
        <v>370.71800000000002</v>
      </c>
      <c r="E29" s="38" cm="1">
        <f t="array" ref="E29">INDEX($D$64:$AD$91,$C79,E$56)</f>
        <v>560.80399999999997</v>
      </c>
      <c r="F29" s="38"/>
      <c r="G29" s="14" t="str" cm="1">
        <f t="array" ref="G29">HYPERLINK(TEXT("#"&amp;INDEX($D$99:$AD$126,$C114,C$56),),INDEX($D$99:$AD$126,$C114,C$56))</f>
        <v>A127833183F</v>
      </c>
      <c r="H29" s="14" t="str" cm="1">
        <f t="array" ref="H29">HYPERLINK(TEXT("#"&amp;INDEX($D$99:$AD$126,$C114,D$56),),INDEX($D$99:$AD$126,$C114,D$56))</f>
        <v>A127830213C</v>
      </c>
      <c r="I29" s="14" t="str" cm="1">
        <f t="array" ref="I29">HYPERLINK(TEXT("#"&amp;INDEX($D$99:$AD$126,$C114,E$56),),INDEX($D$99:$AD$126,$C114,E$56))</f>
        <v>A127827243J</v>
      </c>
    </row>
    <row r="30" spans="1:9">
      <c r="B30" s="40" t="s">
        <v>1754</v>
      </c>
      <c r="C30" s="38" cm="1">
        <f t="array" ref="C30">INDEX($D$64:$AD$91,$C80,C$56)</f>
        <v>250.029</v>
      </c>
      <c r="D30" s="38" cm="1">
        <f t="array" ref="D30">INDEX($D$64:$AD$91,$C80,D$56)</f>
        <v>107.85599999999999</v>
      </c>
      <c r="E30" s="38" cm="1">
        <f t="array" ref="E30">INDEX($D$64:$AD$91,$C80,E$56)</f>
        <v>142.17400000000001</v>
      </c>
      <c r="F30" s="38"/>
      <c r="G30" s="14" t="str" cm="1">
        <f t="array" ref="G30">HYPERLINK(TEXT("#"&amp;INDEX($D$99:$AD$126,$C115,C$56),),INDEX($D$99:$AD$126,$C115,C$56))</f>
        <v>A127833178L</v>
      </c>
      <c r="H30" s="14" t="str" cm="1">
        <f t="array" ref="H30">HYPERLINK(TEXT("#"&amp;INDEX($D$99:$AD$126,$C115,D$56),),INDEX($D$99:$AD$126,$C115,D$56))</f>
        <v>A127830208K</v>
      </c>
      <c r="I30" s="14" t="str" cm="1">
        <f t="array" ref="I30">HYPERLINK(TEXT("#"&amp;INDEX($D$99:$AD$126,$C115,E$56),),INDEX($D$99:$AD$126,$C115,E$56))</f>
        <v>A127827238R</v>
      </c>
    </row>
    <row r="31" spans="1:9">
      <c r="B31" s="40" t="s">
        <v>1757</v>
      </c>
      <c r="C31" s="38" cm="1">
        <f t="array" ref="C31">INDEX($D$64:$AD$91,$C81,C$56)</f>
        <v>803.63199999999995</v>
      </c>
      <c r="D31" s="38" cm="1">
        <f t="array" ref="D31">INDEX($D$64:$AD$91,$C81,D$56)</f>
        <v>319.96199999999999</v>
      </c>
      <c r="E31" s="38" cm="1">
        <f t="array" ref="E31">INDEX($D$64:$AD$91,$C81,E$56)</f>
        <v>483.67</v>
      </c>
      <c r="F31" s="38"/>
      <c r="G31" s="14" t="str" cm="1">
        <f t="array" ref="G31">HYPERLINK(TEXT("#"&amp;INDEX($D$99:$AD$126,$C116,C$56),),INDEX($D$99:$AD$126,$C116,C$56))</f>
        <v>A127833177K</v>
      </c>
      <c r="H31" s="14" t="str" cm="1">
        <f t="array" ref="H31">HYPERLINK(TEXT("#"&amp;INDEX($D$99:$AD$126,$C116,D$56),),INDEX($D$99:$AD$126,$C116,D$56))</f>
        <v>A127830207J</v>
      </c>
      <c r="I31" s="14" t="str" cm="1">
        <f t="array" ref="I31">HYPERLINK(TEXT("#"&amp;INDEX($D$99:$AD$126,$C116,E$56),),INDEX($D$99:$AD$126,$C116,E$56))</f>
        <v>A127827237L</v>
      </c>
    </row>
    <row r="32" spans="1:9">
      <c r="B32" s="6"/>
      <c r="C32" s="38"/>
      <c r="D32" s="38"/>
      <c r="E32" s="38"/>
      <c r="F32" s="38"/>
      <c r="G32" s="14"/>
      <c r="H32" s="14"/>
      <c r="I32" s="14"/>
    </row>
    <row r="33" spans="1:20">
      <c r="A33" s="36" t="s">
        <v>1761</v>
      </c>
      <c r="C33" s="38"/>
      <c r="D33" s="38"/>
      <c r="E33" s="38"/>
      <c r="F33" s="38"/>
      <c r="G33" s="14"/>
      <c r="H33" s="14"/>
      <c r="I33" s="14"/>
    </row>
    <row r="34" spans="1:20">
      <c r="A34" s="36"/>
      <c r="B34" s="6" t="s">
        <v>1761</v>
      </c>
      <c r="C34" s="38" cm="1">
        <f t="array" ref="C34">INDEX($D$64:$AD$91,$C84,C$56)</f>
        <v>901.95600000000002</v>
      </c>
      <c r="D34" s="38" cm="1">
        <f t="array" ref="D34">INDEX($D$64:$AD$91,$C84,D$56)</f>
        <v>388.76799999999997</v>
      </c>
      <c r="E34" s="38" cm="1">
        <f t="array" ref="E34">INDEX($D$64:$AD$91,$C84,E$56)</f>
        <v>513.18799999999999</v>
      </c>
      <c r="F34" s="38"/>
      <c r="G34" s="14" t="str" cm="1">
        <f t="array" ref="G34">HYPERLINK(TEXT("#"&amp;INDEX($D$99:$AD$126,$C119,C$56),),INDEX($D$99:$AD$126,$C119,C$56))</f>
        <v>A127833191F</v>
      </c>
      <c r="H34" s="14" t="str" cm="1">
        <f t="array" ref="H34">HYPERLINK(TEXT("#"&amp;INDEX($D$99:$AD$126,$C119,D$56),),INDEX($D$99:$AD$126,$C119,D$56))</f>
        <v>A127830221C</v>
      </c>
      <c r="I34" s="14" t="str" cm="1">
        <f t="array" ref="I34">HYPERLINK(TEXT("#"&amp;INDEX($D$99:$AD$126,$C119,E$56),),INDEX($D$99:$AD$126,$C119,E$56))</f>
        <v>A127827251J</v>
      </c>
    </row>
    <row r="35" spans="1:20">
      <c r="B35" s="39" t="s">
        <v>1762</v>
      </c>
      <c r="C35" s="38" cm="1">
        <f t="array" ref="C35">INDEX($D$64:$AD$91,$C85,C$56)</f>
        <v>98.323999999999998</v>
      </c>
      <c r="D35" s="38" cm="1">
        <f t="array" ref="D35">INDEX($D$64:$AD$91,$C85,D$56)</f>
        <v>68.805999999999997</v>
      </c>
      <c r="E35" s="38" cm="1">
        <f t="array" ref="E35">INDEX($D$64:$AD$91,$C85,E$56)</f>
        <v>29.518000000000001</v>
      </c>
      <c r="F35" s="38"/>
      <c r="G35" s="14" t="str" cm="1">
        <f t="array" ref="G35">HYPERLINK(TEXT("#"&amp;INDEX($D$99:$AD$126,$C120,C$56),),INDEX($D$99:$AD$126,$C120,C$56))</f>
        <v>A127833179R</v>
      </c>
      <c r="H35" s="14" t="str" cm="1">
        <f t="array" ref="H35">HYPERLINK(TEXT("#"&amp;INDEX($D$99:$AD$126,$C120,D$56),),INDEX($D$99:$AD$126,$C120,D$56))</f>
        <v>A127830209L</v>
      </c>
      <c r="I35" s="14" t="str" cm="1">
        <f t="array" ref="I35">HYPERLINK(TEXT("#"&amp;INDEX($D$99:$AD$126,$C120,E$56),),INDEX($D$99:$AD$126,$C120,E$56))</f>
        <v>A127827239T</v>
      </c>
    </row>
    <row r="36" spans="1:20">
      <c r="B36" s="39" t="s">
        <v>1757</v>
      </c>
      <c r="C36" s="38" cm="1">
        <f t="array" ref="C36">INDEX($D$64:$AD$91,$C86,C$56)</f>
        <v>803.63199999999995</v>
      </c>
      <c r="D36" s="38" cm="1">
        <f t="array" ref="D36">INDEX($D$64:$AD$91,$C86,D$56)</f>
        <v>319.96199999999999</v>
      </c>
      <c r="E36" s="38" cm="1">
        <f t="array" ref="E36">INDEX($D$64:$AD$91,$C86,E$56)</f>
        <v>483.67</v>
      </c>
      <c r="F36" s="38"/>
      <c r="G36" s="14" t="str" cm="1">
        <f t="array" ref="G36">HYPERLINK(TEXT("#"&amp;INDEX($D$99:$AD$126,$C121,C$56),),INDEX($D$99:$AD$126,$C121,C$56))</f>
        <v>A127833177K</v>
      </c>
      <c r="H36" s="14" t="str" cm="1">
        <f t="array" ref="H36">HYPERLINK(TEXT("#"&amp;INDEX($D$99:$AD$126,$C121,D$56),),INDEX($D$99:$AD$126,$C121,D$56))</f>
        <v>A127830207J</v>
      </c>
      <c r="I36" s="14" t="str" cm="1">
        <f t="array" ref="I36">HYPERLINK(TEXT("#"&amp;INDEX($D$99:$AD$126,$C121,E$56),),INDEX($D$99:$AD$126,$C121,E$56))</f>
        <v>A127827237L</v>
      </c>
    </row>
    <row r="37" spans="1:20">
      <c r="B37" s="6"/>
      <c r="C37" s="38"/>
      <c r="D37" s="38"/>
      <c r="E37" s="38"/>
      <c r="F37" s="38"/>
      <c r="G37" s="14"/>
      <c r="H37" s="14"/>
      <c r="I37" s="14"/>
    </row>
    <row r="38" spans="1:20">
      <c r="A38" s="36" t="s">
        <v>1763</v>
      </c>
      <c r="C38" s="38"/>
      <c r="D38" s="38"/>
      <c r="E38" s="38"/>
      <c r="F38" s="38"/>
      <c r="G38" s="14"/>
      <c r="H38" s="14"/>
      <c r="I38" s="14"/>
    </row>
    <row r="39" spans="1:20">
      <c r="B39" s="6" t="s">
        <v>1764</v>
      </c>
      <c r="C39" s="38" cm="1">
        <f t="array" ref="C39">INDEX($D$64:$AD$91,$C89,C$56)</f>
        <v>13437.653</v>
      </c>
      <c r="D39" s="38" cm="1">
        <f t="array" ref="D39">INDEX($D$64:$AD$91,$C89,D$56)</f>
        <v>7011.6419999999998</v>
      </c>
      <c r="E39" s="38" cm="1">
        <f t="array" ref="E39">INDEX($D$64:$AD$91,$C89,E$56)</f>
        <v>6426.01</v>
      </c>
      <c r="F39" s="38"/>
      <c r="G39" s="14" t="str" cm="1">
        <f t="array" ref="G39">HYPERLINK(TEXT("#"&amp;INDEX($D$99:$AD$126,$C124,C$56),),INDEX($D$99:$AD$126,$C124,C$56))</f>
        <v>A127833187R</v>
      </c>
      <c r="H39" s="14" t="str" cm="1">
        <f t="array" ref="H39">HYPERLINK(TEXT("#"&amp;INDEX($D$99:$AD$126,$C124,D$56),),INDEX($D$99:$AD$126,$C124,D$56))</f>
        <v>A127830217L</v>
      </c>
      <c r="I39" s="14" t="str" cm="1">
        <f t="array" ref="I39">HYPERLINK(TEXT("#"&amp;INDEX($D$99:$AD$126,$C124,E$56),),INDEX($D$99:$AD$126,$C124,E$56))</f>
        <v>A127827247T</v>
      </c>
    </row>
    <row r="40" spans="1:20">
      <c r="B40" s="39" t="s">
        <v>1765</v>
      </c>
      <c r="C40" s="38" cm="1">
        <f t="array" ref="C40">INDEX($D$64:$AD$91,$C90,C$56)</f>
        <v>9343.2520000000004</v>
      </c>
      <c r="D40" s="38" cm="1">
        <f t="array" ref="D40">INDEX($D$64:$AD$91,$C90,D$56)</f>
        <v>5735.4679999999998</v>
      </c>
      <c r="E40" s="38" cm="1">
        <f t="array" ref="E40">INDEX($D$64:$AD$91,$C90,E$56)</f>
        <v>3607.7840000000001</v>
      </c>
      <c r="F40" s="38"/>
      <c r="G40" s="14" t="str" cm="1">
        <f t="array" ref="G40">HYPERLINK(TEXT("#"&amp;INDEX($D$99:$AD$126,$C125,C$56),),INDEX($D$99:$AD$126,$C125,C$56))</f>
        <v>A127833189V</v>
      </c>
      <c r="H40" s="14" t="str" cm="1">
        <f t="array" ref="H40">HYPERLINK(TEXT("#"&amp;INDEX($D$99:$AD$126,$C125,D$56),),INDEX($D$99:$AD$126,$C125,D$56))</f>
        <v>A127830219T</v>
      </c>
      <c r="I40" s="14" t="str" cm="1">
        <f t="array" ref="I40">HYPERLINK(TEXT("#"&amp;INDEX($D$99:$AD$126,$C125,E$56),),INDEX($D$99:$AD$126,$C125,E$56))</f>
        <v>A127827249W</v>
      </c>
    </row>
    <row r="41" spans="1:20">
      <c r="B41" s="39" t="s">
        <v>1766</v>
      </c>
      <c r="C41" s="38" cm="1">
        <f t="array" ref="C41">INDEX($D$64:$AD$91,$C91,C$56)</f>
        <v>4094.4009999999998</v>
      </c>
      <c r="D41" s="38" cm="1">
        <f t="array" ref="D41">INDEX($D$64:$AD$91,$C91,D$56)</f>
        <v>1276.174</v>
      </c>
      <c r="E41" s="38" cm="1">
        <f t="array" ref="E41">INDEX($D$64:$AD$91,$C91,E$56)</f>
        <v>2818.2269999999999</v>
      </c>
      <c r="F41" s="38"/>
      <c r="G41" s="14" t="str" cm="1">
        <f t="array" ref="G41">HYPERLINK(TEXT("#"&amp;INDEX($D$99:$AD$126,$C126,C$56),),INDEX($D$99:$AD$126,$C126,C$56))</f>
        <v>A127833188T</v>
      </c>
      <c r="H41" s="14" t="str" cm="1">
        <f t="array" ref="H41">HYPERLINK(TEXT("#"&amp;INDEX($D$99:$AD$126,$C126,D$56),),INDEX($D$99:$AD$126,$C126,D$56))</f>
        <v>A127830218R</v>
      </c>
      <c r="I41" s="14" t="str" cm="1">
        <f t="array" ref="I41">HYPERLINK(TEXT("#"&amp;INDEX($D$99:$AD$126,$C126,E$56),),INDEX($D$99:$AD$126,$C126,E$56))</f>
        <v>A127827248V</v>
      </c>
    </row>
    <row r="42" spans="1:20">
      <c r="B42" s="6"/>
      <c r="C42" s="38"/>
      <c r="D42" s="38"/>
      <c r="E42" s="38"/>
      <c r="F42" s="38"/>
      <c r="G42" s="14"/>
      <c r="H42" s="14"/>
      <c r="I42" s="14"/>
    </row>
    <row r="43" spans="1:20">
      <c r="B43" s="6"/>
      <c r="C43" s="38"/>
      <c r="D43" s="38"/>
      <c r="E43" s="38"/>
      <c r="F43" s="38"/>
      <c r="G43" s="14"/>
      <c r="H43" s="14"/>
      <c r="I43" s="14"/>
    </row>
    <row r="44" spans="1:20">
      <c r="A44" s="42" t="str">
        <f ca="1">Contents!B27</f>
        <v>© Commonwealth of Australia 2022</v>
      </c>
      <c r="B44" s="43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</row>
    <row r="45" spans="1:20">
      <c r="A45" s="42"/>
      <c r="B45" s="43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</row>
    <row r="46" spans="1:20" hidden="1">
      <c r="A46" s="44"/>
      <c r="B46" s="45" t="s">
        <v>1777</v>
      </c>
      <c r="C46" s="46">
        <v>1</v>
      </c>
      <c r="D46" s="47"/>
      <c r="E46" s="47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</row>
    <row r="47" spans="1:20" hidden="1">
      <c r="A47" s="44"/>
      <c r="B47" s="45" t="s">
        <v>1778</v>
      </c>
      <c r="C47" s="46">
        <f>C46+3</f>
        <v>4</v>
      </c>
      <c r="D47" s="47"/>
      <c r="E47" s="47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</row>
    <row r="48" spans="1:20" hidden="1">
      <c r="A48" s="44"/>
      <c r="B48" s="45" t="s">
        <v>1779</v>
      </c>
      <c r="C48" s="46">
        <f t="shared" ref="C48:C54" si="0">C47+3</f>
        <v>7</v>
      </c>
      <c r="D48" s="47"/>
      <c r="E48" s="47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</row>
    <row r="49" spans="1:30" hidden="1">
      <c r="A49" s="44"/>
      <c r="B49" s="45" t="s">
        <v>1780</v>
      </c>
      <c r="C49" s="46">
        <f t="shared" si="0"/>
        <v>10</v>
      </c>
      <c r="D49" s="47"/>
      <c r="E49" s="47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</row>
    <row r="50" spans="1:30" hidden="1">
      <c r="A50" s="44"/>
      <c r="B50" s="45" t="s">
        <v>1781</v>
      </c>
      <c r="C50" s="46">
        <f t="shared" si="0"/>
        <v>13</v>
      </c>
      <c r="D50" s="47"/>
      <c r="E50" s="47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</row>
    <row r="51" spans="1:30" hidden="1">
      <c r="A51" s="44"/>
      <c r="B51" s="45" t="s">
        <v>1782</v>
      </c>
      <c r="C51" s="46">
        <f t="shared" si="0"/>
        <v>16</v>
      </c>
      <c r="D51" s="47"/>
      <c r="E51" s="47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</row>
    <row r="52" spans="1:30" hidden="1">
      <c r="A52" s="44"/>
      <c r="B52" s="45" t="s">
        <v>1783</v>
      </c>
      <c r="C52" s="46">
        <f t="shared" si="0"/>
        <v>19</v>
      </c>
      <c r="D52" s="47"/>
      <c r="E52" s="47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</row>
    <row r="53" spans="1:30" hidden="1">
      <c r="A53" s="44"/>
      <c r="B53" s="45" t="s">
        <v>1784</v>
      </c>
      <c r="C53" s="46">
        <f t="shared" si="0"/>
        <v>22</v>
      </c>
      <c r="D53" s="47"/>
      <c r="E53" s="47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</row>
    <row r="54" spans="1:30" hidden="1">
      <c r="A54" s="44"/>
      <c r="B54" s="45" t="s">
        <v>1785</v>
      </c>
      <c r="C54" s="46">
        <f t="shared" si="0"/>
        <v>25</v>
      </c>
      <c r="D54" s="47"/>
      <c r="E54" s="47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</row>
    <row r="55" spans="1:30" hidden="1">
      <c r="A55" s="44"/>
      <c r="B55" s="48"/>
      <c r="C55" s="47"/>
      <c r="D55" s="47"/>
      <c r="E55" s="47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</row>
    <row r="56" spans="1:30" hidden="1">
      <c r="A56" s="44"/>
      <c r="B56" s="49"/>
      <c r="C56" s="46">
        <f>VLOOKUP(C10,B46:C54,2,FALSE)</f>
        <v>1</v>
      </c>
      <c r="D56" s="46">
        <f>C56+1</f>
        <v>2</v>
      </c>
      <c r="E56" s="46">
        <f>D56+1</f>
        <v>3</v>
      </c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</row>
    <row r="57" spans="1:30" hidden="1">
      <c r="A57" s="44"/>
      <c r="B57" s="43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</row>
    <row r="58" spans="1:30" hidden="1">
      <c r="A58" s="44"/>
      <c r="B58" s="43"/>
      <c r="C58" s="43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</row>
    <row r="59" spans="1:30" hidden="1">
      <c r="A59" s="44"/>
      <c r="B59" s="43"/>
      <c r="C59" s="43"/>
      <c r="D59" s="46">
        <v>1</v>
      </c>
      <c r="E59" s="46">
        <v>2</v>
      </c>
      <c r="F59" s="46">
        <v>3</v>
      </c>
      <c r="G59" s="46">
        <v>4</v>
      </c>
      <c r="H59" s="46">
        <v>5</v>
      </c>
      <c r="I59" s="46">
        <v>6</v>
      </c>
      <c r="J59" s="46">
        <v>7</v>
      </c>
      <c r="K59" s="46">
        <v>8</v>
      </c>
      <c r="L59" s="46">
        <v>9</v>
      </c>
      <c r="M59" s="46">
        <v>10</v>
      </c>
      <c r="N59" s="46">
        <v>11</v>
      </c>
      <c r="O59" s="46">
        <v>12</v>
      </c>
      <c r="P59" s="46">
        <v>13</v>
      </c>
      <c r="Q59" s="46">
        <v>14</v>
      </c>
      <c r="R59" s="46">
        <v>15</v>
      </c>
      <c r="S59" s="46">
        <v>16</v>
      </c>
      <c r="T59" s="46">
        <v>17</v>
      </c>
      <c r="U59" s="46">
        <v>18</v>
      </c>
      <c r="V59" s="46">
        <v>19</v>
      </c>
      <c r="W59" s="46">
        <v>20</v>
      </c>
      <c r="X59" s="46">
        <v>21</v>
      </c>
      <c r="Y59" s="46">
        <v>22</v>
      </c>
      <c r="Z59" s="46">
        <v>23</v>
      </c>
      <c r="AA59" s="46">
        <v>24</v>
      </c>
      <c r="AB59" s="46">
        <v>25</v>
      </c>
      <c r="AC59" s="46">
        <v>26</v>
      </c>
      <c r="AD59" s="46">
        <v>27</v>
      </c>
    </row>
    <row r="60" spans="1:30" ht="15" hidden="1" customHeight="1">
      <c r="A60" s="31"/>
      <c r="B60" s="31"/>
      <c r="C60" s="31"/>
      <c r="D60" s="64" t="s">
        <v>1786</v>
      </c>
      <c r="E60" s="64"/>
      <c r="F60" s="64"/>
      <c r="G60" s="64" t="s">
        <v>1787</v>
      </c>
      <c r="H60" s="64"/>
      <c r="I60" s="64"/>
      <c r="J60" s="64" t="s">
        <v>1788</v>
      </c>
      <c r="K60" s="64"/>
      <c r="L60" s="64"/>
      <c r="M60" s="64" t="s">
        <v>1789</v>
      </c>
      <c r="N60" s="64"/>
      <c r="O60" s="64"/>
      <c r="P60" s="64" t="s">
        <v>1790</v>
      </c>
      <c r="Q60" s="64"/>
      <c r="R60" s="64"/>
      <c r="S60" s="64" t="s">
        <v>1791</v>
      </c>
      <c r="T60" s="64"/>
      <c r="U60" s="64"/>
      <c r="V60" s="64" t="s">
        <v>1792</v>
      </c>
      <c r="W60" s="64"/>
      <c r="X60" s="64"/>
      <c r="Y60" s="64" t="s">
        <v>1793</v>
      </c>
      <c r="Z60" s="64"/>
      <c r="AA60" s="64"/>
      <c r="AB60" s="64" t="s">
        <v>1794</v>
      </c>
      <c r="AC60" s="64"/>
      <c r="AD60" s="64"/>
    </row>
    <row r="61" spans="1:30" hidden="1">
      <c r="A61" s="31"/>
      <c r="B61" s="31"/>
      <c r="C61" s="31"/>
      <c r="D61" s="32" t="s">
        <v>1744</v>
      </c>
      <c r="E61" s="32" t="s">
        <v>1745</v>
      </c>
      <c r="F61" s="32" t="s">
        <v>1746</v>
      </c>
      <c r="G61" s="32" t="s">
        <v>1744</v>
      </c>
      <c r="H61" s="32" t="s">
        <v>1745</v>
      </c>
      <c r="I61" s="32" t="s">
        <v>1746</v>
      </c>
      <c r="J61" s="32" t="s">
        <v>1744</v>
      </c>
      <c r="K61" s="32" t="s">
        <v>1745</v>
      </c>
      <c r="L61" s="32" t="s">
        <v>1746</v>
      </c>
      <c r="M61" s="32" t="s">
        <v>1744</v>
      </c>
      <c r="N61" s="32" t="s">
        <v>1745</v>
      </c>
      <c r="O61" s="32" t="s">
        <v>1746</v>
      </c>
      <c r="P61" s="32" t="s">
        <v>1744</v>
      </c>
      <c r="Q61" s="32" t="s">
        <v>1745</v>
      </c>
      <c r="R61" s="32" t="s">
        <v>1746</v>
      </c>
      <c r="S61" s="32" t="s">
        <v>1744</v>
      </c>
      <c r="T61" s="32" t="s">
        <v>1745</v>
      </c>
      <c r="U61" s="32" t="s">
        <v>1746</v>
      </c>
      <c r="V61" s="32" t="s">
        <v>1744</v>
      </c>
      <c r="W61" s="32" t="s">
        <v>1745</v>
      </c>
      <c r="X61" s="32" t="s">
        <v>1746</v>
      </c>
      <c r="Y61" s="32" t="s">
        <v>1744</v>
      </c>
      <c r="Z61" s="32" t="s">
        <v>1745</v>
      </c>
      <c r="AA61" s="32" t="s">
        <v>1746</v>
      </c>
      <c r="AB61" s="32" t="s">
        <v>1744</v>
      </c>
      <c r="AC61" s="32" t="s">
        <v>1745</v>
      </c>
      <c r="AD61" s="32" t="s">
        <v>1746</v>
      </c>
    </row>
    <row r="62" spans="1:30" hidden="1">
      <c r="A62" s="31"/>
      <c r="B62" s="31"/>
      <c r="C62" s="31"/>
      <c r="D62" s="35" t="s">
        <v>1747</v>
      </c>
      <c r="E62" s="35" t="s">
        <v>1747</v>
      </c>
      <c r="F62" s="35" t="s">
        <v>1747</v>
      </c>
      <c r="G62" s="35" t="s">
        <v>1747</v>
      </c>
      <c r="H62" s="35" t="s">
        <v>1747</v>
      </c>
      <c r="I62" s="35" t="s">
        <v>1747</v>
      </c>
      <c r="J62" s="35" t="s">
        <v>1747</v>
      </c>
      <c r="K62" s="35" t="s">
        <v>1747</v>
      </c>
      <c r="L62" s="35" t="s">
        <v>1747</v>
      </c>
      <c r="M62" s="35" t="s">
        <v>1747</v>
      </c>
      <c r="N62" s="35" t="s">
        <v>1747</v>
      </c>
      <c r="O62" s="35" t="s">
        <v>1747</v>
      </c>
      <c r="P62" s="35" t="s">
        <v>1747</v>
      </c>
      <c r="Q62" s="35" t="s">
        <v>1747</v>
      </c>
      <c r="R62" s="35" t="s">
        <v>1747</v>
      </c>
      <c r="S62" s="35" t="s">
        <v>1747</v>
      </c>
      <c r="T62" s="35" t="s">
        <v>1747</v>
      </c>
      <c r="U62" s="35" t="s">
        <v>1747</v>
      </c>
      <c r="V62" s="35" t="s">
        <v>1747</v>
      </c>
      <c r="W62" s="35" t="s">
        <v>1747</v>
      </c>
      <c r="X62" s="35" t="s">
        <v>1747</v>
      </c>
      <c r="Y62" s="35" t="s">
        <v>1747</v>
      </c>
      <c r="Z62" s="35" t="s">
        <v>1747</v>
      </c>
      <c r="AA62" s="35" t="s">
        <v>1747</v>
      </c>
      <c r="AB62" s="35" t="s">
        <v>1747</v>
      </c>
      <c r="AC62" s="35" t="s">
        <v>1747</v>
      </c>
      <c r="AD62" s="35" t="s">
        <v>1747</v>
      </c>
    </row>
    <row r="63" spans="1:30" hidden="1">
      <c r="A63" s="36" t="s">
        <v>1748</v>
      </c>
      <c r="C63" s="31"/>
      <c r="D63" s="35"/>
      <c r="E63" s="35"/>
      <c r="F63" s="35"/>
      <c r="G63" s="37"/>
      <c r="H63" s="50"/>
      <c r="I63" s="50"/>
    </row>
    <row r="64" spans="1:30" hidden="1">
      <c r="B64" s="6" t="s">
        <v>1749</v>
      </c>
      <c r="C64" s="45">
        <v>1</v>
      </c>
      <c r="D64" s="38">
        <f>_xlfn.SINGLE(A127833182C_Latest)</f>
        <v>1570.816</v>
      </c>
      <c r="E64" s="38">
        <f>_xlfn.SINGLE(A127830212A_Latest)</f>
        <v>824.32799999999997</v>
      </c>
      <c r="F64" s="38">
        <f>_xlfn.SINGLE(A127827242F_Latest)</f>
        <v>746.48800000000006</v>
      </c>
      <c r="G64" s="38">
        <f>_xlfn.SINGLE(A127834832L_Latest)</f>
        <v>481.75299999999999</v>
      </c>
      <c r="H64" s="38">
        <f>_xlfn.SINGLE(A127831862W_Latest)</f>
        <v>253.56299999999999</v>
      </c>
      <c r="I64" s="38">
        <f>_xlfn.SINGLE(A127828892A_Latest)</f>
        <v>228.19</v>
      </c>
      <c r="J64" s="38">
        <f>_xlfn.SINGLE(A127833512J_Latest)</f>
        <v>401.423</v>
      </c>
      <c r="K64" s="38">
        <f>_xlfn.SINGLE(A127830542T_Latest)</f>
        <v>216.35400000000001</v>
      </c>
      <c r="L64" s="38">
        <f>_xlfn.SINGLE(A127827572W_Latest)</f>
        <v>185.06899999999999</v>
      </c>
      <c r="M64" s="38">
        <f>_xlfn.SINGLE(A127835162F_Latest)</f>
        <v>325.12</v>
      </c>
      <c r="N64" s="38">
        <f>_xlfn.SINGLE(A127832192R_Latest)</f>
        <v>168.239</v>
      </c>
      <c r="O64" s="38">
        <f>_xlfn.SINGLE(A127829222J_Latest)</f>
        <v>156.881</v>
      </c>
      <c r="P64" s="38">
        <f>_xlfn.SINGLE(A127835492W_Latest)</f>
        <v>108.21299999999999</v>
      </c>
      <c r="Q64" s="38">
        <f>_xlfn.SINGLE(A127832522V_Latest)</f>
        <v>51.350999999999999</v>
      </c>
      <c r="R64" s="38">
        <f>_xlfn.SINGLE(A127829552X_Latest)</f>
        <v>56.862000000000002</v>
      </c>
      <c r="S64" s="38">
        <f>_xlfn.SINGLE(A127833842X_Latest)</f>
        <v>179.434</v>
      </c>
      <c r="T64" s="38">
        <f>_xlfn.SINGLE(A127830872J_Latest)</f>
        <v>92.738</v>
      </c>
      <c r="U64" s="38">
        <f>_xlfn.SINGLE(A127827902A_Latest)</f>
        <v>86.695999999999998</v>
      </c>
      <c r="V64" s="38">
        <f>_xlfn.SINGLE(A127834172T_Latest)</f>
        <v>34.146000000000001</v>
      </c>
      <c r="W64" s="38">
        <f>_xlfn.SINGLE(A127831202R_Latest)</f>
        <v>18.463999999999999</v>
      </c>
      <c r="X64" s="38">
        <f>_xlfn.SINGLE(A127828232V_Latest)</f>
        <v>15.682</v>
      </c>
      <c r="Y64" s="38">
        <f>_xlfn.SINGLE(A127834502W_Latest)</f>
        <v>18.385999999999999</v>
      </c>
      <c r="Z64" s="38">
        <f>_xlfn.SINGLE(A127831532F_Latest)</f>
        <v>10.318</v>
      </c>
      <c r="AA64" s="38">
        <f>_xlfn.SINGLE(A127828562K_Latest)</f>
        <v>8.0679999999999996</v>
      </c>
      <c r="AB64" s="38">
        <f>_xlfn.SINGLE(A127832852K_Latest)</f>
        <v>22.341999999999999</v>
      </c>
      <c r="AC64" s="38">
        <f>_xlfn.SINGLE(A127829882R_Latest)</f>
        <v>13.301</v>
      </c>
      <c r="AD64" s="38">
        <f>_xlfn.SINGLE(A127826912L_Latest)</f>
        <v>9.0410000000000004</v>
      </c>
    </row>
    <row r="65" spans="1:30" hidden="1">
      <c r="B65" s="39" t="s">
        <v>1750</v>
      </c>
      <c r="C65" s="45">
        <v>2</v>
      </c>
      <c r="D65" s="38">
        <f>_xlfn.SINGLE(A127833186L_Latest)</f>
        <v>418.20400000000001</v>
      </c>
      <c r="E65" s="38">
        <f>_xlfn.SINGLE(A127830216K_Latest)</f>
        <v>232.63800000000001</v>
      </c>
      <c r="F65" s="38">
        <f>_xlfn.SINGLE(A127827246R_Latest)</f>
        <v>185.566</v>
      </c>
      <c r="G65" s="38">
        <f>_xlfn.SINGLE(A127834836W_Latest)</f>
        <v>135.11000000000001</v>
      </c>
      <c r="H65" s="38">
        <f>_xlfn.SINGLE(A127831866F_Latest)</f>
        <v>70.88</v>
      </c>
      <c r="I65" s="38">
        <f>_xlfn.SINGLE(A127828896K_Latest)</f>
        <v>64.228999999999999</v>
      </c>
      <c r="J65" s="38">
        <f>_xlfn.SINGLE(A127833516T_Latest)</f>
        <v>115.92400000000001</v>
      </c>
      <c r="K65" s="38">
        <f>_xlfn.SINGLE(A127830546A_Latest)</f>
        <v>68.186999999999998</v>
      </c>
      <c r="L65" s="38">
        <f>_xlfn.SINGLE(A127827576F_Latest)</f>
        <v>47.737000000000002</v>
      </c>
      <c r="M65" s="38">
        <f>_xlfn.SINGLE(A127835166R_Latest)</f>
        <v>75.927000000000007</v>
      </c>
      <c r="N65" s="38">
        <f>_xlfn.SINGLE(A127832196X_Latest)</f>
        <v>43.526000000000003</v>
      </c>
      <c r="O65" s="38">
        <f>_xlfn.SINGLE(A127829226T_Latest)</f>
        <v>32.401000000000003</v>
      </c>
      <c r="P65" s="38">
        <f>_xlfn.SINGLE(A127835496F_Latest)</f>
        <v>31.404</v>
      </c>
      <c r="Q65" s="38">
        <f>_xlfn.SINGLE(A127832526C_Latest)</f>
        <v>14.257999999999999</v>
      </c>
      <c r="R65" s="38">
        <f>_xlfn.SINGLE(A127829556J_Latest)</f>
        <v>17.146000000000001</v>
      </c>
      <c r="S65" s="38">
        <f>_xlfn.SINGLE(A127833846J_Latest)</f>
        <v>42.29</v>
      </c>
      <c r="T65" s="38">
        <f>_xlfn.SINGLE(A127830876T_Latest)</f>
        <v>25.853999999999999</v>
      </c>
      <c r="U65" s="38">
        <f>_xlfn.SINGLE(A127827906K_Latest)</f>
        <v>16.436</v>
      </c>
      <c r="V65" s="38">
        <f>_xlfn.SINGLE(A127834176A_Latest)</f>
        <v>8.9480000000000004</v>
      </c>
      <c r="W65" s="38">
        <f>_xlfn.SINGLE(A127831206X_Latest)</f>
        <v>5.7290000000000001</v>
      </c>
      <c r="X65" s="38">
        <f>_xlfn.SINGLE(A127828236C_Latest)</f>
        <v>3.2189999999999999</v>
      </c>
      <c r="Y65" s="38">
        <f>_xlfn.SINGLE(A127834506F_Latest)</f>
        <v>3.9390000000000001</v>
      </c>
      <c r="Z65" s="38">
        <f>_xlfn.SINGLE(A127831536R_Latest)</f>
        <v>2.11</v>
      </c>
      <c r="AA65" s="38">
        <f>_xlfn.SINGLE(A127828566V_Latest)</f>
        <v>1.829</v>
      </c>
      <c r="AB65" s="38">
        <f>_xlfn.SINGLE(A127832856V_Latest)</f>
        <v>4.6619999999999999</v>
      </c>
      <c r="AC65" s="38">
        <f>_xlfn.SINGLE(A127829886X_Latest)</f>
        <v>2.0939999999999999</v>
      </c>
      <c r="AD65" s="38">
        <f>_xlfn.SINGLE(A127826916W_Latest)</f>
        <v>2.569</v>
      </c>
    </row>
    <row r="66" spans="1:30" hidden="1">
      <c r="B66" s="40" t="s">
        <v>1751</v>
      </c>
      <c r="C66" s="45">
        <v>3</v>
      </c>
      <c r="D66" s="38">
        <f>_xlfn.SINGLE(A127833181A_Latest)</f>
        <v>168.17500000000001</v>
      </c>
      <c r="E66" s="38">
        <f>_xlfn.SINGLE(A127830211X_Latest)</f>
        <v>124.782</v>
      </c>
      <c r="F66" s="38">
        <f>_xlfn.SINGLE(A127827241C_Latest)</f>
        <v>43.393000000000001</v>
      </c>
      <c r="G66" s="38">
        <f>_xlfn.SINGLE(A127834831K_Latest)</f>
        <v>53.94</v>
      </c>
      <c r="H66" s="38">
        <f>_xlfn.SINGLE(A127831861V_Latest)</f>
        <v>39.979999999999997</v>
      </c>
      <c r="I66" s="38">
        <f>_xlfn.SINGLE(A127828891X_Latest)</f>
        <v>13.96</v>
      </c>
      <c r="J66" s="38">
        <f>_xlfn.SINGLE(A127833511F_Latest)</f>
        <v>46.104999999999997</v>
      </c>
      <c r="K66" s="38">
        <f>_xlfn.SINGLE(A127830541R_Latest)</f>
        <v>35.189</v>
      </c>
      <c r="L66" s="38">
        <f>_xlfn.SINGLE(A127827571V_Latest)</f>
        <v>10.916</v>
      </c>
      <c r="M66" s="38">
        <f>_xlfn.SINGLE(A127835161C_Latest)</f>
        <v>28.459</v>
      </c>
      <c r="N66" s="38">
        <f>_xlfn.SINGLE(A127832191L_Latest)</f>
        <v>22.024999999999999</v>
      </c>
      <c r="O66" s="38">
        <f>_xlfn.SINGLE(A127829221F_Latest)</f>
        <v>6.4340000000000002</v>
      </c>
      <c r="P66" s="38">
        <f>_xlfn.SINGLE(A127835491V_Latest)</f>
        <v>13.292999999999999</v>
      </c>
      <c r="Q66" s="38">
        <f>_xlfn.SINGLE(A127832521T_Latest)</f>
        <v>8.1590000000000007</v>
      </c>
      <c r="R66" s="38">
        <f>_xlfn.SINGLE(A127829551W_Latest)</f>
        <v>5.1340000000000003</v>
      </c>
      <c r="S66" s="38">
        <f>_xlfn.SINGLE(A127833841W_Latest)</f>
        <v>20.248999999999999</v>
      </c>
      <c r="T66" s="38">
        <f>_xlfn.SINGLE(A127830871F_Latest)</f>
        <v>14.765000000000001</v>
      </c>
      <c r="U66" s="38">
        <f>_xlfn.SINGLE(A127827901X_Latest)</f>
        <v>5.484</v>
      </c>
      <c r="V66" s="38">
        <f>_xlfn.SINGLE(A127834171R_Latest)</f>
        <v>2.798</v>
      </c>
      <c r="W66" s="38">
        <f>_xlfn.SINGLE(A127831201L_Latest)</f>
        <v>2.5609999999999999</v>
      </c>
      <c r="X66" s="38">
        <f>_xlfn.SINGLE(A127828231T_Latest)</f>
        <v>0.23699999999999999</v>
      </c>
      <c r="Y66" s="38">
        <f>_xlfn.SINGLE(A127834501V_Latest)</f>
        <v>2.1920000000000002</v>
      </c>
      <c r="Z66" s="38">
        <f>_xlfn.SINGLE(A127831531C_Latest)</f>
        <v>1.3069999999999999</v>
      </c>
      <c r="AA66" s="38">
        <f>_xlfn.SINGLE(A127828561J_Latest)</f>
        <v>0.88500000000000001</v>
      </c>
      <c r="AB66" s="38">
        <f>_xlfn.SINGLE(A127832851J_Latest)</f>
        <v>1.139</v>
      </c>
      <c r="AC66" s="38">
        <f>_xlfn.SINGLE(A127829881L_Latest)</f>
        <v>0.79600000000000004</v>
      </c>
      <c r="AD66" s="38">
        <f>_xlfn.SINGLE(A127826911K_Latest)</f>
        <v>0.34300000000000003</v>
      </c>
    </row>
    <row r="67" spans="1:30" hidden="1">
      <c r="B67" s="41" t="s">
        <v>1752</v>
      </c>
      <c r="C67" s="45">
        <v>4</v>
      </c>
      <c r="D67" s="38">
        <f>_xlfn.SINGLE(A127833179R_Latest)</f>
        <v>98.323999999999998</v>
      </c>
      <c r="E67" s="38">
        <f>_xlfn.SINGLE(A127830209L_Latest)</f>
        <v>68.805999999999997</v>
      </c>
      <c r="F67" s="38">
        <f>_xlfn.SINGLE(A127827239T_Latest)</f>
        <v>29.518000000000001</v>
      </c>
      <c r="G67" s="38">
        <f>_xlfn.SINGLE(A127834829X_Latest)</f>
        <v>35.011000000000003</v>
      </c>
      <c r="H67" s="38">
        <f>_xlfn.SINGLE(A127831859J_Latest)</f>
        <v>24.285</v>
      </c>
      <c r="I67" s="38">
        <f>_xlfn.SINGLE(A127828889L_Latest)</f>
        <v>10.726000000000001</v>
      </c>
      <c r="J67" s="38">
        <f>_xlfn.SINGLE(A127833509V_Latest)</f>
        <v>24.401</v>
      </c>
      <c r="K67" s="38">
        <f>_xlfn.SINGLE(A127830539C_Latest)</f>
        <v>18.202000000000002</v>
      </c>
      <c r="L67" s="38">
        <f>_xlfn.SINGLE(A127827569J_Latest)</f>
        <v>6.1989999999999998</v>
      </c>
      <c r="M67" s="38">
        <f>_xlfn.SINGLE(A127835159T_Latest)</f>
        <v>18.73</v>
      </c>
      <c r="N67" s="38">
        <f>_xlfn.SINGLE(A127832189A_Latest)</f>
        <v>12.747999999999999</v>
      </c>
      <c r="O67" s="38">
        <f>_xlfn.SINGLE(A127829219V_Latest)</f>
        <v>5.9809999999999999</v>
      </c>
      <c r="P67" s="38">
        <f>_xlfn.SINGLE(A127835489J_Latest)</f>
        <v>8.7449999999999992</v>
      </c>
      <c r="Q67" s="38">
        <f>_xlfn.SINGLE(A127832519F_Latest)</f>
        <v>4.9909999999999997</v>
      </c>
      <c r="R67" s="38">
        <f>_xlfn.SINGLE(A127829549K_Latest)</f>
        <v>3.7549999999999999</v>
      </c>
      <c r="S67" s="38">
        <f>_xlfn.SINGLE(A127833839K_Latest)</f>
        <v>8.83</v>
      </c>
      <c r="T67" s="38">
        <f>_xlfn.SINGLE(A127830869V_Latest)</f>
        <v>6.5570000000000004</v>
      </c>
      <c r="U67" s="38">
        <f>_xlfn.SINGLE(A127827899X_Latest)</f>
        <v>2.2730000000000001</v>
      </c>
      <c r="V67" s="38">
        <f>_xlfn.SINGLE(A127834169C_Latest)</f>
        <v>1.1990000000000001</v>
      </c>
      <c r="W67" s="38">
        <f>_xlfn.SINGLE(A127831199L_Latest)</f>
        <v>1.08</v>
      </c>
      <c r="X67" s="38">
        <f>_xlfn.SINGLE(A127828229F_Latest)</f>
        <v>0.11899999999999999</v>
      </c>
      <c r="Y67" s="38">
        <f>_xlfn.SINGLE(A127834499V_Latest)</f>
        <v>1.0369999999999999</v>
      </c>
      <c r="Z67" s="38">
        <f>_xlfn.SINGLE(A127831529T_Latest)</f>
        <v>0.57299999999999995</v>
      </c>
      <c r="AA67" s="38">
        <f>_xlfn.SINGLE(A127828559W_Latest)</f>
        <v>0.46400000000000002</v>
      </c>
      <c r="AB67" s="38">
        <f>_xlfn.SINGLE(A127832849W_Latest)</f>
        <v>0.37</v>
      </c>
      <c r="AC67" s="38">
        <f>_xlfn.SINGLE(A127829879A_Latest)</f>
        <v>0.37</v>
      </c>
      <c r="AD67" s="38">
        <f>_xlfn.SINGLE(A127826909X_Latest)</f>
        <v>0</v>
      </c>
    </row>
    <row r="68" spans="1:30" hidden="1">
      <c r="B68" s="41" t="s">
        <v>1753</v>
      </c>
      <c r="C68" s="45">
        <v>5</v>
      </c>
      <c r="D68" s="38">
        <f>_xlfn.SINGLE(A127833190C_Latest)</f>
        <v>69.850999999999999</v>
      </c>
      <c r="E68" s="38">
        <f>_xlfn.SINGLE(A127830220A_Latest)</f>
        <v>55.975999999999999</v>
      </c>
      <c r="F68" s="38">
        <f>_xlfn.SINGLE(A127827250F_Latest)</f>
        <v>13.874000000000001</v>
      </c>
      <c r="G68" s="38">
        <f>_xlfn.SINGLE(A127834840L_Latest)</f>
        <v>18.928999999999998</v>
      </c>
      <c r="H68" s="38">
        <f>_xlfn.SINGLE(A127831870W_Latest)</f>
        <v>15.695</v>
      </c>
      <c r="I68" s="38">
        <f>_xlfn.SINGLE(A127828900R_Latest)</f>
        <v>3.234</v>
      </c>
      <c r="J68" s="38">
        <f>_xlfn.SINGLE(A127833520J_Latest)</f>
        <v>21.704000000000001</v>
      </c>
      <c r="K68" s="38">
        <f>_xlfn.SINGLE(A127830550T_Latest)</f>
        <v>16.986999999999998</v>
      </c>
      <c r="L68" s="38">
        <f>_xlfn.SINGLE(A127827580W_Latest)</f>
        <v>4.7169999999999996</v>
      </c>
      <c r="M68" s="38">
        <f>_xlfn.SINGLE(A127835170F_Latest)</f>
        <v>9.7289999999999992</v>
      </c>
      <c r="N68" s="38">
        <f>_xlfn.SINGLE(A127832200C_Latest)</f>
        <v>9.2769999999999992</v>
      </c>
      <c r="O68" s="38">
        <f>_xlfn.SINGLE(A127829230J_Latest)</f>
        <v>0.45200000000000001</v>
      </c>
      <c r="P68" s="38">
        <f>_xlfn.SINGLE(A127835500K_Latest)</f>
        <v>4.5469999999999997</v>
      </c>
      <c r="Q68" s="38">
        <f>_xlfn.SINGLE(A127832530V_Latest)</f>
        <v>3.1680000000000001</v>
      </c>
      <c r="R68" s="38">
        <f>_xlfn.SINGLE(A127829560X_Latest)</f>
        <v>1.379</v>
      </c>
      <c r="S68" s="38">
        <f>_xlfn.SINGLE(A127833850X_Latest)</f>
        <v>11.417999999999999</v>
      </c>
      <c r="T68" s="38">
        <f>_xlfn.SINGLE(A127830880J_Latest)</f>
        <v>8.2080000000000002</v>
      </c>
      <c r="U68" s="38">
        <f>_xlfn.SINGLE(A127827910A_Latest)</f>
        <v>3.2109999999999999</v>
      </c>
      <c r="V68" s="38">
        <f>_xlfn.SINGLE(A127834180T_Latest)</f>
        <v>1.599</v>
      </c>
      <c r="W68" s="38">
        <f>_xlfn.SINGLE(A127831210R_Latest)</f>
        <v>1.482</v>
      </c>
      <c r="X68" s="38">
        <f>_xlfn.SINGLE(A127828240V_Latest)</f>
        <v>0.11799999999999999</v>
      </c>
      <c r="Y68" s="38">
        <f>_xlfn.SINGLE(A127834510W_Latest)</f>
        <v>1.155</v>
      </c>
      <c r="Z68" s="38">
        <f>_xlfn.SINGLE(A127831540F_Latest)</f>
        <v>0.73399999999999999</v>
      </c>
      <c r="AA68" s="38">
        <f>_xlfn.SINGLE(A127828570K_Latest)</f>
        <v>0.42099999999999999</v>
      </c>
      <c r="AB68" s="38">
        <f>_xlfn.SINGLE(A127832860K_Latest)</f>
        <v>0.76800000000000002</v>
      </c>
      <c r="AC68" s="38">
        <f>_xlfn.SINGLE(A127829890R_Latest)</f>
        <v>0.42499999999999999</v>
      </c>
      <c r="AD68" s="38">
        <f>_xlfn.SINGLE(A127826920L_Latest)</f>
        <v>0.34300000000000003</v>
      </c>
    </row>
    <row r="69" spans="1:30" hidden="1">
      <c r="B69" s="40" t="s">
        <v>1754</v>
      </c>
      <c r="C69" s="45">
        <v>6</v>
      </c>
      <c r="D69" s="38">
        <f>_xlfn.SINGLE(A127833178L_Latest)</f>
        <v>250.029</v>
      </c>
      <c r="E69" s="38">
        <f>_xlfn.SINGLE(A127830208K_Latest)</f>
        <v>107.85599999999999</v>
      </c>
      <c r="F69" s="38">
        <f>_xlfn.SINGLE(A127827238R_Latest)</f>
        <v>142.17400000000001</v>
      </c>
      <c r="G69" s="38">
        <f>_xlfn.SINGLE(A127834828W_Latest)</f>
        <v>81.17</v>
      </c>
      <c r="H69" s="38">
        <f>_xlfn.SINGLE(A127831858F_Latest)</f>
        <v>30.9</v>
      </c>
      <c r="I69" s="38">
        <f>_xlfn.SINGLE(A127828888K_Latest)</f>
        <v>50.268999999999998</v>
      </c>
      <c r="J69" s="38">
        <f>_xlfn.SINGLE(A127833508T_Latest)</f>
        <v>69.819000000000003</v>
      </c>
      <c r="K69" s="38">
        <f>_xlfn.SINGLE(A127830538A_Latest)</f>
        <v>32.997999999999998</v>
      </c>
      <c r="L69" s="38">
        <f>_xlfn.SINGLE(A127827568F_Latest)</f>
        <v>36.820999999999998</v>
      </c>
      <c r="M69" s="38">
        <f>_xlfn.SINGLE(A127835158R_Latest)</f>
        <v>47.468000000000004</v>
      </c>
      <c r="N69" s="38">
        <f>_xlfn.SINGLE(A127832188X_Latest)</f>
        <v>21.501000000000001</v>
      </c>
      <c r="O69" s="38">
        <f>_xlfn.SINGLE(A127829218T_Latest)</f>
        <v>25.966999999999999</v>
      </c>
      <c r="P69" s="38">
        <f>_xlfn.SINGLE(A127835488F_Latest)</f>
        <v>18.111000000000001</v>
      </c>
      <c r="Q69" s="38">
        <f>_xlfn.SINGLE(A127832518C_Latest)</f>
        <v>6.0990000000000002</v>
      </c>
      <c r="R69" s="38">
        <f>_xlfn.SINGLE(A127829548J_Latest)</f>
        <v>12.012</v>
      </c>
      <c r="S69" s="38">
        <f>_xlfn.SINGLE(A127833838J_Latest)</f>
        <v>22.041</v>
      </c>
      <c r="T69" s="38">
        <f>_xlfn.SINGLE(A127830868T_Latest)</f>
        <v>11.089</v>
      </c>
      <c r="U69" s="38">
        <f>_xlfn.SINGLE(A127827898W_Latest)</f>
        <v>10.952</v>
      </c>
      <c r="V69" s="38">
        <f>_xlfn.SINGLE(A127834168A_Latest)</f>
        <v>6.15</v>
      </c>
      <c r="W69" s="38">
        <f>_xlfn.SINGLE(A127831198K_Latest)</f>
        <v>3.1680000000000001</v>
      </c>
      <c r="X69" s="38">
        <f>_xlfn.SINGLE(A127828228C_Latest)</f>
        <v>2.9830000000000001</v>
      </c>
      <c r="Y69" s="38">
        <f>_xlfn.SINGLE(A127834498T_Latest)</f>
        <v>1.7470000000000001</v>
      </c>
      <c r="Z69" s="38">
        <f>_xlfn.SINGLE(A127831528R_Latest)</f>
        <v>0.80300000000000005</v>
      </c>
      <c r="AA69" s="38">
        <f>_xlfn.SINGLE(A127828558V_Latest)</f>
        <v>0.94299999999999995</v>
      </c>
      <c r="AB69" s="38">
        <f>_xlfn.SINGLE(A127832848V_Latest)</f>
        <v>3.524</v>
      </c>
      <c r="AC69" s="38">
        <f>_xlfn.SINGLE(A127829878X_Latest)</f>
        <v>1.298</v>
      </c>
      <c r="AD69" s="38">
        <f>_xlfn.SINGLE(A127826908W_Latest)</f>
        <v>2.226</v>
      </c>
    </row>
    <row r="70" spans="1:30" hidden="1">
      <c r="B70" s="39" t="s">
        <v>1755</v>
      </c>
      <c r="C70" s="45">
        <v>7</v>
      </c>
      <c r="D70" s="38">
        <f>_xlfn.SINGLE(A127833185K_Latest)</f>
        <v>1314.856</v>
      </c>
      <c r="E70" s="38">
        <f>_xlfn.SINGLE(A127830215J_Latest)</f>
        <v>678.1</v>
      </c>
      <c r="F70" s="38">
        <f>_xlfn.SINGLE(A127827245L_Latest)</f>
        <v>636.75599999999997</v>
      </c>
      <c r="G70" s="38">
        <f>_xlfn.SINGLE(A127834835V_Latest)</f>
        <v>398.76</v>
      </c>
      <c r="H70" s="38">
        <f>_xlfn.SINGLE(A127831865C_Latest)</f>
        <v>208.18</v>
      </c>
      <c r="I70" s="38">
        <f>_xlfn.SINGLE(A127828895J_Latest)</f>
        <v>190.58</v>
      </c>
      <c r="J70" s="38">
        <f>_xlfn.SINGLE(A127833515R_Latest)</f>
        <v>328.21100000000001</v>
      </c>
      <c r="K70" s="38">
        <f>_xlfn.SINGLE(A127830545X_Latest)</f>
        <v>173.16</v>
      </c>
      <c r="L70" s="38">
        <f>_xlfn.SINGLE(A127827575C_Latest)</f>
        <v>155.05099999999999</v>
      </c>
      <c r="M70" s="38">
        <f>_xlfn.SINGLE(A127835165L_Latest)</f>
        <v>283.89499999999998</v>
      </c>
      <c r="N70" s="38">
        <f>_xlfn.SINGLE(A127832195W_Latest)</f>
        <v>145.18</v>
      </c>
      <c r="O70" s="38">
        <f>_xlfn.SINGLE(A127829225R_Latest)</f>
        <v>138.715</v>
      </c>
      <c r="P70" s="38">
        <f>_xlfn.SINGLE(A127835495C_Latest)</f>
        <v>89.748000000000005</v>
      </c>
      <c r="Q70" s="38">
        <f>_xlfn.SINGLE(A127832525A_Latest)</f>
        <v>41.62</v>
      </c>
      <c r="R70" s="38">
        <f>_xlfn.SINGLE(A127829555F_Latest)</f>
        <v>48.128</v>
      </c>
      <c r="S70" s="38">
        <f>_xlfn.SINGLE(A127833845F_Latest)</f>
        <v>150.363</v>
      </c>
      <c r="T70" s="38">
        <f>_xlfn.SINGLE(A127830875R_Latest)</f>
        <v>74.006</v>
      </c>
      <c r="U70" s="38">
        <f>_xlfn.SINGLE(A127827905J_Latest)</f>
        <v>76.356999999999999</v>
      </c>
      <c r="V70" s="38">
        <f>_xlfn.SINGLE(A127834175X_Latest)</f>
        <v>28.901</v>
      </c>
      <c r="W70" s="38">
        <f>_xlfn.SINGLE(A127831205W_Latest)</f>
        <v>15.044</v>
      </c>
      <c r="X70" s="38">
        <f>_xlfn.SINGLE(A127828235A_Latest)</f>
        <v>13.856</v>
      </c>
      <c r="Y70" s="38">
        <f>_xlfn.SINGLE(A127834505C_Latest)</f>
        <v>15.851000000000001</v>
      </c>
      <c r="Z70" s="38">
        <f>_xlfn.SINGLE(A127831535L_Latest)</f>
        <v>8.8620000000000001</v>
      </c>
      <c r="AA70" s="38">
        <f>_xlfn.SINGLE(A127828565T_Latest)</f>
        <v>6.99</v>
      </c>
      <c r="AB70" s="38">
        <f>_xlfn.SINGLE(A127832855T_Latest)</f>
        <v>19.126999999999999</v>
      </c>
      <c r="AC70" s="38">
        <f>_xlfn.SINGLE(A127829885W_Latest)</f>
        <v>12.048</v>
      </c>
      <c r="AD70" s="38">
        <f>_xlfn.SINGLE(A127826915V_Latest)</f>
        <v>7.0789999999999997</v>
      </c>
    </row>
    <row r="71" spans="1:30" hidden="1">
      <c r="B71" s="40" t="s">
        <v>1756</v>
      </c>
      <c r="C71" s="45">
        <v>8</v>
      </c>
      <c r="D71" s="38">
        <f>_xlfn.SINGLE(A127833180X_Latest)</f>
        <v>511.22500000000002</v>
      </c>
      <c r="E71" s="38">
        <f>_xlfn.SINGLE(A127830210W_Latest)</f>
        <v>358.13900000000001</v>
      </c>
      <c r="F71" s="38">
        <f>_xlfn.SINGLE(A127827240A_Latest)</f>
        <v>153.08600000000001</v>
      </c>
      <c r="G71" s="38">
        <f>_xlfn.SINGLE(A127834830J_Latest)</f>
        <v>157.20400000000001</v>
      </c>
      <c r="H71" s="38">
        <f>_xlfn.SINGLE(A127831860T_Latest)</f>
        <v>109.51</v>
      </c>
      <c r="I71" s="38">
        <f>_xlfn.SINGLE(A127828890W_Latest)</f>
        <v>47.694000000000003</v>
      </c>
      <c r="J71" s="38">
        <f>_xlfn.SINGLE(A127833510C_Latest)</f>
        <v>136.227</v>
      </c>
      <c r="K71" s="38">
        <f>_xlfn.SINGLE(A127830540L_Latest)</f>
        <v>97.022999999999996</v>
      </c>
      <c r="L71" s="38">
        <f>_xlfn.SINGLE(A127827570T_Latest)</f>
        <v>39.204000000000001</v>
      </c>
      <c r="M71" s="38">
        <f>_xlfn.SINGLE(A127835160A_Latest)</f>
        <v>102.172</v>
      </c>
      <c r="N71" s="38">
        <f>_xlfn.SINGLE(A127832190K_Latest)</f>
        <v>68.177999999999997</v>
      </c>
      <c r="O71" s="38">
        <f>_xlfn.SINGLE(A127829220C_Latest)</f>
        <v>33.993000000000002</v>
      </c>
      <c r="P71" s="38">
        <f>_xlfn.SINGLE(A127835490T_Latest)</f>
        <v>29.661999999999999</v>
      </c>
      <c r="Q71" s="38">
        <f>_xlfn.SINGLE(A127832520R_Latest)</f>
        <v>21.890999999999998</v>
      </c>
      <c r="R71" s="38">
        <f>_xlfn.SINGLE(A127829550V_Latest)</f>
        <v>7.7709999999999999</v>
      </c>
      <c r="S71" s="38">
        <f>_xlfn.SINGLE(A127833840V_Latest)</f>
        <v>59.122999999999998</v>
      </c>
      <c r="T71" s="38">
        <f>_xlfn.SINGLE(A127830870C_Latest)</f>
        <v>43.619</v>
      </c>
      <c r="U71" s="38">
        <f>_xlfn.SINGLE(A127827900W_Latest)</f>
        <v>15.504</v>
      </c>
      <c r="V71" s="38">
        <f>_xlfn.SINGLE(A127834170L_Latest)</f>
        <v>9.8689999999999998</v>
      </c>
      <c r="W71" s="38">
        <f>_xlfn.SINGLE(A127831200K_Latest)</f>
        <v>6.6740000000000004</v>
      </c>
      <c r="X71" s="38">
        <f>_xlfn.SINGLE(A127828230R_Latest)</f>
        <v>3.1949999999999998</v>
      </c>
      <c r="Y71" s="38">
        <f>_xlfn.SINGLE(A127834500T_Latest)</f>
        <v>8.5370000000000008</v>
      </c>
      <c r="Z71" s="38">
        <f>_xlfn.SINGLE(A127831530A_Latest)</f>
        <v>5.6210000000000004</v>
      </c>
      <c r="AA71" s="38">
        <f>_xlfn.SINGLE(A127828560F_Latest)</f>
        <v>2.9159999999999999</v>
      </c>
      <c r="AB71" s="38">
        <f>_xlfn.SINGLE(A127832850F_Latest)</f>
        <v>8.4320000000000004</v>
      </c>
      <c r="AC71" s="38">
        <f>_xlfn.SINGLE(A127829880K_Latest)</f>
        <v>5.6230000000000002</v>
      </c>
      <c r="AD71" s="38">
        <f>_xlfn.SINGLE(A127826910J_Latest)</f>
        <v>2.8090000000000002</v>
      </c>
    </row>
    <row r="72" spans="1:30" hidden="1">
      <c r="B72" s="40" t="s">
        <v>1757</v>
      </c>
      <c r="C72" s="45">
        <v>9</v>
      </c>
      <c r="D72" s="38">
        <f>_xlfn.SINGLE(A127833177K_Latest)</f>
        <v>803.63199999999995</v>
      </c>
      <c r="E72" s="38">
        <f>_xlfn.SINGLE(A127830207J_Latest)</f>
        <v>319.96199999999999</v>
      </c>
      <c r="F72" s="38">
        <f>_xlfn.SINGLE(A127827237L_Latest)</f>
        <v>483.67</v>
      </c>
      <c r="G72" s="38">
        <f>_xlfn.SINGLE(A127834827V_Latest)</f>
        <v>241.55600000000001</v>
      </c>
      <c r="H72" s="38">
        <f>_xlfn.SINGLE(A127831857C_Latest)</f>
        <v>98.67</v>
      </c>
      <c r="I72" s="38">
        <f>_xlfn.SINGLE(A127828887J_Latest)</f>
        <v>142.887</v>
      </c>
      <c r="J72" s="38">
        <f>_xlfn.SINGLE(A127833507R_Latest)</f>
        <v>191.98400000000001</v>
      </c>
      <c r="K72" s="38">
        <f>_xlfn.SINGLE(A127830537X_Latest)</f>
        <v>76.137</v>
      </c>
      <c r="L72" s="38">
        <f>_xlfn.SINGLE(A127827567C_Latest)</f>
        <v>115.84699999999999</v>
      </c>
      <c r="M72" s="38">
        <f>_xlfn.SINGLE(A127835157L_Latest)</f>
        <v>181.72300000000001</v>
      </c>
      <c r="N72" s="38">
        <f>_xlfn.SINGLE(A127832187W_Latest)</f>
        <v>77.001999999999995</v>
      </c>
      <c r="O72" s="38">
        <f>_xlfn.SINGLE(A127829217R_Latest)</f>
        <v>104.721</v>
      </c>
      <c r="P72" s="38">
        <f>_xlfn.SINGLE(A127835487C_Latest)</f>
        <v>60.087000000000003</v>
      </c>
      <c r="Q72" s="38">
        <f>_xlfn.SINGLE(A127832517A_Latest)</f>
        <v>19.73</v>
      </c>
      <c r="R72" s="38">
        <f>_xlfn.SINGLE(A127829547F_Latest)</f>
        <v>40.356999999999999</v>
      </c>
      <c r="S72" s="38">
        <f>_xlfn.SINGLE(A127833837F_Latest)</f>
        <v>91.24</v>
      </c>
      <c r="T72" s="38">
        <f>_xlfn.SINGLE(A127830867R_Latest)</f>
        <v>30.387</v>
      </c>
      <c r="U72" s="38">
        <f>_xlfn.SINGLE(A127827897V_Latest)</f>
        <v>60.853000000000002</v>
      </c>
      <c r="V72" s="38">
        <f>_xlfn.SINGLE(A127834167X_Latest)</f>
        <v>19.032</v>
      </c>
      <c r="W72" s="38">
        <f>_xlfn.SINGLE(A127831197J_Latest)</f>
        <v>8.3710000000000004</v>
      </c>
      <c r="X72" s="38">
        <f>_xlfn.SINGLE(A127828227A_Latest)</f>
        <v>10.661</v>
      </c>
      <c r="Y72" s="38">
        <f>_xlfn.SINGLE(A127834497R_Latest)</f>
        <v>7.3140000000000001</v>
      </c>
      <c r="Z72" s="38">
        <f>_xlfn.SINGLE(A127831527L_Latest)</f>
        <v>3.24</v>
      </c>
      <c r="AA72" s="38">
        <f>_xlfn.SINGLE(A127828557T_Latest)</f>
        <v>4.0739999999999998</v>
      </c>
      <c r="AB72" s="38">
        <f>_xlfn.SINGLE(A127832847T_Latest)</f>
        <v>10.695</v>
      </c>
      <c r="AC72" s="38">
        <f>_xlfn.SINGLE(A127829877W_Latest)</f>
        <v>6.4249999999999998</v>
      </c>
      <c r="AD72" s="38">
        <f>_xlfn.SINGLE(A127826907V_Latest)</f>
        <v>4.2699999999999996</v>
      </c>
    </row>
    <row r="73" spans="1:30" hidden="1">
      <c r="C73" s="45">
        <v>10</v>
      </c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</row>
    <row r="74" spans="1:30" hidden="1">
      <c r="A74" s="36" t="s">
        <v>1758</v>
      </c>
      <c r="C74" s="45">
        <v>11</v>
      </c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</row>
    <row r="75" spans="1:30" hidden="1">
      <c r="A75" s="36"/>
      <c r="B75" s="6" t="s">
        <v>1749</v>
      </c>
      <c r="C75" s="45">
        <v>12</v>
      </c>
      <c r="D75" s="38">
        <f>_xlfn.SINGLE(A127833182C_Latest)</f>
        <v>1570.816</v>
      </c>
      <c r="E75" s="38">
        <f>_xlfn.SINGLE(A127830212A_Latest)</f>
        <v>824.32799999999997</v>
      </c>
      <c r="F75" s="38">
        <f>_xlfn.SINGLE(A127827242F_Latest)</f>
        <v>746.48800000000006</v>
      </c>
      <c r="G75" s="38">
        <f>_xlfn.SINGLE(A127834832L_Latest)</f>
        <v>481.75299999999999</v>
      </c>
      <c r="H75" s="38">
        <f>_xlfn.SINGLE(A127831862W_Latest)</f>
        <v>253.56299999999999</v>
      </c>
      <c r="I75" s="38">
        <f>_xlfn.SINGLE(A127828892A_Latest)</f>
        <v>228.19</v>
      </c>
      <c r="J75" s="38">
        <f>_xlfn.SINGLE(A127833512J_Latest)</f>
        <v>401.423</v>
      </c>
      <c r="K75" s="38">
        <f>_xlfn.SINGLE(A127830542T_Latest)</f>
        <v>216.35400000000001</v>
      </c>
      <c r="L75" s="38">
        <f>_xlfn.SINGLE(A127827572W_Latest)</f>
        <v>185.06899999999999</v>
      </c>
      <c r="M75" s="38">
        <f>_xlfn.SINGLE(A127835162F_Latest)</f>
        <v>325.12</v>
      </c>
      <c r="N75" s="38">
        <f>_xlfn.SINGLE(A127832192R_Latest)</f>
        <v>168.239</v>
      </c>
      <c r="O75" s="38">
        <f>_xlfn.SINGLE(A127829222J_Latest)</f>
        <v>156.881</v>
      </c>
      <c r="P75" s="38">
        <f>_xlfn.SINGLE(A127835492W_Latest)</f>
        <v>108.21299999999999</v>
      </c>
      <c r="Q75" s="38">
        <f>_xlfn.SINGLE(A127832522V_Latest)</f>
        <v>51.350999999999999</v>
      </c>
      <c r="R75" s="38">
        <f>_xlfn.SINGLE(A127829552X_Latest)</f>
        <v>56.862000000000002</v>
      </c>
      <c r="S75" s="38">
        <f>_xlfn.SINGLE(A127833842X_Latest)</f>
        <v>179.434</v>
      </c>
      <c r="T75" s="38">
        <f>_xlfn.SINGLE(A127830872J_Latest)</f>
        <v>92.738</v>
      </c>
      <c r="U75" s="38">
        <f>_xlfn.SINGLE(A127827902A_Latest)</f>
        <v>86.695999999999998</v>
      </c>
      <c r="V75" s="38">
        <f>_xlfn.SINGLE(A127834172T_Latest)</f>
        <v>34.146000000000001</v>
      </c>
      <c r="W75" s="38">
        <f>_xlfn.SINGLE(A127831202R_Latest)</f>
        <v>18.463999999999999</v>
      </c>
      <c r="X75" s="38">
        <f>_xlfn.SINGLE(A127828232V_Latest)</f>
        <v>15.682</v>
      </c>
      <c r="Y75" s="38">
        <f>_xlfn.SINGLE(A127834502W_Latest)</f>
        <v>18.385999999999999</v>
      </c>
      <c r="Z75" s="38">
        <f>_xlfn.SINGLE(A127831532F_Latest)</f>
        <v>10.318</v>
      </c>
      <c r="AA75" s="38">
        <f>_xlfn.SINGLE(A127828562K_Latest)</f>
        <v>8.0679999999999996</v>
      </c>
      <c r="AB75" s="38">
        <f>_xlfn.SINGLE(A127832852K_Latest)</f>
        <v>22.341999999999999</v>
      </c>
      <c r="AC75" s="38">
        <f>_xlfn.SINGLE(A127829882R_Latest)</f>
        <v>13.301</v>
      </c>
      <c r="AD75" s="38">
        <f>_xlfn.SINGLE(A127826912L_Latest)</f>
        <v>9.0410000000000004</v>
      </c>
    </row>
    <row r="76" spans="1:30" ht="15.75" hidden="1" customHeight="1">
      <c r="B76" s="39" t="s">
        <v>1759</v>
      </c>
      <c r="C76" s="45">
        <v>13</v>
      </c>
      <c r="D76" s="38">
        <f>_xlfn.SINGLE(A127833184J_Latest)</f>
        <v>639.29399999999998</v>
      </c>
      <c r="E76" s="38">
        <f>_xlfn.SINGLE(A127830214F_Latest)</f>
        <v>453.61</v>
      </c>
      <c r="F76" s="38">
        <f>_xlfn.SINGLE(A127827244K_Latest)</f>
        <v>185.684</v>
      </c>
      <c r="G76" s="38">
        <f>_xlfn.SINGLE(A127834834T_Latest)</f>
        <v>198.93299999999999</v>
      </c>
      <c r="H76" s="38">
        <f>_xlfn.SINGLE(A127831864A_Latest)</f>
        <v>141.41399999999999</v>
      </c>
      <c r="I76" s="38">
        <f>_xlfn.SINGLE(A127828894F_Latest)</f>
        <v>57.518999999999998</v>
      </c>
      <c r="J76" s="38">
        <f>_xlfn.SINGLE(A127833514L_Latest)</f>
        <v>169.739</v>
      </c>
      <c r="K76" s="38">
        <f>_xlfn.SINGLE(A127830544W_Latest)</f>
        <v>123.873</v>
      </c>
      <c r="L76" s="38">
        <f>_xlfn.SINGLE(A127827574A_Latest)</f>
        <v>45.866</v>
      </c>
      <c r="M76" s="38">
        <f>_xlfn.SINGLE(A127835164K_Latest)</f>
        <v>122.35599999999999</v>
      </c>
      <c r="N76" s="38">
        <f>_xlfn.SINGLE(A127832194V_Latest)</f>
        <v>81.929000000000002</v>
      </c>
      <c r="O76" s="38">
        <f>_xlfn.SINGLE(A127829224L_Latest)</f>
        <v>40.427</v>
      </c>
      <c r="P76" s="38">
        <f>_xlfn.SINGLE(A127835494A_Latest)</f>
        <v>40.655999999999999</v>
      </c>
      <c r="Q76" s="38">
        <f>_xlfn.SINGLE(A127832524X_Latest)</f>
        <v>28.542999999999999</v>
      </c>
      <c r="R76" s="38">
        <f>_xlfn.SINGLE(A127829554C_Latest)</f>
        <v>12.113</v>
      </c>
      <c r="S76" s="38">
        <f>_xlfn.SINGLE(A127833844C_Latest)</f>
        <v>76.141000000000005</v>
      </c>
      <c r="T76" s="38">
        <f>_xlfn.SINGLE(A127830874L_Latest)</f>
        <v>56.192</v>
      </c>
      <c r="U76" s="38">
        <f>_xlfn.SINGLE(A127827904F_Latest)</f>
        <v>19.95</v>
      </c>
      <c r="V76" s="38">
        <f>_xlfn.SINGLE(A127834174W_Latest)</f>
        <v>12.077999999999999</v>
      </c>
      <c r="W76" s="38">
        <f>_xlfn.SINGLE(A127831204V_Latest)</f>
        <v>8.7629999999999999</v>
      </c>
      <c r="X76" s="38">
        <f>_xlfn.SINGLE(A127828234X_Latest)</f>
        <v>3.3149999999999999</v>
      </c>
      <c r="Y76" s="38">
        <f>_xlfn.SINGLE(A127834504A_Latest)</f>
        <v>10.198</v>
      </c>
      <c r="Z76" s="38">
        <f>_xlfn.SINGLE(A127831534K_Latest)</f>
        <v>6.8550000000000004</v>
      </c>
      <c r="AA76" s="38">
        <f>_xlfn.SINGLE(A127828564R_Latest)</f>
        <v>3.343</v>
      </c>
      <c r="AB76" s="38">
        <f>_xlfn.SINGLE(A127832854R_Latest)</f>
        <v>9.1910000000000007</v>
      </c>
      <c r="AC76" s="38">
        <f>_xlfn.SINGLE(A127829884V_Latest)</f>
        <v>6.0389999999999997</v>
      </c>
      <c r="AD76" s="38">
        <f>_xlfn.SINGLE(A127826914T_Latest)</f>
        <v>3.1520000000000001</v>
      </c>
    </row>
    <row r="77" spans="1:30" ht="15.75" hidden="1" customHeight="1">
      <c r="B77" s="40" t="s">
        <v>1751</v>
      </c>
      <c r="C77" s="45">
        <v>14</v>
      </c>
      <c r="D77" s="38">
        <f>_xlfn.SINGLE(A127833181A_Latest)</f>
        <v>168.17500000000001</v>
      </c>
      <c r="E77" s="38">
        <f>_xlfn.SINGLE(A127830211X_Latest)</f>
        <v>124.782</v>
      </c>
      <c r="F77" s="38">
        <f>_xlfn.SINGLE(A127827241C_Latest)</f>
        <v>43.393000000000001</v>
      </c>
      <c r="G77" s="38">
        <f>_xlfn.SINGLE(A127834831K_Latest)</f>
        <v>53.94</v>
      </c>
      <c r="H77" s="38">
        <f>_xlfn.SINGLE(A127831861V_Latest)</f>
        <v>39.979999999999997</v>
      </c>
      <c r="I77" s="38">
        <f>_xlfn.SINGLE(A127828891X_Latest)</f>
        <v>13.96</v>
      </c>
      <c r="J77" s="38">
        <f>_xlfn.SINGLE(A127833511F_Latest)</f>
        <v>46.104999999999997</v>
      </c>
      <c r="K77" s="38">
        <f>_xlfn.SINGLE(A127830541R_Latest)</f>
        <v>35.189</v>
      </c>
      <c r="L77" s="38">
        <f>_xlfn.SINGLE(A127827571V_Latest)</f>
        <v>10.916</v>
      </c>
      <c r="M77" s="38">
        <f>_xlfn.SINGLE(A127835161C_Latest)</f>
        <v>28.459</v>
      </c>
      <c r="N77" s="38">
        <f>_xlfn.SINGLE(A127832191L_Latest)</f>
        <v>22.024999999999999</v>
      </c>
      <c r="O77" s="38">
        <f>_xlfn.SINGLE(A127829221F_Latest)</f>
        <v>6.4340000000000002</v>
      </c>
      <c r="P77" s="38">
        <f>_xlfn.SINGLE(A127835491V_Latest)</f>
        <v>13.292999999999999</v>
      </c>
      <c r="Q77" s="38">
        <f>_xlfn.SINGLE(A127832521T_Latest)</f>
        <v>8.1590000000000007</v>
      </c>
      <c r="R77" s="38">
        <f>_xlfn.SINGLE(A127829551W_Latest)</f>
        <v>5.1340000000000003</v>
      </c>
      <c r="S77" s="38">
        <f>_xlfn.SINGLE(A127833841W_Latest)</f>
        <v>20.248999999999999</v>
      </c>
      <c r="T77" s="38">
        <f>_xlfn.SINGLE(A127830871F_Latest)</f>
        <v>14.765000000000001</v>
      </c>
      <c r="U77" s="38">
        <f>_xlfn.SINGLE(A127827901X_Latest)</f>
        <v>5.484</v>
      </c>
      <c r="V77" s="38">
        <f>_xlfn.SINGLE(A127834171R_Latest)</f>
        <v>2.798</v>
      </c>
      <c r="W77" s="38">
        <f>_xlfn.SINGLE(A127831201L_Latest)</f>
        <v>2.5609999999999999</v>
      </c>
      <c r="X77" s="38">
        <f>_xlfn.SINGLE(A127828231T_Latest)</f>
        <v>0.23699999999999999</v>
      </c>
      <c r="Y77" s="38">
        <f>_xlfn.SINGLE(A127834501V_Latest)</f>
        <v>2.1920000000000002</v>
      </c>
      <c r="Z77" s="38">
        <f>_xlfn.SINGLE(A127831531C_Latest)</f>
        <v>1.3069999999999999</v>
      </c>
      <c r="AA77" s="38">
        <f>_xlfn.SINGLE(A127828561J_Latest)</f>
        <v>0.88500000000000001</v>
      </c>
      <c r="AB77" s="38">
        <f>_xlfn.SINGLE(A127832851J_Latest)</f>
        <v>1.139</v>
      </c>
      <c r="AC77" s="38">
        <f>_xlfn.SINGLE(A127829881L_Latest)</f>
        <v>0.79600000000000004</v>
      </c>
      <c r="AD77" s="38">
        <f>_xlfn.SINGLE(A127826911K_Latest)</f>
        <v>0.34300000000000003</v>
      </c>
    </row>
    <row r="78" spans="1:30" ht="15.75" hidden="1" customHeight="1">
      <c r="B78" s="40" t="s">
        <v>1756</v>
      </c>
      <c r="C78" s="45">
        <v>15</v>
      </c>
      <c r="D78" s="38">
        <f>_xlfn.SINGLE(A127833180X_Latest)</f>
        <v>511.22500000000002</v>
      </c>
      <c r="E78" s="38">
        <f>_xlfn.SINGLE(A127830210W_Latest)</f>
        <v>358.13900000000001</v>
      </c>
      <c r="F78" s="38">
        <f>_xlfn.SINGLE(A127827240A_Latest)</f>
        <v>153.08600000000001</v>
      </c>
      <c r="G78" s="38">
        <f>_xlfn.SINGLE(A127834830J_Latest)</f>
        <v>157.20400000000001</v>
      </c>
      <c r="H78" s="38">
        <f>_xlfn.SINGLE(A127831860T_Latest)</f>
        <v>109.51</v>
      </c>
      <c r="I78" s="38">
        <f>_xlfn.SINGLE(A127828890W_Latest)</f>
        <v>47.694000000000003</v>
      </c>
      <c r="J78" s="38">
        <f>_xlfn.SINGLE(A127833510C_Latest)</f>
        <v>136.227</v>
      </c>
      <c r="K78" s="38">
        <f>_xlfn.SINGLE(A127830540L_Latest)</f>
        <v>97.022999999999996</v>
      </c>
      <c r="L78" s="38">
        <f>_xlfn.SINGLE(A127827570T_Latest)</f>
        <v>39.204000000000001</v>
      </c>
      <c r="M78" s="38">
        <f>_xlfn.SINGLE(A127835160A_Latest)</f>
        <v>102.172</v>
      </c>
      <c r="N78" s="38">
        <f>_xlfn.SINGLE(A127832190K_Latest)</f>
        <v>68.177999999999997</v>
      </c>
      <c r="O78" s="38">
        <f>_xlfn.SINGLE(A127829220C_Latest)</f>
        <v>33.993000000000002</v>
      </c>
      <c r="P78" s="38">
        <f>_xlfn.SINGLE(A127835490T_Latest)</f>
        <v>29.661999999999999</v>
      </c>
      <c r="Q78" s="38">
        <f>_xlfn.SINGLE(A127832520R_Latest)</f>
        <v>21.890999999999998</v>
      </c>
      <c r="R78" s="38">
        <f>_xlfn.SINGLE(A127829550V_Latest)</f>
        <v>7.7709999999999999</v>
      </c>
      <c r="S78" s="38">
        <f>_xlfn.SINGLE(A127833840V_Latest)</f>
        <v>59.122999999999998</v>
      </c>
      <c r="T78" s="38">
        <f>_xlfn.SINGLE(A127830870C_Latest)</f>
        <v>43.619</v>
      </c>
      <c r="U78" s="38">
        <f>_xlfn.SINGLE(A127827900W_Latest)</f>
        <v>15.504</v>
      </c>
      <c r="V78" s="38">
        <f>_xlfn.SINGLE(A127834170L_Latest)</f>
        <v>9.8689999999999998</v>
      </c>
      <c r="W78" s="38">
        <f>_xlfn.SINGLE(A127831200K_Latest)</f>
        <v>6.6740000000000004</v>
      </c>
      <c r="X78" s="38">
        <f>_xlfn.SINGLE(A127828230R_Latest)</f>
        <v>3.1949999999999998</v>
      </c>
      <c r="Y78" s="38">
        <f>_xlfn.SINGLE(A127834500T_Latest)</f>
        <v>8.5370000000000008</v>
      </c>
      <c r="Z78" s="38">
        <f>_xlfn.SINGLE(A127831530A_Latest)</f>
        <v>5.6210000000000004</v>
      </c>
      <c r="AA78" s="38">
        <f>_xlfn.SINGLE(A127828560F_Latest)</f>
        <v>2.9159999999999999</v>
      </c>
      <c r="AB78" s="38">
        <f>_xlfn.SINGLE(A127832850F_Latest)</f>
        <v>8.4320000000000004</v>
      </c>
      <c r="AC78" s="38">
        <f>_xlfn.SINGLE(A127829880K_Latest)</f>
        <v>5.6230000000000002</v>
      </c>
      <c r="AD78" s="38">
        <f>_xlfn.SINGLE(A127826910J_Latest)</f>
        <v>2.8090000000000002</v>
      </c>
    </row>
    <row r="79" spans="1:30" hidden="1">
      <c r="B79" s="39" t="s">
        <v>1760</v>
      </c>
      <c r="C79" s="45">
        <v>16</v>
      </c>
      <c r="D79" s="38">
        <f>_xlfn.SINGLE(A127833183F_Latest)</f>
        <v>931.52200000000005</v>
      </c>
      <c r="E79" s="38">
        <f>_xlfn.SINGLE(A127830213C_Latest)</f>
        <v>370.71800000000002</v>
      </c>
      <c r="F79" s="38">
        <f>_xlfn.SINGLE(A127827243J_Latest)</f>
        <v>560.80399999999997</v>
      </c>
      <c r="G79" s="38">
        <f>_xlfn.SINGLE(A127834833R_Latest)</f>
        <v>282.82</v>
      </c>
      <c r="H79" s="38">
        <f>_xlfn.SINGLE(A127831863X_Latest)</f>
        <v>112.15</v>
      </c>
      <c r="I79" s="38">
        <f>_xlfn.SINGLE(A127828893C_Latest)</f>
        <v>170.67099999999999</v>
      </c>
      <c r="J79" s="38">
        <f>_xlfn.SINGLE(A127833513K_Latest)</f>
        <v>231.68299999999999</v>
      </c>
      <c r="K79" s="38">
        <f>_xlfn.SINGLE(A127830543V_Latest)</f>
        <v>92.48</v>
      </c>
      <c r="L79" s="38">
        <f>_xlfn.SINGLE(A127827573X_Latest)</f>
        <v>139.203</v>
      </c>
      <c r="M79" s="38">
        <f>_xlfn.SINGLE(A127835163J_Latest)</f>
        <v>202.76300000000001</v>
      </c>
      <c r="N79" s="38">
        <f>_xlfn.SINGLE(A127832193T_Latest)</f>
        <v>86.31</v>
      </c>
      <c r="O79" s="38">
        <f>_xlfn.SINGLE(A127829223K_Latest)</f>
        <v>116.45399999999999</v>
      </c>
      <c r="P79" s="38">
        <f>_xlfn.SINGLE(A127835493X_Latest)</f>
        <v>67.555999999999997</v>
      </c>
      <c r="Q79" s="38">
        <f>_xlfn.SINGLE(A127832523W_Latest)</f>
        <v>22.808</v>
      </c>
      <c r="R79" s="38">
        <f>_xlfn.SINGLE(A127829553A_Latest)</f>
        <v>44.747999999999998</v>
      </c>
      <c r="S79" s="38">
        <f>_xlfn.SINGLE(A127833843A_Latest)</f>
        <v>103.29300000000001</v>
      </c>
      <c r="T79" s="38">
        <f>_xlfn.SINGLE(A127830873K_Latest)</f>
        <v>36.545999999999999</v>
      </c>
      <c r="U79" s="38">
        <f>_xlfn.SINGLE(A127827903C_Latest)</f>
        <v>66.747</v>
      </c>
      <c r="V79" s="38">
        <f>_xlfn.SINGLE(A127834173V_Latest)</f>
        <v>22.068000000000001</v>
      </c>
      <c r="W79" s="38">
        <f>_xlfn.SINGLE(A127831203T_Latest)</f>
        <v>9.7010000000000005</v>
      </c>
      <c r="X79" s="38">
        <f>_xlfn.SINGLE(A127828233W_Latest)</f>
        <v>12.368</v>
      </c>
      <c r="Y79" s="38">
        <f>_xlfn.SINGLE(A127834503X_Latest)</f>
        <v>8.1880000000000006</v>
      </c>
      <c r="Z79" s="38">
        <f>_xlfn.SINGLE(A127831533J_Latest)</f>
        <v>3.4620000000000002</v>
      </c>
      <c r="AA79" s="38">
        <f>_xlfn.SINGLE(A127828563L_Latest)</f>
        <v>4.7249999999999996</v>
      </c>
      <c r="AB79" s="38">
        <f>_xlfn.SINGLE(A127832853L_Latest)</f>
        <v>13.151</v>
      </c>
      <c r="AC79" s="38">
        <f>_xlfn.SINGLE(A127829883T_Latest)</f>
        <v>7.2610000000000001</v>
      </c>
      <c r="AD79" s="38">
        <f>_xlfn.SINGLE(A127826913R_Latest)</f>
        <v>5.89</v>
      </c>
    </row>
    <row r="80" spans="1:30" hidden="1">
      <c r="B80" s="40" t="s">
        <v>1754</v>
      </c>
      <c r="C80" s="45">
        <v>17</v>
      </c>
      <c r="D80" s="38">
        <f>_xlfn.SINGLE(A127833178L_Latest)</f>
        <v>250.029</v>
      </c>
      <c r="E80" s="38">
        <f>_xlfn.SINGLE(A127830208K_Latest)</f>
        <v>107.85599999999999</v>
      </c>
      <c r="F80" s="38">
        <f>_xlfn.SINGLE(A127827238R_Latest)</f>
        <v>142.17400000000001</v>
      </c>
      <c r="G80" s="38">
        <f>_xlfn.SINGLE(A127834828W_Latest)</f>
        <v>81.17</v>
      </c>
      <c r="H80" s="38">
        <f>_xlfn.SINGLE(A127831858F_Latest)</f>
        <v>30.9</v>
      </c>
      <c r="I80" s="38">
        <f>_xlfn.SINGLE(A127828888K_Latest)</f>
        <v>50.268999999999998</v>
      </c>
      <c r="J80" s="38">
        <f>_xlfn.SINGLE(A127833508T_Latest)</f>
        <v>69.819000000000003</v>
      </c>
      <c r="K80" s="38">
        <f>_xlfn.SINGLE(A127830538A_Latest)</f>
        <v>32.997999999999998</v>
      </c>
      <c r="L80" s="38">
        <f>_xlfn.SINGLE(A127827568F_Latest)</f>
        <v>36.820999999999998</v>
      </c>
      <c r="M80" s="38">
        <f>_xlfn.SINGLE(A127835158R_Latest)</f>
        <v>47.468000000000004</v>
      </c>
      <c r="N80" s="38">
        <f>_xlfn.SINGLE(A127832188X_Latest)</f>
        <v>21.501000000000001</v>
      </c>
      <c r="O80" s="38">
        <f>_xlfn.SINGLE(A127829218T_Latest)</f>
        <v>25.966999999999999</v>
      </c>
      <c r="P80" s="38">
        <f>_xlfn.SINGLE(A127835488F_Latest)</f>
        <v>18.111000000000001</v>
      </c>
      <c r="Q80" s="38">
        <f>_xlfn.SINGLE(A127832518C_Latest)</f>
        <v>6.0990000000000002</v>
      </c>
      <c r="R80" s="38">
        <f>_xlfn.SINGLE(A127829548J_Latest)</f>
        <v>12.012</v>
      </c>
      <c r="S80" s="38">
        <f>_xlfn.SINGLE(A127833838J_Latest)</f>
        <v>22.041</v>
      </c>
      <c r="T80" s="38">
        <f>_xlfn.SINGLE(A127830868T_Latest)</f>
        <v>11.089</v>
      </c>
      <c r="U80" s="38">
        <f>_xlfn.SINGLE(A127827898W_Latest)</f>
        <v>10.952</v>
      </c>
      <c r="V80" s="38">
        <f>_xlfn.SINGLE(A127834168A_Latest)</f>
        <v>6.15</v>
      </c>
      <c r="W80" s="38">
        <f>_xlfn.SINGLE(A127831198K_Latest)</f>
        <v>3.1680000000000001</v>
      </c>
      <c r="X80" s="38">
        <f>_xlfn.SINGLE(A127828228C_Latest)</f>
        <v>2.9830000000000001</v>
      </c>
      <c r="Y80" s="38">
        <f>_xlfn.SINGLE(A127834498T_Latest)</f>
        <v>1.7470000000000001</v>
      </c>
      <c r="Z80" s="38">
        <f>_xlfn.SINGLE(A127831528R_Latest)</f>
        <v>0.80300000000000005</v>
      </c>
      <c r="AA80" s="38">
        <f>_xlfn.SINGLE(A127828558V_Latest)</f>
        <v>0.94299999999999995</v>
      </c>
      <c r="AB80" s="38">
        <f>_xlfn.SINGLE(A127832848V_Latest)</f>
        <v>3.524</v>
      </c>
      <c r="AC80" s="38">
        <f>_xlfn.SINGLE(A127829878X_Latest)</f>
        <v>1.298</v>
      </c>
      <c r="AD80" s="38">
        <f>_xlfn.SINGLE(A127826908W_Latest)</f>
        <v>2.226</v>
      </c>
    </row>
    <row r="81" spans="1:30" hidden="1">
      <c r="B81" s="40" t="s">
        <v>1757</v>
      </c>
      <c r="C81" s="45">
        <v>18</v>
      </c>
      <c r="D81" s="38">
        <f>_xlfn.SINGLE(A127833177K_Latest)</f>
        <v>803.63199999999995</v>
      </c>
      <c r="E81" s="38">
        <f>_xlfn.SINGLE(A127830207J_Latest)</f>
        <v>319.96199999999999</v>
      </c>
      <c r="F81" s="38">
        <f>_xlfn.SINGLE(A127827237L_Latest)</f>
        <v>483.67</v>
      </c>
      <c r="G81" s="38">
        <f>_xlfn.SINGLE(A127834827V_Latest)</f>
        <v>241.55600000000001</v>
      </c>
      <c r="H81" s="38">
        <f>_xlfn.SINGLE(A127831857C_Latest)</f>
        <v>98.67</v>
      </c>
      <c r="I81" s="38">
        <f>_xlfn.SINGLE(A127828887J_Latest)</f>
        <v>142.887</v>
      </c>
      <c r="J81" s="38">
        <f>_xlfn.SINGLE(A127833507R_Latest)</f>
        <v>191.98400000000001</v>
      </c>
      <c r="K81" s="38">
        <f>_xlfn.SINGLE(A127830537X_Latest)</f>
        <v>76.137</v>
      </c>
      <c r="L81" s="38">
        <f>_xlfn.SINGLE(A127827567C_Latest)</f>
        <v>115.84699999999999</v>
      </c>
      <c r="M81" s="38">
        <f>_xlfn.SINGLE(A127835157L_Latest)</f>
        <v>181.72300000000001</v>
      </c>
      <c r="N81" s="38">
        <f>_xlfn.SINGLE(A127832187W_Latest)</f>
        <v>77.001999999999995</v>
      </c>
      <c r="O81" s="38">
        <f>_xlfn.SINGLE(A127829217R_Latest)</f>
        <v>104.721</v>
      </c>
      <c r="P81" s="38">
        <f>_xlfn.SINGLE(A127835487C_Latest)</f>
        <v>60.087000000000003</v>
      </c>
      <c r="Q81" s="38">
        <f>_xlfn.SINGLE(A127832517A_Latest)</f>
        <v>19.73</v>
      </c>
      <c r="R81" s="38">
        <f>_xlfn.SINGLE(A127829547F_Latest)</f>
        <v>40.356999999999999</v>
      </c>
      <c r="S81" s="38">
        <f>_xlfn.SINGLE(A127833837F_Latest)</f>
        <v>91.24</v>
      </c>
      <c r="T81" s="38">
        <f>_xlfn.SINGLE(A127830867R_Latest)</f>
        <v>30.387</v>
      </c>
      <c r="U81" s="38">
        <f>_xlfn.SINGLE(A127827897V_Latest)</f>
        <v>60.853000000000002</v>
      </c>
      <c r="V81" s="38">
        <f>_xlfn.SINGLE(A127834167X_Latest)</f>
        <v>19.032</v>
      </c>
      <c r="W81" s="38">
        <f>_xlfn.SINGLE(A127831197J_Latest)</f>
        <v>8.3710000000000004</v>
      </c>
      <c r="X81" s="38">
        <f>_xlfn.SINGLE(A127828227A_Latest)</f>
        <v>10.661</v>
      </c>
      <c r="Y81" s="38">
        <f>_xlfn.SINGLE(A127834497R_Latest)</f>
        <v>7.3140000000000001</v>
      </c>
      <c r="Z81" s="38">
        <f>_xlfn.SINGLE(A127831527L_Latest)</f>
        <v>3.24</v>
      </c>
      <c r="AA81" s="38">
        <f>_xlfn.SINGLE(A127828557T_Latest)</f>
        <v>4.0739999999999998</v>
      </c>
      <c r="AB81" s="38">
        <f>_xlfn.SINGLE(A127832847T_Latest)</f>
        <v>10.695</v>
      </c>
      <c r="AC81" s="38">
        <f>_xlfn.SINGLE(A127829877W_Latest)</f>
        <v>6.4249999999999998</v>
      </c>
      <c r="AD81" s="38">
        <f>_xlfn.SINGLE(A127826907V_Latest)</f>
        <v>4.2699999999999996</v>
      </c>
    </row>
    <row r="82" spans="1:30" hidden="1">
      <c r="B82" s="6"/>
      <c r="C82" s="45">
        <v>19</v>
      </c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</row>
    <row r="83" spans="1:30" hidden="1">
      <c r="A83" s="36" t="s">
        <v>1761</v>
      </c>
      <c r="C83" s="45">
        <v>20</v>
      </c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</row>
    <row r="84" spans="1:30" hidden="1">
      <c r="A84" s="36"/>
      <c r="B84" s="6" t="s">
        <v>1761</v>
      </c>
      <c r="C84" s="45">
        <v>21</v>
      </c>
      <c r="D84" s="38">
        <f>_xlfn.SINGLE(A127833191F_Latest)</f>
        <v>901.95600000000002</v>
      </c>
      <c r="E84" s="38">
        <f>_xlfn.SINGLE(A127830221C_Latest)</f>
        <v>388.76799999999997</v>
      </c>
      <c r="F84" s="38">
        <f>_xlfn.SINGLE(A127827251J_Latest)</f>
        <v>513.18799999999999</v>
      </c>
      <c r="G84" s="38">
        <f>_xlfn.SINGLE(A127834841R_Latest)</f>
        <v>276.56799999999998</v>
      </c>
      <c r="H84" s="38">
        <f>_xlfn.SINGLE(A127831871X_Latest)</f>
        <v>122.955</v>
      </c>
      <c r="I84" s="38">
        <f>_xlfn.SINGLE(A127828901T_Latest)</f>
        <v>153.613</v>
      </c>
      <c r="J84" s="38">
        <f>_xlfn.SINGLE(A127833521K_Latest)</f>
        <v>216.38499999999999</v>
      </c>
      <c r="K84" s="38">
        <f>_xlfn.SINGLE(A127830551V_Latest)</f>
        <v>94.338999999999999</v>
      </c>
      <c r="L84" s="38">
        <f>_xlfn.SINGLE(A127827581X_Latest)</f>
        <v>122.045</v>
      </c>
      <c r="M84" s="38">
        <f>_xlfn.SINGLE(A127835171J_Latest)</f>
        <v>200.453</v>
      </c>
      <c r="N84" s="38">
        <f>_xlfn.SINGLE(A127832201F_Latest)</f>
        <v>89.75</v>
      </c>
      <c r="O84" s="38">
        <f>_xlfn.SINGLE(A127829231K_Latest)</f>
        <v>110.703</v>
      </c>
      <c r="P84" s="38">
        <f>_xlfn.SINGLE(A127835501L_Latest)</f>
        <v>68.831999999999994</v>
      </c>
      <c r="Q84" s="38">
        <f>_xlfn.SINGLE(A127832531W_Latest)</f>
        <v>24.72</v>
      </c>
      <c r="R84" s="38">
        <f>_xlfn.SINGLE(A127829561A_Latest)</f>
        <v>44.112000000000002</v>
      </c>
      <c r="S84" s="38">
        <f>_xlfn.SINGLE(A127833851A_Latest)</f>
        <v>100.07</v>
      </c>
      <c r="T84" s="38">
        <f>_xlfn.SINGLE(A127830881K_Latest)</f>
        <v>36.944000000000003</v>
      </c>
      <c r="U84" s="38">
        <f>_xlfn.SINGLE(A127827911C_Latest)</f>
        <v>63.125999999999998</v>
      </c>
      <c r="V84" s="38">
        <f>_xlfn.SINGLE(A127834181V_Latest)</f>
        <v>20.231000000000002</v>
      </c>
      <c r="W84" s="38">
        <f>_xlfn.SINGLE(A127831211T_Latest)</f>
        <v>9.4510000000000005</v>
      </c>
      <c r="X84" s="38">
        <f>_xlfn.SINGLE(A127828241W_Latest)</f>
        <v>10.781000000000001</v>
      </c>
      <c r="Y84" s="38">
        <f>_xlfn.SINGLE(A127834511X_Latest)</f>
        <v>8.3510000000000009</v>
      </c>
      <c r="Z84" s="38">
        <f>_xlfn.SINGLE(A127831541J_Latest)</f>
        <v>3.8130000000000002</v>
      </c>
      <c r="AA84" s="38">
        <f>_xlfn.SINGLE(A127828571L_Latest)</f>
        <v>4.5380000000000003</v>
      </c>
      <c r="AB84" s="38">
        <f>_xlfn.SINGLE(A127832861L_Latest)</f>
        <v>11.066000000000001</v>
      </c>
      <c r="AC84" s="38">
        <f>_xlfn.SINGLE(A127829891T_Latest)</f>
        <v>6.7949999999999999</v>
      </c>
      <c r="AD84" s="38">
        <f>_xlfn.SINGLE(A127826921R_Latest)</f>
        <v>4.2699999999999996</v>
      </c>
    </row>
    <row r="85" spans="1:30" hidden="1">
      <c r="B85" s="39" t="s">
        <v>1762</v>
      </c>
      <c r="C85" s="45">
        <v>22</v>
      </c>
      <c r="D85" s="38">
        <f>_xlfn.SINGLE(A127833179R_Latest)</f>
        <v>98.323999999999998</v>
      </c>
      <c r="E85" s="38">
        <f>_xlfn.SINGLE(A127830209L_Latest)</f>
        <v>68.805999999999997</v>
      </c>
      <c r="F85" s="38">
        <f>_xlfn.SINGLE(A127827239T_Latest)</f>
        <v>29.518000000000001</v>
      </c>
      <c r="G85" s="38">
        <f>_xlfn.SINGLE(A127834829X_Latest)</f>
        <v>35.011000000000003</v>
      </c>
      <c r="H85" s="38">
        <f>_xlfn.SINGLE(A127831859J_Latest)</f>
        <v>24.285</v>
      </c>
      <c r="I85" s="38">
        <f>_xlfn.SINGLE(A127828889L_Latest)</f>
        <v>10.726000000000001</v>
      </c>
      <c r="J85" s="38">
        <f>_xlfn.SINGLE(A127833509V_Latest)</f>
        <v>24.401</v>
      </c>
      <c r="K85" s="38">
        <f>_xlfn.SINGLE(A127830539C_Latest)</f>
        <v>18.202000000000002</v>
      </c>
      <c r="L85" s="38">
        <f>_xlfn.SINGLE(A127827569J_Latest)</f>
        <v>6.1989999999999998</v>
      </c>
      <c r="M85" s="38">
        <f>_xlfn.SINGLE(A127835159T_Latest)</f>
        <v>18.73</v>
      </c>
      <c r="N85" s="38">
        <f>_xlfn.SINGLE(A127832189A_Latest)</f>
        <v>12.747999999999999</v>
      </c>
      <c r="O85" s="38">
        <f>_xlfn.SINGLE(A127829219V_Latest)</f>
        <v>5.9809999999999999</v>
      </c>
      <c r="P85" s="38">
        <f>_xlfn.SINGLE(A127835489J_Latest)</f>
        <v>8.7449999999999992</v>
      </c>
      <c r="Q85" s="38">
        <f>_xlfn.SINGLE(A127832519F_Latest)</f>
        <v>4.9909999999999997</v>
      </c>
      <c r="R85" s="38">
        <f>_xlfn.SINGLE(A127829549K_Latest)</f>
        <v>3.7549999999999999</v>
      </c>
      <c r="S85" s="38">
        <f>_xlfn.SINGLE(A127833839K_Latest)</f>
        <v>8.83</v>
      </c>
      <c r="T85" s="38">
        <f>_xlfn.SINGLE(A127830869V_Latest)</f>
        <v>6.5570000000000004</v>
      </c>
      <c r="U85" s="38">
        <f>_xlfn.SINGLE(A127827899X_Latest)</f>
        <v>2.2730000000000001</v>
      </c>
      <c r="V85" s="38">
        <f>_xlfn.SINGLE(A127834169C_Latest)</f>
        <v>1.1990000000000001</v>
      </c>
      <c r="W85" s="38">
        <f>_xlfn.SINGLE(A127831199L_Latest)</f>
        <v>1.08</v>
      </c>
      <c r="X85" s="38">
        <f>_xlfn.SINGLE(A127828229F_Latest)</f>
        <v>0.11899999999999999</v>
      </c>
      <c r="Y85" s="38">
        <f>_xlfn.SINGLE(A127834499V_Latest)</f>
        <v>1.0369999999999999</v>
      </c>
      <c r="Z85" s="38">
        <f>_xlfn.SINGLE(A127831529T_Latest)</f>
        <v>0.57299999999999995</v>
      </c>
      <c r="AA85" s="38">
        <f>_xlfn.SINGLE(A127828559W_Latest)</f>
        <v>0.46400000000000002</v>
      </c>
      <c r="AB85" s="38">
        <f>_xlfn.SINGLE(A127832849W_Latest)</f>
        <v>0.37</v>
      </c>
      <c r="AC85" s="38">
        <f>_xlfn.SINGLE(A127829879A_Latest)</f>
        <v>0.37</v>
      </c>
      <c r="AD85" s="38">
        <f>_xlfn.SINGLE(A127826909X_Latest)</f>
        <v>0</v>
      </c>
    </row>
    <row r="86" spans="1:30" hidden="1">
      <c r="B86" s="39" t="s">
        <v>1757</v>
      </c>
      <c r="C86" s="45">
        <v>23</v>
      </c>
      <c r="D86" s="38">
        <f>_xlfn.SINGLE(A127833177K_Latest)</f>
        <v>803.63199999999995</v>
      </c>
      <c r="E86" s="38">
        <f>_xlfn.SINGLE(A127830207J_Latest)</f>
        <v>319.96199999999999</v>
      </c>
      <c r="F86" s="38">
        <f>_xlfn.SINGLE(A127827237L_Latest)</f>
        <v>483.67</v>
      </c>
      <c r="G86" s="38">
        <f>_xlfn.SINGLE(A127834827V_Latest)</f>
        <v>241.55600000000001</v>
      </c>
      <c r="H86" s="38">
        <f>_xlfn.SINGLE(A127831857C_Latest)</f>
        <v>98.67</v>
      </c>
      <c r="I86" s="38">
        <f>_xlfn.SINGLE(A127828887J_Latest)</f>
        <v>142.887</v>
      </c>
      <c r="J86" s="38">
        <f>_xlfn.SINGLE(A127833507R_Latest)</f>
        <v>191.98400000000001</v>
      </c>
      <c r="K86" s="38">
        <f>_xlfn.SINGLE(A127830537X_Latest)</f>
        <v>76.137</v>
      </c>
      <c r="L86" s="38">
        <f>_xlfn.SINGLE(A127827567C_Latest)</f>
        <v>115.84699999999999</v>
      </c>
      <c r="M86" s="38">
        <f>_xlfn.SINGLE(A127835157L_Latest)</f>
        <v>181.72300000000001</v>
      </c>
      <c r="N86" s="38">
        <f>_xlfn.SINGLE(A127832187W_Latest)</f>
        <v>77.001999999999995</v>
      </c>
      <c r="O86" s="38">
        <f>_xlfn.SINGLE(A127829217R_Latest)</f>
        <v>104.721</v>
      </c>
      <c r="P86" s="38">
        <f>_xlfn.SINGLE(A127835487C_Latest)</f>
        <v>60.087000000000003</v>
      </c>
      <c r="Q86" s="38">
        <f>_xlfn.SINGLE(A127832517A_Latest)</f>
        <v>19.73</v>
      </c>
      <c r="R86" s="38">
        <f>_xlfn.SINGLE(A127829547F_Latest)</f>
        <v>40.356999999999999</v>
      </c>
      <c r="S86" s="38">
        <f>_xlfn.SINGLE(A127833837F_Latest)</f>
        <v>91.24</v>
      </c>
      <c r="T86" s="38">
        <f>_xlfn.SINGLE(A127830867R_Latest)</f>
        <v>30.387</v>
      </c>
      <c r="U86" s="38">
        <f>_xlfn.SINGLE(A127827897V_Latest)</f>
        <v>60.853000000000002</v>
      </c>
      <c r="V86" s="38">
        <f>_xlfn.SINGLE(A127834167X_Latest)</f>
        <v>19.032</v>
      </c>
      <c r="W86" s="38">
        <f>_xlfn.SINGLE(A127831197J_Latest)</f>
        <v>8.3710000000000004</v>
      </c>
      <c r="X86" s="38">
        <f>_xlfn.SINGLE(A127828227A_Latest)</f>
        <v>10.661</v>
      </c>
      <c r="Y86" s="38">
        <f>_xlfn.SINGLE(A127834497R_Latest)</f>
        <v>7.3140000000000001</v>
      </c>
      <c r="Z86" s="38">
        <f>_xlfn.SINGLE(A127831527L_Latest)</f>
        <v>3.24</v>
      </c>
      <c r="AA86" s="38">
        <f>_xlfn.SINGLE(A127828557T_Latest)</f>
        <v>4.0739999999999998</v>
      </c>
      <c r="AB86" s="38">
        <f>_xlfn.SINGLE(A127832847T_Latest)</f>
        <v>10.695</v>
      </c>
      <c r="AC86" s="38">
        <f>_xlfn.SINGLE(A127829877W_Latest)</f>
        <v>6.4249999999999998</v>
      </c>
      <c r="AD86" s="38">
        <f>_xlfn.SINGLE(A127826907V_Latest)</f>
        <v>4.2699999999999996</v>
      </c>
    </row>
    <row r="87" spans="1:30" hidden="1">
      <c r="B87" s="6"/>
      <c r="C87" s="45">
        <v>24</v>
      </c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</row>
    <row r="88" spans="1:30" hidden="1">
      <c r="A88" s="36" t="s">
        <v>1763</v>
      </c>
      <c r="C88" s="45">
        <v>25</v>
      </c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</row>
    <row r="89" spans="1:30" hidden="1">
      <c r="B89" s="6" t="s">
        <v>1764</v>
      </c>
      <c r="C89" s="45">
        <v>26</v>
      </c>
      <c r="D89" s="38">
        <f>_xlfn.SINGLE(A127833187R_Latest)</f>
        <v>13437.653</v>
      </c>
      <c r="E89" s="38">
        <f>_xlfn.SINGLE(A127830217L_Latest)</f>
        <v>7011.6419999999998</v>
      </c>
      <c r="F89" s="38">
        <f>_xlfn.SINGLE(A127827247T_Latest)</f>
        <v>6426.01</v>
      </c>
      <c r="G89" s="38">
        <f>_xlfn.SINGLE(A127834837X_Latest)</f>
        <v>4221.9080000000004</v>
      </c>
      <c r="H89" s="38">
        <f>_xlfn.SINGLE(A127831867J_Latest)</f>
        <v>2208.549</v>
      </c>
      <c r="I89" s="38">
        <f>_xlfn.SINGLE(A127828897L_Latest)</f>
        <v>2013.3589999999999</v>
      </c>
      <c r="J89" s="38">
        <f>_xlfn.SINGLE(A127833517V_Latest)</f>
        <v>3509.741</v>
      </c>
      <c r="K89" s="38">
        <f>_xlfn.SINGLE(A127830547C_Latest)</f>
        <v>1852.6679999999999</v>
      </c>
      <c r="L89" s="38">
        <f>_xlfn.SINGLE(A127827577J_Latest)</f>
        <v>1657.0730000000001</v>
      </c>
      <c r="M89" s="38">
        <f>_xlfn.SINGLE(A127835167T_Latest)</f>
        <v>2728.3829999999998</v>
      </c>
      <c r="N89" s="38">
        <f>_xlfn.SINGLE(A127832197A_Latest)</f>
        <v>1395.723</v>
      </c>
      <c r="O89" s="38">
        <f>_xlfn.SINGLE(A127829227V_Latest)</f>
        <v>1332.66</v>
      </c>
      <c r="P89" s="38">
        <f>_xlfn.SINGLE(A127835497J_Latest)</f>
        <v>886.05</v>
      </c>
      <c r="Q89" s="38">
        <f>_xlfn.SINGLE(A127832527F_Latest)</f>
        <v>457.77600000000001</v>
      </c>
      <c r="R89" s="38">
        <f>_xlfn.SINGLE(A127829557K_Latest)</f>
        <v>428.274</v>
      </c>
      <c r="S89" s="38">
        <f>_xlfn.SINGLE(A127833847K_Latest)</f>
        <v>1456.3389999999999</v>
      </c>
      <c r="T89" s="38">
        <f>_xlfn.SINGLE(A127830877V_Latest)</f>
        <v>769.95500000000004</v>
      </c>
      <c r="U89" s="38">
        <f>_xlfn.SINGLE(A127827907L_Latest)</f>
        <v>686.38400000000001</v>
      </c>
      <c r="V89" s="38">
        <f>_xlfn.SINGLE(A127834177C_Latest)</f>
        <v>267.13600000000002</v>
      </c>
      <c r="W89" s="38">
        <f>_xlfn.SINGLE(A127831207A_Latest)</f>
        <v>139.68899999999999</v>
      </c>
      <c r="X89" s="38">
        <f>_xlfn.SINGLE(A127828237F_Latest)</f>
        <v>127.44799999999999</v>
      </c>
      <c r="Y89" s="38">
        <f>_xlfn.SINGLE(A127834507J_Latest)</f>
        <v>133.17699999999999</v>
      </c>
      <c r="Z89" s="38">
        <f>_xlfn.SINGLE(A127831537T_Latest)</f>
        <v>68.980999999999995</v>
      </c>
      <c r="AA89" s="38">
        <f>_xlfn.SINGLE(A127828567W_Latest)</f>
        <v>64.195999999999998</v>
      </c>
      <c r="AB89" s="38">
        <f>_xlfn.SINGLE(A127832857W_Latest)</f>
        <v>234.91800000000001</v>
      </c>
      <c r="AC89" s="38">
        <f>_xlfn.SINGLE(A127829887A_Latest)</f>
        <v>118.301</v>
      </c>
      <c r="AD89" s="38">
        <f>_xlfn.SINGLE(A127826917X_Latest)</f>
        <v>116.61799999999999</v>
      </c>
    </row>
    <row r="90" spans="1:30" hidden="1">
      <c r="B90" s="39" t="s">
        <v>1765</v>
      </c>
      <c r="C90" s="45">
        <v>27</v>
      </c>
      <c r="D90" s="38">
        <f>_xlfn.SINGLE(A127833189V_Latest)</f>
        <v>9343.2520000000004</v>
      </c>
      <c r="E90" s="38">
        <f>_xlfn.SINGLE(A127830219T_Latest)</f>
        <v>5735.4679999999998</v>
      </c>
      <c r="F90" s="38">
        <f>_xlfn.SINGLE(A127827249W_Latest)</f>
        <v>3607.7840000000001</v>
      </c>
      <c r="G90" s="38">
        <f>_xlfn.SINGLE(A127834839C_Latest)</f>
        <v>2985.011</v>
      </c>
      <c r="H90" s="38">
        <f>_xlfn.SINGLE(A127831869L_Latest)</f>
        <v>1802.396</v>
      </c>
      <c r="I90" s="38">
        <f>_xlfn.SINGLE(A127828899T_Latest)</f>
        <v>1182.615</v>
      </c>
      <c r="J90" s="38">
        <f>_xlfn.SINGLE(A127833519X_Latest)</f>
        <v>2430.4299999999998</v>
      </c>
      <c r="K90" s="38">
        <f>_xlfn.SINGLE(A127830549J_Latest)</f>
        <v>1507.117</v>
      </c>
      <c r="L90" s="38">
        <f>_xlfn.SINGLE(A127827579L_Latest)</f>
        <v>923.31299999999999</v>
      </c>
      <c r="M90" s="38">
        <f>_xlfn.SINGLE(A127835169W_Latest)</f>
        <v>1890.2260000000001</v>
      </c>
      <c r="N90" s="38">
        <f>_xlfn.SINGLE(A127832199F_Latest)</f>
        <v>1149.232</v>
      </c>
      <c r="O90" s="38">
        <f>_xlfn.SINGLE(A127829229X_Latest)</f>
        <v>740.99400000000003</v>
      </c>
      <c r="P90" s="38">
        <f>_xlfn.SINGLE(A127835499L_Latest)</f>
        <v>587.346</v>
      </c>
      <c r="Q90" s="38">
        <f>_xlfn.SINGLE(A127832529K_Latest)</f>
        <v>372.60899999999998</v>
      </c>
      <c r="R90" s="38">
        <f>_xlfn.SINGLE(A127829559R_Latest)</f>
        <v>214.73699999999999</v>
      </c>
      <c r="S90" s="38">
        <f>_xlfn.SINGLE(A127833849R_Latest)</f>
        <v>996.90800000000002</v>
      </c>
      <c r="T90" s="38">
        <f>_xlfn.SINGLE(A127830879X_Latest)</f>
        <v>640.30600000000004</v>
      </c>
      <c r="U90" s="38">
        <f>_xlfn.SINGLE(A127827909T_Latest)</f>
        <v>356.60199999999998</v>
      </c>
      <c r="V90" s="38">
        <f>_xlfn.SINGLE(A127834179J_Latest)</f>
        <v>171.245</v>
      </c>
      <c r="W90" s="38">
        <f>_xlfn.SINGLE(A127831209F_Latest)</f>
        <v>108.639</v>
      </c>
      <c r="X90" s="38">
        <f>_xlfn.SINGLE(A127828239K_Latest)</f>
        <v>62.606000000000002</v>
      </c>
      <c r="Y90" s="38">
        <f>_xlfn.SINGLE(A127834509L_Latest)</f>
        <v>103.208</v>
      </c>
      <c r="Z90" s="38">
        <f>_xlfn.SINGLE(A127831539W_Latest)</f>
        <v>57.968000000000004</v>
      </c>
      <c r="AA90" s="38">
        <f>_xlfn.SINGLE(A127828569A_Latest)</f>
        <v>45.24</v>
      </c>
      <c r="AB90" s="38">
        <f>_xlfn.SINGLE(A127832859A_Latest)</f>
        <v>178.87799999999999</v>
      </c>
      <c r="AC90" s="38">
        <f>_xlfn.SINGLE(A127829889F_Latest)</f>
        <v>97.200999999999993</v>
      </c>
      <c r="AD90" s="38">
        <f>_xlfn.SINGLE(A127826919C_Latest)</f>
        <v>81.677000000000007</v>
      </c>
    </row>
    <row r="91" spans="1:30" hidden="1">
      <c r="B91" s="39" t="s">
        <v>1766</v>
      </c>
      <c r="C91" s="45">
        <v>28</v>
      </c>
      <c r="D91" s="38">
        <f>_xlfn.SINGLE(A127833188T_Latest)</f>
        <v>4094.4009999999998</v>
      </c>
      <c r="E91" s="38">
        <f>_xlfn.SINGLE(A127830218R_Latest)</f>
        <v>1276.174</v>
      </c>
      <c r="F91" s="38">
        <f>_xlfn.SINGLE(A127827248V_Latest)</f>
        <v>2818.2269999999999</v>
      </c>
      <c r="G91" s="38">
        <f>_xlfn.SINGLE(A127834838A_Latest)</f>
        <v>1236.8969999999999</v>
      </c>
      <c r="H91" s="38">
        <f>_xlfn.SINGLE(A127831868K_Latest)</f>
        <v>406.15300000000002</v>
      </c>
      <c r="I91" s="38">
        <f>_xlfn.SINGLE(A127828898R_Latest)</f>
        <v>830.74300000000005</v>
      </c>
      <c r="J91" s="38">
        <f>_xlfn.SINGLE(A127833518W_Latest)</f>
        <v>1079.3109999999999</v>
      </c>
      <c r="K91" s="38">
        <f>_xlfn.SINGLE(A127830548F_Latest)</f>
        <v>345.55099999999999</v>
      </c>
      <c r="L91" s="38">
        <f>_xlfn.SINGLE(A127827578K_Latest)</f>
        <v>733.76</v>
      </c>
      <c r="M91" s="38">
        <f>_xlfn.SINGLE(A127835168V_Latest)</f>
        <v>838.15700000000004</v>
      </c>
      <c r="N91" s="38">
        <f>_xlfn.SINGLE(A127832198C_Latest)</f>
        <v>246.49100000000001</v>
      </c>
      <c r="O91" s="38">
        <f>_xlfn.SINGLE(A127829228W_Latest)</f>
        <v>591.66600000000005</v>
      </c>
      <c r="P91" s="38">
        <f>_xlfn.SINGLE(A127835498K_Latest)</f>
        <v>298.70400000000001</v>
      </c>
      <c r="Q91" s="38">
        <f>_xlfn.SINGLE(A127832528J_Latest)</f>
        <v>85.167000000000002</v>
      </c>
      <c r="R91" s="38">
        <f>_xlfn.SINGLE(A127829558L_Latest)</f>
        <v>213.53700000000001</v>
      </c>
      <c r="S91" s="38">
        <f>_xlfn.SINGLE(A127833848L_Latest)</f>
        <v>459.43200000000002</v>
      </c>
      <c r="T91" s="38">
        <f>_xlfn.SINGLE(A127830878W_Latest)</f>
        <v>129.65</v>
      </c>
      <c r="U91" s="38">
        <f>_xlfn.SINGLE(A127827908R_Latest)</f>
        <v>329.78199999999998</v>
      </c>
      <c r="V91" s="38">
        <f>_xlfn.SINGLE(A127834178F_Latest)</f>
        <v>95.891999999999996</v>
      </c>
      <c r="W91" s="38">
        <f>_xlfn.SINGLE(A127831208C_Latest)</f>
        <v>31.05</v>
      </c>
      <c r="X91" s="38">
        <f>_xlfn.SINGLE(A127828238J_Latest)</f>
        <v>64.841999999999999</v>
      </c>
      <c r="Y91" s="38">
        <f>_xlfn.SINGLE(A127834508K_Latest)</f>
        <v>29.969000000000001</v>
      </c>
      <c r="Z91" s="38">
        <f>_xlfn.SINGLE(A127831538V_Latest)</f>
        <v>11.013</v>
      </c>
      <c r="AA91" s="38">
        <f>_xlfn.SINGLE(A127828568X_Latest)</f>
        <v>18.956</v>
      </c>
      <c r="AB91" s="38">
        <f>_xlfn.SINGLE(A127832858X_Latest)</f>
        <v>56.04</v>
      </c>
      <c r="AC91" s="38">
        <f>_xlfn.SINGLE(A127829888C_Latest)</f>
        <v>21.099</v>
      </c>
      <c r="AD91" s="38">
        <f>_xlfn.SINGLE(A127826918A_Latest)</f>
        <v>34.941000000000003</v>
      </c>
    </row>
    <row r="92" spans="1:30" hidden="1">
      <c r="A92" s="51"/>
      <c r="B92" s="52"/>
      <c r="C92" s="52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</row>
    <row r="93" spans="1:30" hidden="1">
      <c r="A93" s="51"/>
      <c r="B93" s="52"/>
      <c r="C93" s="52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</row>
    <row r="94" spans="1:30" hidden="1">
      <c r="A94" s="44"/>
      <c r="B94" s="43"/>
      <c r="C94" s="43"/>
      <c r="D94" s="46">
        <v>1</v>
      </c>
      <c r="E94" s="46">
        <v>2</v>
      </c>
      <c r="F94" s="46">
        <v>3</v>
      </c>
      <c r="G94" s="46">
        <v>4</v>
      </c>
      <c r="H94" s="46">
        <v>5</v>
      </c>
      <c r="I94" s="46">
        <v>6</v>
      </c>
      <c r="J94" s="46">
        <v>7</v>
      </c>
      <c r="K94" s="46">
        <v>8</v>
      </c>
      <c r="L94" s="46">
        <v>9</v>
      </c>
      <c r="M94" s="46">
        <v>10</v>
      </c>
      <c r="N94" s="46">
        <v>11</v>
      </c>
      <c r="O94" s="46">
        <v>12</v>
      </c>
      <c r="P94" s="46">
        <v>13</v>
      </c>
      <c r="Q94" s="46">
        <v>14</v>
      </c>
      <c r="R94" s="46">
        <v>15</v>
      </c>
      <c r="S94" s="46">
        <v>16</v>
      </c>
      <c r="T94" s="46">
        <v>17</v>
      </c>
      <c r="U94" s="46">
        <v>18</v>
      </c>
      <c r="V94" s="46">
        <v>19</v>
      </c>
      <c r="W94" s="46">
        <v>20</v>
      </c>
      <c r="X94" s="46">
        <v>21</v>
      </c>
      <c r="Y94" s="46">
        <v>22</v>
      </c>
      <c r="Z94" s="46">
        <v>23</v>
      </c>
      <c r="AA94" s="46">
        <v>24</v>
      </c>
      <c r="AB94" s="46">
        <v>25</v>
      </c>
      <c r="AC94" s="46">
        <v>26</v>
      </c>
      <c r="AD94" s="46">
        <v>27</v>
      </c>
    </row>
    <row r="95" spans="1:30" ht="15" hidden="1" customHeight="1">
      <c r="A95" s="31"/>
      <c r="B95" s="31"/>
      <c r="C95" s="31"/>
      <c r="D95" s="64" t="s">
        <v>1742</v>
      </c>
      <c r="E95" s="64"/>
      <c r="F95" s="64"/>
      <c r="G95" s="64" t="s">
        <v>1767</v>
      </c>
      <c r="H95" s="64"/>
      <c r="I95" s="64"/>
      <c r="J95" s="64" t="s">
        <v>1768</v>
      </c>
      <c r="K95" s="64"/>
      <c r="L95" s="64"/>
      <c r="M95" s="64" t="s">
        <v>1769</v>
      </c>
      <c r="N95" s="64"/>
      <c r="O95" s="64"/>
      <c r="P95" s="64" t="s">
        <v>1770</v>
      </c>
      <c r="Q95" s="64"/>
      <c r="R95" s="64"/>
      <c r="S95" s="64" t="s">
        <v>1771</v>
      </c>
      <c r="T95" s="64"/>
      <c r="U95" s="64"/>
      <c r="V95" s="64" t="s">
        <v>1772</v>
      </c>
      <c r="W95" s="64"/>
      <c r="X95" s="64"/>
      <c r="Y95" s="64" t="s">
        <v>1773</v>
      </c>
      <c r="Z95" s="64"/>
      <c r="AA95" s="64"/>
      <c r="AB95" s="64" t="s">
        <v>1774</v>
      </c>
      <c r="AC95" s="64"/>
      <c r="AD95" s="64"/>
    </row>
    <row r="96" spans="1:30" hidden="1">
      <c r="A96" s="31"/>
      <c r="B96" s="31"/>
      <c r="C96" s="31"/>
      <c r="D96" s="32" t="s">
        <v>1744</v>
      </c>
      <c r="E96" s="32" t="s">
        <v>1745</v>
      </c>
      <c r="F96" s="32" t="s">
        <v>1746</v>
      </c>
      <c r="G96" s="32" t="s">
        <v>1744</v>
      </c>
      <c r="H96" s="32" t="s">
        <v>1745</v>
      </c>
      <c r="I96" s="32" t="s">
        <v>1746</v>
      </c>
      <c r="J96" s="32" t="s">
        <v>1744</v>
      </c>
      <c r="K96" s="32" t="s">
        <v>1745</v>
      </c>
      <c r="L96" s="32" t="s">
        <v>1746</v>
      </c>
      <c r="M96" s="32" t="s">
        <v>1744</v>
      </c>
      <c r="N96" s="32" t="s">
        <v>1745</v>
      </c>
      <c r="O96" s="32" t="s">
        <v>1746</v>
      </c>
      <c r="P96" s="32" t="s">
        <v>1744</v>
      </c>
      <c r="Q96" s="32" t="s">
        <v>1745</v>
      </c>
      <c r="R96" s="32" t="s">
        <v>1746</v>
      </c>
      <c r="S96" s="32" t="s">
        <v>1744</v>
      </c>
      <c r="T96" s="32" t="s">
        <v>1745</v>
      </c>
      <c r="U96" s="32" t="s">
        <v>1746</v>
      </c>
      <c r="V96" s="32" t="s">
        <v>1744</v>
      </c>
      <c r="W96" s="32" t="s">
        <v>1745</v>
      </c>
      <c r="X96" s="32" t="s">
        <v>1746</v>
      </c>
      <c r="Y96" s="32" t="s">
        <v>1744</v>
      </c>
      <c r="Z96" s="32" t="s">
        <v>1745</v>
      </c>
      <c r="AA96" s="32" t="s">
        <v>1746</v>
      </c>
      <c r="AB96" s="32" t="s">
        <v>1744</v>
      </c>
      <c r="AC96" s="32" t="s">
        <v>1745</v>
      </c>
      <c r="AD96" s="32" t="s">
        <v>1746</v>
      </c>
    </row>
    <row r="97" spans="1:30" hidden="1">
      <c r="A97" s="31"/>
      <c r="B97" s="31"/>
      <c r="C97" s="31"/>
      <c r="D97" s="35" t="s">
        <v>1747</v>
      </c>
      <c r="E97" s="35" t="s">
        <v>1747</v>
      </c>
      <c r="F97" s="35" t="s">
        <v>1747</v>
      </c>
      <c r="G97" s="35" t="s">
        <v>1747</v>
      </c>
      <c r="H97" s="35" t="s">
        <v>1747</v>
      </c>
      <c r="I97" s="35" t="s">
        <v>1747</v>
      </c>
      <c r="J97" s="35" t="s">
        <v>1747</v>
      </c>
      <c r="K97" s="35" t="s">
        <v>1747</v>
      </c>
      <c r="L97" s="35" t="s">
        <v>1747</v>
      </c>
      <c r="M97" s="35" t="s">
        <v>1747</v>
      </c>
      <c r="N97" s="35" t="s">
        <v>1747</v>
      </c>
      <c r="O97" s="35" t="s">
        <v>1747</v>
      </c>
      <c r="P97" s="35" t="s">
        <v>1747</v>
      </c>
      <c r="Q97" s="35" t="s">
        <v>1747</v>
      </c>
      <c r="R97" s="35" t="s">
        <v>1747</v>
      </c>
      <c r="S97" s="35" t="s">
        <v>1747</v>
      </c>
      <c r="T97" s="35" t="s">
        <v>1747</v>
      </c>
      <c r="U97" s="35" t="s">
        <v>1747</v>
      </c>
      <c r="V97" s="35" t="s">
        <v>1747</v>
      </c>
      <c r="W97" s="35" t="s">
        <v>1747</v>
      </c>
      <c r="X97" s="35" t="s">
        <v>1747</v>
      </c>
      <c r="Y97" s="35" t="s">
        <v>1747</v>
      </c>
      <c r="Z97" s="35" t="s">
        <v>1747</v>
      </c>
      <c r="AA97" s="35" t="s">
        <v>1747</v>
      </c>
      <c r="AB97" s="35" t="s">
        <v>1747</v>
      </c>
      <c r="AC97" s="35" t="s">
        <v>1747</v>
      </c>
      <c r="AD97" s="35" t="s">
        <v>1747</v>
      </c>
    </row>
    <row r="98" spans="1:30" hidden="1">
      <c r="A98" s="36" t="s">
        <v>1748</v>
      </c>
      <c r="C98" s="31"/>
      <c r="D98" s="35"/>
      <c r="E98" s="35"/>
      <c r="F98" s="35"/>
      <c r="G98" s="37"/>
      <c r="H98" s="50"/>
      <c r="I98" s="50"/>
    </row>
    <row r="99" spans="1:30" hidden="1">
      <c r="B99" s="6" t="s">
        <v>1749</v>
      </c>
      <c r="C99" s="45">
        <v>1</v>
      </c>
      <c r="D99" s="14" t="s">
        <v>272</v>
      </c>
      <c r="E99" s="14" t="s">
        <v>273</v>
      </c>
      <c r="F99" s="14" t="s">
        <v>274</v>
      </c>
      <c r="G99" s="14" t="s">
        <v>1267</v>
      </c>
      <c r="H99" s="14" t="s">
        <v>1268</v>
      </c>
      <c r="I99" s="14" t="s">
        <v>1269</v>
      </c>
      <c r="J99" s="14" t="s">
        <v>1312</v>
      </c>
      <c r="K99" s="14" t="s">
        <v>1313</v>
      </c>
      <c r="L99" s="14" t="s">
        <v>1314</v>
      </c>
      <c r="M99" s="14" t="s">
        <v>1357</v>
      </c>
      <c r="N99" s="14" t="s">
        <v>1358</v>
      </c>
      <c r="O99" s="14" t="s">
        <v>1359</v>
      </c>
      <c r="P99" s="14" t="s">
        <v>1402</v>
      </c>
      <c r="Q99" s="14" t="s">
        <v>1403</v>
      </c>
      <c r="R99" s="14" t="s">
        <v>1404</v>
      </c>
      <c r="S99" s="14" t="s">
        <v>1447</v>
      </c>
      <c r="T99" s="14" t="s">
        <v>1448</v>
      </c>
      <c r="U99" s="14" t="s">
        <v>1449</v>
      </c>
      <c r="V99" s="14" t="s">
        <v>1492</v>
      </c>
      <c r="W99" s="14" t="s">
        <v>1493</v>
      </c>
      <c r="X99" s="14" t="s">
        <v>1494</v>
      </c>
      <c r="Y99" s="14" t="s">
        <v>1642</v>
      </c>
      <c r="Z99" s="14" t="s">
        <v>1643</v>
      </c>
      <c r="AA99" s="14" t="s">
        <v>1644</v>
      </c>
      <c r="AB99" s="14" t="s">
        <v>1687</v>
      </c>
      <c r="AC99" s="14" t="s">
        <v>1688</v>
      </c>
      <c r="AD99" s="14" t="s">
        <v>1689</v>
      </c>
    </row>
    <row r="100" spans="1:30" hidden="1">
      <c r="B100" s="39" t="s">
        <v>1750</v>
      </c>
      <c r="C100" s="45">
        <v>2</v>
      </c>
      <c r="D100" s="14" t="s">
        <v>275</v>
      </c>
      <c r="E100" s="14" t="s">
        <v>276</v>
      </c>
      <c r="F100" s="14" t="s">
        <v>277</v>
      </c>
      <c r="G100" s="14" t="s">
        <v>1270</v>
      </c>
      <c r="H100" s="14" t="s">
        <v>1271</v>
      </c>
      <c r="I100" s="14" t="s">
        <v>1272</v>
      </c>
      <c r="J100" s="14" t="s">
        <v>1315</v>
      </c>
      <c r="K100" s="14" t="s">
        <v>1316</v>
      </c>
      <c r="L100" s="14" t="s">
        <v>1317</v>
      </c>
      <c r="M100" s="14" t="s">
        <v>1360</v>
      </c>
      <c r="N100" s="14" t="s">
        <v>1361</v>
      </c>
      <c r="O100" s="14" t="s">
        <v>1362</v>
      </c>
      <c r="P100" s="14" t="s">
        <v>1405</v>
      </c>
      <c r="Q100" s="14" t="s">
        <v>1406</v>
      </c>
      <c r="R100" s="14" t="s">
        <v>1407</v>
      </c>
      <c r="S100" s="14" t="s">
        <v>1450</v>
      </c>
      <c r="T100" s="14" t="s">
        <v>1451</v>
      </c>
      <c r="U100" s="14" t="s">
        <v>1452</v>
      </c>
      <c r="V100" s="14" t="s">
        <v>1495</v>
      </c>
      <c r="W100" s="14" t="s">
        <v>1496</v>
      </c>
      <c r="X100" s="14" t="s">
        <v>1497</v>
      </c>
      <c r="Y100" s="14" t="s">
        <v>1645</v>
      </c>
      <c r="Z100" s="14" t="s">
        <v>1646</v>
      </c>
      <c r="AA100" s="14" t="s">
        <v>1647</v>
      </c>
      <c r="AB100" s="14" t="s">
        <v>1690</v>
      </c>
      <c r="AC100" s="14" t="s">
        <v>1691</v>
      </c>
      <c r="AD100" s="14" t="s">
        <v>1692</v>
      </c>
    </row>
    <row r="101" spans="1:30" hidden="1">
      <c r="B101" s="40" t="s">
        <v>1751</v>
      </c>
      <c r="C101" s="45">
        <v>3</v>
      </c>
      <c r="D101" s="14" t="s">
        <v>278</v>
      </c>
      <c r="E101" s="14" t="s">
        <v>279</v>
      </c>
      <c r="F101" s="14" t="s">
        <v>280</v>
      </c>
      <c r="G101" s="14" t="s">
        <v>1273</v>
      </c>
      <c r="H101" s="14" t="s">
        <v>1274</v>
      </c>
      <c r="I101" s="14" t="s">
        <v>1275</v>
      </c>
      <c r="J101" s="14" t="s">
        <v>1318</v>
      </c>
      <c r="K101" s="14" t="s">
        <v>1319</v>
      </c>
      <c r="L101" s="14" t="s">
        <v>1320</v>
      </c>
      <c r="M101" s="14" t="s">
        <v>1363</v>
      </c>
      <c r="N101" s="14" t="s">
        <v>1364</v>
      </c>
      <c r="O101" s="14" t="s">
        <v>1365</v>
      </c>
      <c r="P101" s="14" t="s">
        <v>1408</v>
      </c>
      <c r="Q101" s="14" t="s">
        <v>1409</v>
      </c>
      <c r="R101" s="14" t="s">
        <v>1410</v>
      </c>
      <c r="S101" s="14" t="s">
        <v>1453</v>
      </c>
      <c r="T101" s="14" t="s">
        <v>1454</v>
      </c>
      <c r="U101" s="14" t="s">
        <v>1455</v>
      </c>
      <c r="V101" s="14" t="s">
        <v>1498</v>
      </c>
      <c r="W101" s="14" t="s">
        <v>1499</v>
      </c>
      <c r="X101" s="14" t="s">
        <v>1500</v>
      </c>
      <c r="Y101" s="14" t="s">
        <v>1648</v>
      </c>
      <c r="Z101" s="14" t="s">
        <v>1649</v>
      </c>
      <c r="AA101" s="14" t="s">
        <v>1650</v>
      </c>
      <c r="AB101" s="14" t="s">
        <v>1693</v>
      </c>
      <c r="AC101" s="14" t="s">
        <v>1694</v>
      </c>
      <c r="AD101" s="14" t="s">
        <v>1695</v>
      </c>
    </row>
    <row r="102" spans="1:30" hidden="1">
      <c r="B102" s="41" t="s">
        <v>1752</v>
      </c>
      <c r="C102" s="45">
        <v>4</v>
      </c>
      <c r="D102" s="14" t="s">
        <v>281</v>
      </c>
      <c r="E102" s="14" t="s">
        <v>282</v>
      </c>
      <c r="F102" s="14" t="s">
        <v>283</v>
      </c>
      <c r="G102" s="14" t="s">
        <v>1276</v>
      </c>
      <c r="H102" s="14" t="s">
        <v>1277</v>
      </c>
      <c r="I102" s="14" t="s">
        <v>1278</v>
      </c>
      <c r="J102" s="14" t="s">
        <v>1321</v>
      </c>
      <c r="K102" s="14" t="s">
        <v>1322</v>
      </c>
      <c r="L102" s="14" t="s">
        <v>1323</v>
      </c>
      <c r="M102" s="14" t="s">
        <v>1366</v>
      </c>
      <c r="N102" s="14" t="s">
        <v>1367</v>
      </c>
      <c r="O102" s="14" t="s">
        <v>1368</v>
      </c>
      <c r="P102" s="14" t="s">
        <v>1411</v>
      </c>
      <c r="Q102" s="14" t="s">
        <v>1412</v>
      </c>
      <c r="R102" s="14" t="s">
        <v>1413</v>
      </c>
      <c r="S102" s="14" t="s">
        <v>1456</v>
      </c>
      <c r="T102" s="14" t="s">
        <v>1457</v>
      </c>
      <c r="U102" s="14" t="s">
        <v>1458</v>
      </c>
      <c r="V102" s="14" t="s">
        <v>1501</v>
      </c>
      <c r="W102" s="14" t="s">
        <v>1502</v>
      </c>
      <c r="X102" s="14" t="s">
        <v>1503</v>
      </c>
      <c r="Y102" s="14" t="s">
        <v>1651</v>
      </c>
      <c r="Z102" s="14" t="s">
        <v>1652</v>
      </c>
      <c r="AA102" s="14" t="s">
        <v>1653</v>
      </c>
      <c r="AB102" s="14" t="s">
        <v>1696</v>
      </c>
      <c r="AC102" s="14" t="s">
        <v>1697</v>
      </c>
      <c r="AD102" s="14" t="s">
        <v>1698</v>
      </c>
    </row>
    <row r="103" spans="1:30" hidden="1">
      <c r="B103" s="41" t="s">
        <v>1753</v>
      </c>
      <c r="C103" s="45">
        <v>5</v>
      </c>
      <c r="D103" s="14" t="s">
        <v>284</v>
      </c>
      <c r="E103" s="14" t="s">
        <v>285</v>
      </c>
      <c r="F103" s="14" t="s">
        <v>286</v>
      </c>
      <c r="G103" s="14" t="s">
        <v>1279</v>
      </c>
      <c r="H103" s="14" t="s">
        <v>1280</v>
      </c>
      <c r="I103" s="14" t="s">
        <v>1281</v>
      </c>
      <c r="J103" s="14" t="s">
        <v>1324</v>
      </c>
      <c r="K103" s="14" t="s">
        <v>1325</v>
      </c>
      <c r="L103" s="14" t="s">
        <v>1326</v>
      </c>
      <c r="M103" s="14" t="s">
        <v>1369</v>
      </c>
      <c r="N103" s="14" t="s">
        <v>1370</v>
      </c>
      <c r="O103" s="14" t="s">
        <v>1371</v>
      </c>
      <c r="P103" s="14" t="s">
        <v>1414</v>
      </c>
      <c r="Q103" s="14" t="s">
        <v>1415</v>
      </c>
      <c r="R103" s="14" t="s">
        <v>1416</v>
      </c>
      <c r="S103" s="14" t="s">
        <v>1459</v>
      </c>
      <c r="T103" s="14" t="s">
        <v>1460</v>
      </c>
      <c r="U103" s="14" t="s">
        <v>1461</v>
      </c>
      <c r="V103" s="14" t="s">
        <v>1504</v>
      </c>
      <c r="W103" s="14" t="s">
        <v>1505</v>
      </c>
      <c r="X103" s="14" t="s">
        <v>1506</v>
      </c>
      <c r="Y103" s="14" t="s">
        <v>1654</v>
      </c>
      <c r="Z103" s="14" t="s">
        <v>1655</v>
      </c>
      <c r="AA103" s="14" t="s">
        <v>1656</v>
      </c>
      <c r="AB103" s="14" t="s">
        <v>1699</v>
      </c>
      <c r="AC103" s="14" t="s">
        <v>1700</v>
      </c>
      <c r="AD103" s="14" t="s">
        <v>1701</v>
      </c>
    </row>
    <row r="104" spans="1:30" hidden="1">
      <c r="B104" s="40" t="s">
        <v>1754</v>
      </c>
      <c r="C104" s="45">
        <v>6</v>
      </c>
      <c r="D104" s="14" t="s">
        <v>287</v>
      </c>
      <c r="E104" s="14" t="s">
        <v>288</v>
      </c>
      <c r="F104" s="14" t="s">
        <v>289</v>
      </c>
      <c r="G104" s="14" t="s">
        <v>1282</v>
      </c>
      <c r="H104" s="14" t="s">
        <v>1283</v>
      </c>
      <c r="I104" s="14" t="s">
        <v>1284</v>
      </c>
      <c r="J104" s="14" t="s">
        <v>1327</v>
      </c>
      <c r="K104" s="14" t="s">
        <v>1328</v>
      </c>
      <c r="L104" s="14" t="s">
        <v>1329</v>
      </c>
      <c r="M104" s="14" t="s">
        <v>1372</v>
      </c>
      <c r="N104" s="14" t="s">
        <v>1373</v>
      </c>
      <c r="O104" s="14" t="s">
        <v>1374</v>
      </c>
      <c r="P104" s="14" t="s">
        <v>1417</v>
      </c>
      <c r="Q104" s="14" t="s">
        <v>1418</v>
      </c>
      <c r="R104" s="14" t="s">
        <v>1419</v>
      </c>
      <c r="S104" s="14" t="s">
        <v>1462</v>
      </c>
      <c r="T104" s="14" t="s">
        <v>1463</v>
      </c>
      <c r="U104" s="14" t="s">
        <v>1464</v>
      </c>
      <c r="V104" s="14" t="s">
        <v>1507</v>
      </c>
      <c r="W104" s="14" t="s">
        <v>1508</v>
      </c>
      <c r="X104" s="14" t="s">
        <v>1509</v>
      </c>
      <c r="Y104" s="14" t="s">
        <v>1657</v>
      </c>
      <c r="Z104" s="14" t="s">
        <v>1658</v>
      </c>
      <c r="AA104" s="14" t="s">
        <v>1659</v>
      </c>
      <c r="AB104" s="14" t="s">
        <v>1702</v>
      </c>
      <c r="AC104" s="14" t="s">
        <v>1703</v>
      </c>
      <c r="AD104" s="14" t="s">
        <v>1704</v>
      </c>
    </row>
    <row r="105" spans="1:30" hidden="1">
      <c r="B105" s="39" t="s">
        <v>1755</v>
      </c>
      <c r="C105" s="45">
        <v>7</v>
      </c>
      <c r="D105" s="14" t="s">
        <v>290</v>
      </c>
      <c r="E105" s="14" t="s">
        <v>291</v>
      </c>
      <c r="F105" s="14" t="s">
        <v>292</v>
      </c>
      <c r="G105" s="14" t="s">
        <v>1285</v>
      </c>
      <c r="H105" s="14" t="s">
        <v>1286</v>
      </c>
      <c r="I105" s="14" t="s">
        <v>1287</v>
      </c>
      <c r="J105" s="14" t="s">
        <v>1330</v>
      </c>
      <c r="K105" s="14" t="s">
        <v>1331</v>
      </c>
      <c r="L105" s="14" t="s">
        <v>1332</v>
      </c>
      <c r="M105" s="14" t="s">
        <v>1375</v>
      </c>
      <c r="N105" s="14" t="s">
        <v>1376</v>
      </c>
      <c r="O105" s="14" t="s">
        <v>1377</v>
      </c>
      <c r="P105" s="14" t="s">
        <v>1420</v>
      </c>
      <c r="Q105" s="14" t="s">
        <v>1421</v>
      </c>
      <c r="R105" s="14" t="s">
        <v>1422</v>
      </c>
      <c r="S105" s="14" t="s">
        <v>1465</v>
      </c>
      <c r="T105" s="14" t="s">
        <v>1466</v>
      </c>
      <c r="U105" s="14" t="s">
        <v>1467</v>
      </c>
      <c r="V105" s="14" t="s">
        <v>1510</v>
      </c>
      <c r="W105" s="14" t="s">
        <v>1511</v>
      </c>
      <c r="X105" s="14" t="s">
        <v>1512</v>
      </c>
      <c r="Y105" s="14" t="s">
        <v>1660</v>
      </c>
      <c r="Z105" s="14" t="s">
        <v>1661</v>
      </c>
      <c r="AA105" s="14" t="s">
        <v>1662</v>
      </c>
      <c r="AB105" s="14" t="s">
        <v>1705</v>
      </c>
      <c r="AC105" s="14" t="s">
        <v>1706</v>
      </c>
      <c r="AD105" s="14" t="s">
        <v>1707</v>
      </c>
    </row>
    <row r="106" spans="1:30" hidden="1">
      <c r="B106" s="40" t="s">
        <v>1756</v>
      </c>
      <c r="C106" s="45">
        <v>8</v>
      </c>
      <c r="D106" s="14" t="s">
        <v>293</v>
      </c>
      <c r="E106" s="14" t="s">
        <v>294</v>
      </c>
      <c r="F106" s="14" t="s">
        <v>295</v>
      </c>
      <c r="G106" s="14" t="s">
        <v>1288</v>
      </c>
      <c r="H106" s="14" t="s">
        <v>1289</v>
      </c>
      <c r="I106" s="14" t="s">
        <v>1290</v>
      </c>
      <c r="J106" s="14" t="s">
        <v>1333</v>
      </c>
      <c r="K106" s="14" t="s">
        <v>1334</v>
      </c>
      <c r="L106" s="14" t="s">
        <v>1335</v>
      </c>
      <c r="M106" s="14" t="s">
        <v>1378</v>
      </c>
      <c r="N106" s="14" t="s">
        <v>1379</v>
      </c>
      <c r="O106" s="14" t="s">
        <v>1380</v>
      </c>
      <c r="P106" s="14" t="s">
        <v>1423</v>
      </c>
      <c r="Q106" s="14" t="s">
        <v>1424</v>
      </c>
      <c r="R106" s="14" t="s">
        <v>1425</v>
      </c>
      <c r="S106" s="14" t="s">
        <v>1468</v>
      </c>
      <c r="T106" s="14" t="s">
        <v>1469</v>
      </c>
      <c r="U106" s="14" t="s">
        <v>1470</v>
      </c>
      <c r="V106" s="14" t="s">
        <v>1618</v>
      </c>
      <c r="W106" s="14" t="s">
        <v>1619</v>
      </c>
      <c r="X106" s="14" t="s">
        <v>1620</v>
      </c>
      <c r="Y106" s="14" t="s">
        <v>1663</v>
      </c>
      <c r="Z106" s="14" t="s">
        <v>1664</v>
      </c>
      <c r="AA106" s="14" t="s">
        <v>1665</v>
      </c>
      <c r="AB106" s="14" t="s">
        <v>1708</v>
      </c>
      <c r="AC106" s="14" t="s">
        <v>1709</v>
      </c>
      <c r="AD106" s="14" t="s">
        <v>1710</v>
      </c>
    </row>
    <row r="107" spans="1:30" hidden="1">
      <c r="B107" s="40" t="s">
        <v>1757</v>
      </c>
      <c r="C107" s="45">
        <v>9</v>
      </c>
      <c r="D107" s="14" t="s">
        <v>296</v>
      </c>
      <c r="E107" s="14" t="s">
        <v>297</v>
      </c>
      <c r="F107" s="14" t="s">
        <v>298</v>
      </c>
      <c r="G107" s="14" t="s">
        <v>1291</v>
      </c>
      <c r="H107" s="14" t="s">
        <v>1292</v>
      </c>
      <c r="I107" s="14" t="s">
        <v>1293</v>
      </c>
      <c r="J107" s="14" t="s">
        <v>1336</v>
      </c>
      <c r="K107" s="14" t="s">
        <v>1337</v>
      </c>
      <c r="L107" s="14" t="s">
        <v>1338</v>
      </c>
      <c r="M107" s="14" t="s">
        <v>1381</v>
      </c>
      <c r="N107" s="14" t="s">
        <v>1382</v>
      </c>
      <c r="O107" s="14" t="s">
        <v>1383</v>
      </c>
      <c r="P107" s="14" t="s">
        <v>1426</v>
      </c>
      <c r="Q107" s="14" t="s">
        <v>1427</v>
      </c>
      <c r="R107" s="14" t="s">
        <v>1428</v>
      </c>
      <c r="S107" s="14" t="s">
        <v>1471</v>
      </c>
      <c r="T107" s="14" t="s">
        <v>1472</v>
      </c>
      <c r="U107" s="14" t="s">
        <v>1473</v>
      </c>
      <c r="V107" s="14" t="s">
        <v>1621</v>
      </c>
      <c r="W107" s="14" t="s">
        <v>1622</v>
      </c>
      <c r="X107" s="14" t="s">
        <v>1623</v>
      </c>
      <c r="Y107" s="14" t="s">
        <v>1666</v>
      </c>
      <c r="Z107" s="14" t="s">
        <v>1667</v>
      </c>
      <c r="AA107" s="14" t="s">
        <v>1668</v>
      </c>
      <c r="AB107" s="14" t="s">
        <v>1711</v>
      </c>
      <c r="AC107" s="14" t="s">
        <v>1712</v>
      </c>
      <c r="AD107" s="14" t="s">
        <v>1713</v>
      </c>
    </row>
    <row r="108" spans="1:30" hidden="1">
      <c r="C108" s="45">
        <v>10</v>
      </c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>
      <c r="A109" s="36" t="s">
        <v>1758</v>
      </c>
      <c r="C109" s="45">
        <v>11</v>
      </c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>
      <c r="A110" s="36"/>
      <c r="B110" s="6" t="s">
        <v>1749</v>
      </c>
      <c r="C110" s="45">
        <v>12</v>
      </c>
      <c r="D110" s="14" t="s">
        <v>272</v>
      </c>
      <c r="E110" s="14" t="s">
        <v>273</v>
      </c>
      <c r="F110" s="14" t="s">
        <v>274</v>
      </c>
      <c r="G110" s="14" t="s">
        <v>1267</v>
      </c>
      <c r="H110" s="14" t="s">
        <v>1268</v>
      </c>
      <c r="I110" s="14" t="s">
        <v>1269</v>
      </c>
      <c r="J110" s="14" t="s">
        <v>1312</v>
      </c>
      <c r="K110" s="14" t="s">
        <v>1313</v>
      </c>
      <c r="L110" s="14" t="s">
        <v>1314</v>
      </c>
      <c r="M110" s="14" t="s">
        <v>1357</v>
      </c>
      <c r="N110" s="14" t="s">
        <v>1358</v>
      </c>
      <c r="O110" s="14" t="s">
        <v>1359</v>
      </c>
      <c r="P110" s="14" t="s">
        <v>1402</v>
      </c>
      <c r="Q110" s="14" t="s">
        <v>1403</v>
      </c>
      <c r="R110" s="14" t="s">
        <v>1404</v>
      </c>
      <c r="S110" s="14" t="s">
        <v>1447</v>
      </c>
      <c r="T110" s="14" t="s">
        <v>1448</v>
      </c>
      <c r="U110" s="14" t="s">
        <v>1449</v>
      </c>
      <c r="V110" s="14" t="s">
        <v>1492</v>
      </c>
      <c r="W110" s="14" t="s">
        <v>1493</v>
      </c>
      <c r="X110" s="14" t="s">
        <v>1494</v>
      </c>
      <c r="Y110" s="14" t="s">
        <v>1642</v>
      </c>
      <c r="Z110" s="14" t="s">
        <v>1643</v>
      </c>
      <c r="AA110" s="14" t="s">
        <v>1644</v>
      </c>
      <c r="AB110" s="14" t="s">
        <v>1687</v>
      </c>
      <c r="AC110" s="14" t="s">
        <v>1688</v>
      </c>
      <c r="AD110" s="14" t="s">
        <v>1689</v>
      </c>
    </row>
    <row r="111" spans="1:30" hidden="1">
      <c r="B111" s="39" t="s">
        <v>1759</v>
      </c>
      <c r="C111" s="45">
        <v>13</v>
      </c>
      <c r="D111" s="14" t="s">
        <v>299</v>
      </c>
      <c r="E111" s="14" t="s">
        <v>300</v>
      </c>
      <c r="F111" s="14" t="s">
        <v>301</v>
      </c>
      <c r="G111" s="14" t="s">
        <v>1294</v>
      </c>
      <c r="H111" s="14" t="s">
        <v>1295</v>
      </c>
      <c r="I111" s="14" t="s">
        <v>1296</v>
      </c>
      <c r="J111" s="14" t="s">
        <v>1339</v>
      </c>
      <c r="K111" s="14" t="s">
        <v>1340</v>
      </c>
      <c r="L111" s="14" t="s">
        <v>1341</v>
      </c>
      <c r="M111" s="14" t="s">
        <v>1384</v>
      </c>
      <c r="N111" s="14" t="s">
        <v>1385</v>
      </c>
      <c r="O111" s="14" t="s">
        <v>1386</v>
      </c>
      <c r="P111" s="14" t="s">
        <v>1429</v>
      </c>
      <c r="Q111" s="14" t="s">
        <v>1430</v>
      </c>
      <c r="R111" s="14" t="s">
        <v>1431</v>
      </c>
      <c r="S111" s="14" t="s">
        <v>1474</v>
      </c>
      <c r="T111" s="14" t="s">
        <v>1475</v>
      </c>
      <c r="U111" s="14" t="s">
        <v>1476</v>
      </c>
      <c r="V111" s="14" t="s">
        <v>1624</v>
      </c>
      <c r="W111" s="14" t="s">
        <v>1625</v>
      </c>
      <c r="X111" s="14" t="s">
        <v>1626</v>
      </c>
      <c r="Y111" s="14" t="s">
        <v>1669</v>
      </c>
      <c r="Z111" s="14" t="s">
        <v>1670</v>
      </c>
      <c r="AA111" s="14" t="s">
        <v>1671</v>
      </c>
      <c r="AB111" s="14" t="s">
        <v>1714</v>
      </c>
      <c r="AC111" s="14" t="s">
        <v>1715</v>
      </c>
      <c r="AD111" s="14" t="s">
        <v>1716</v>
      </c>
    </row>
    <row r="112" spans="1:30" hidden="1">
      <c r="B112" s="40" t="s">
        <v>1751</v>
      </c>
      <c r="C112" s="45">
        <v>14</v>
      </c>
      <c r="D112" s="14" t="s">
        <v>278</v>
      </c>
      <c r="E112" s="14" t="s">
        <v>279</v>
      </c>
      <c r="F112" s="14" t="s">
        <v>280</v>
      </c>
      <c r="G112" s="14" t="s">
        <v>1273</v>
      </c>
      <c r="H112" s="14" t="s">
        <v>1274</v>
      </c>
      <c r="I112" s="14" t="s">
        <v>1275</v>
      </c>
      <c r="J112" s="14" t="s">
        <v>1318</v>
      </c>
      <c r="K112" s="14" t="s">
        <v>1319</v>
      </c>
      <c r="L112" s="14" t="s">
        <v>1320</v>
      </c>
      <c r="M112" s="14" t="s">
        <v>1363</v>
      </c>
      <c r="N112" s="14" t="s">
        <v>1364</v>
      </c>
      <c r="O112" s="14" t="s">
        <v>1365</v>
      </c>
      <c r="P112" s="14" t="s">
        <v>1408</v>
      </c>
      <c r="Q112" s="14" t="s">
        <v>1409</v>
      </c>
      <c r="R112" s="14" t="s">
        <v>1410</v>
      </c>
      <c r="S112" s="14" t="s">
        <v>1453</v>
      </c>
      <c r="T112" s="14" t="s">
        <v>1454</v>
      </c>
      <c r="U112" s="14" t="s">
        <v>1455</v>
      </c>
      <c r="V112" s="14" t="s">
        <v>1498</v>
      </c>
      <c r="W112" s="14" t="s">
        <v>1499</v>
      </c>
      <c r="X112" s="14" t="s">
        <v>1500</v>
      </c>
      <c r="Y112" s="14" t="s">
        <v>1648</v>
      </c>
      <c r="Z112" s="14" t="s">
        <v>1649</v>
      </c>
      <c r="AA112" s="14" t="s">
        <v>1650</v>
      </c>
      <c r="AB112" s="14" t="s">
        <v>1693</v>
      </c>
      <c r="AC112" s="14" t="s">
        <v>1694</v>
      </c>
      <c r="AD112" s="14" t="s">
        <v>1695</v>
      </c>
    </row>
    <row r="113" spans="1:30" hidden="1">
      <c r="B113" s="40" t="s">
        <v>1756</v>
      </c>
      <c r="C113" s="45">
        <v>15</v>
      </c>
      <c r="D113" s="14" t="s">
        <v>293</v>
      </c>
      <c r="E113" s="14" t="s">
        <v>294</v>
      </c>
      <c r="F113" s="14" t="s">
        <v>295</v>
      </c>
      <c r="G113" s="14" t="s">
        <v>1288</v>
      </c>
      <c r="H113" s="14" t="s">
        <v>1289</v>
      </c>
      <c r="I113" s="14" t="s">
        <v>1290</v>
      </c>
      <c r="J113" s="14" t="s">
        <v>1333</v>
      </c>
      <c r="K113" s="14" t="s">
        <v>1334</v>
      </c>
      <c r="L113" s="14" t="s">
        <v>1335</v>
      </c>
      <c r="M113" s="14" t="s">
        <v>1378</v>
      </c>
      <c r="N113" s="14" t="s">
        <v>1379</v>
      </c>
      <c r="O113" s="14" t="s">
        <v>1380</v>
      </c>
      <c r="P113" s="14" t="s">
        <v>1423</v>
      </c>
      <c r="Q113" s="14" t="s">
        <v>1424</v>
      </c>
      <c r="R113" s="14" t="s">
        <v>1425</v>
      </c>
      <c r="S113" s="14" t="s">
        <v>1468</v>
      </c>
      <c r="T113" s="14" t="s">
        <v>1469</v>
      </c>
      <c r="U113" s="14" t="s">
        <v>1470</v>
      </c>
      <c r="V113" s="14" t="s">
        <v>1618</v>
      </c>
      <c r="W113" s="14" t="s">
        <v>1619</v>
      </c>
      <c r="X113" s="14" t="s">
        <v>1620</v>
      </c>
      <c r="Y113" s="14" t="s">
        <v>1663</v>
      </c>
      <c r="Z113" s="14" t="s">
        <v>1664</v>
      </c>
      <c r="AA113" s="14" t="s">
        <v>1665</v>
      </c>
      <c r="AB113" s="14" t="s">
        <v>1708</v>
      </c>
      <c r="AC113" s="14" t="s">
        <v>1709</v>
      </c>
      <c r="AD113" s="14" t="s">
        <v>1710</v>
      </c>
    </row>
    <row r="114" spans="1:30" hidden="1">
      <c r="B114" s="39" t="s">
        <v>1760</v>
      </c>
      <c r="C114" s="45">
        <v>16</v>
      </c>
      <c r="D114" s="14" t="s">
        <v>302</v>
      </c>
      <c r="E114" s="14" t="s">
        <v>303</v>
      </c>
      <c r="F114" s="14" t="s">
        <v>304</v>
      </c>
      <c r="G114" s="14" t="s">
        <v>1297</v>
      </c>
      <c r="H114" s="14" t="s">
        <v>1298</v>
      </c>
      <c r="I114" s="14" t="s">
        <v>1299</v>
      </c>
      <c r="J114" s="14" t="s">
        <v>1342</v>
      </c>
      <c r="K114" s="14" t="s">
        <v>1343</v>
      </c>
      <c r="L114" s="14" t="s">
        <v>1344</v>
      </c>
      <c r="M114" s="14" t="s">
        <v>1387</v>
      </c>
      <c r="N114" s="14" t="s">
        <v>1388</v>
      </c>
      <c r="O114" s="14" t="s">
        <v>1389</v>
      </c>
      <c r="P114" s="14" t="s">
        <v>1432</v>
      </c>
      <c r="Q114" s="14" t="s">
        <v>1433</v>
      </c>
      <c r="R114" s="14" t="s">
        <v>1434</v>
      </c>
      <c r="S114" s="14" t="s">
        <v>1477</v>
      </c>
      <c r="T114" s="14" t="s">
        <v>1478</v>
      </c>
      <c r="U114" s="14" t="s">
        <v>1479</v>
      </c>
      <c r="V114" s="14" t="s">
        <v>1627</v>
      </c>
      <c r="W114" s="14" t="s">
        <v>1628</v>
      </c>
      <c r="X114" s="14" t="s">
        <v>1629</v>
      </c>
      <c r="Y114" s="14" t="s">
        <v>1672</v>
      </c>
      <c r="Z114" s="14" t="s">
        <v>1673</v>
      </c>
      <c r="AA114" s="14" t="s">
        <v>1674</v>
      </c>
      <c r="AB114" s="14" t="s">
        <v>1717</v>
      </c>
      <c r="AC114" s="14" t="s">
        <v>1718</v>
      </c>
      <c r="AD114" s="14" t="s">
        <v>1719</v>
      </c>
    </row>
    <row r="115" spans="1:30" hidden="1">
      <c r="B115" s="40" t="s">
        <v>1754</v>
      </c>
      <c r="C115" s="45">
        <v>17</v>
      </c>
      <c r="D115" s="14" t="s">
        <v>287</v>
      </c>
      <c r="E115" s="14" t="s">
        <v>288</v>
      </c>
      <c r="F115" s="14" t="s">
        <v>289</v>
      </c>
      <c r="G115" s="14" t="s">
        <v>1282</v>
      </c>
      <c r="H115" s="14" t="s">
        <v>1283</v>
      </c>
      <c r="I115" s="14" t="s">
        <v>1284</v>
      </c>
      <c r="J115" s="14" t="s">
        <v>1327</v>
      </c>
      <c r="K115" s="14" t="s">
        <v>1328</v>
      </c>
      <c r="L115" s="14" t="s">
        <v>1329</v>
      </c>
      <c r="M115" s="14" t="s">
        <v>1372</v>
      </c>
      <c r="N115" s="14" t="s">
        <v>1373</v>
      </c>
      <c r="O115" s="14" t="s">
        <v>1374</v>
      </c>
      <c r="P115" s="14" t="s">
        <v>1417</v>
      </c>
      <c r="Q115" s="14" t="s">
        <v>1418</v>
      </c>
      <c r="R115" s="14" t="s">
        <v>1419</v>
      </c>
      <c r="S115" s="14" t="s">
        <v>1462</v>
      </c>
      <c r="T115" s="14" t="s">
        <v>1463</v>
      </c>
      <c r="U115" s="14" t="s">
        <v>1464</v>
      </c>
      <c r="V115" s="14" t="s">
        <v>1507</v>
      </c>
      <c r="W115" s="14" t="s">
        <v>1508</v>
      </c>
      <c r="X115" s="14" t="s">
        <v>1509</v>
      </c>
      <c r="Y115" s="14" t="s">
        <v>1657</v>
      </c>
      <c r="Z115" s="14" t="s">
        <v>1658</v>
      </c>
      <c r="AA115" s="14" t="s">
        <v>1659</v>
      </c>
      <c r="AB115" s="14" t="s">
        <v>1702</v>
      </c>
      <c r="AC115" s="14" t="s">
        <v>1703</v>
      </c>
      <c r="AD115" s="14" t="s">
        <v>1704</v>
      </c>
    </row>
    <row r="116" spans="1:30" hidden="1">
      <c r="B116" s="40" t="s">
        <v>1757</v>
      </c>
      <c r="C116" s="45">
        <v>18</v>
      </c>
      <c r="D116" s="14" t="s">
        <v>296</v>
      </c>
      <c r="E116" s="14" t="s">
        <v>297</v>
      </c>
      <c r="F116" s="14" t="s">
        <v>298</v>
      </c>
      <c r="G116" s="14" t="s">
        <v>1291</v>
      </c>
      <c r="H116" s="14" t="s">
        <v>1292</v>
      </c>
      <c r="I116" s="14" t="s">
        <v>1293</v>
      </c>
      <c r="J116" s="14" t="s">
        <v>1336</v>
      </c>
      <c r="K116" s="14" t="s">
        <v>1337</v>
      </c>
      <c r="L116" s="14" t="s">
        <v>1338</v>
      </c>
      <c r="M116" s="14" t="s">
        <v>1381</v>
      </c>
      <c r="N116" s="14" t="s">
        <v>1382</v>
      </c>
      <c r="O116" s="14" t="s">
        <v>1383</v>
      </c>
      <c r="P116" s="14" t="s">
        <v>1426</v>
      </c>
      <c r="Q116" s="14" t="s">
        <v>1427</v>
      </c>
      <c r="R116" s="14" t="s">
        <v>1428</v>
      </c>
      <c r="S116" s="14" t="s">
        <v>1471</v>
      </c>
      <c r="T116" s="14" t="s">
        <v>1472</v>
      </c>
      <c r="U116" s="14" t="s">
        <v>1473</v>
      </c>
      <c r="V116" s="14" t="s">
        <v>1621</v>
      </c>
      <c r="W116" s="14" t="s">
        <v>1622</v>
      </c>
      <c r="X116" s="14" t="s">
        <v>1623</v>
      </c>
      <c r="Y116" s="14" t="s">
        <v>1666</v>
      </c>
      <c r="Z116" s="14" t="s">
        <v>1667</v>
      </c>
      <c r="AA116" s="14" t="s">
        <v>1668</v>
      </c>
      <c r="AB116" s="14" t="s">
        <v>1711</v>
      </c>
      <c r="AC116" s="14" t="s">
        <v>1712</v>
      </c>
      <c r="AD116" s="14" t="s">
        <v>1713</v>
      </c>
    </row>
    <row r="117" spans="1:30" hidden="1">
      <c r="B117" s="6"/>
      <c r="C117" s="45">
        <v>19</v>
      </c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>
      <c r="A118" s="36" t="s">
        <v>1761</v>
      </c>
      <c r="C118" s="45">
        <v>20</v>
      </c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>
      <c r="A119" s="36"/>
      <c r="B119" s="6" t="s">
        <v>1761</v>
      </c>
      <c r="C119" s="45">
        <v>21</v>
      </c>
      <c r="D119" s="14" t="s">
        <v>305</v>
      </c>
      <c r="E119" s="14" t="s">
        <v>306</v>
      </c>
      <c r="F119" s="14" t="s">
        <v>307</v>
      </c>
      <c r="G119" s="14" t="s">
        <v>1300</v>
      </c>
      <c r="H119" s="14" t="s">
        <v>1301</v>
      </c>
      <c r="I119" s="14" t="s">
        <v>1302</v>
      </c>
      <c r="J119" s="14" t="s">
        <v>1345</v>
      </c>
      <c r="K119" s="14" t="s">
        <v>1346</v>
      </c>
      <c r="L119" s="14" t="s">
        <v>1347</v>
      </c>
      <c r="M119" s="14" t="s">
        <v>1390</v>
      </c>
      <c r="N119" s="14" t="s">
        <v>1391</v>
      </c>
      <c r="O119" s="14" t="s">
        <v>1392</v>
      </c>
      <c r="P119" s="14" t="s">
        <v>1435</v>
      </c>
      <c r="Q119" s="14" t="s">
        <v>1436</v>
      </c>
      <c r="R119" s="14" t="s">
        <v>1437</v>
      </c>
      <c r="S119" s="14" t="s">
        <v>1480</v>
      </c>
      <c r="T119" s="14" t="s">
        <v>1481</v>
      </c>
      <c r="U119" s="14" t="s">
        <v>1482</v>
      </c>
      <c r="V119" s="14" t="s">
        <v>1630</v>
      </c>
      <c r="W119" s="14" t="s">
        <v>1631</v>
      </c>
      <c r="X119" s="14" t="s">
        <v>1632</v>
      </c>
      <c r="Y119" s="14" t="s">
        <v>1675</v>
      </c>
      <c r="Z119" s="14" t="s">
        <v>1676</v>
      </c>
      <c r="AA119" s="14" t="s">
        <v>1677</v>
      </c>
      <c r="AB119" s="14" t="s">
        <v>1720</v>
      </c>
      <c r="AC119" s="14" t="s">
        <v>1721</v>
      </c>
      <c r="AD119" s="14" t="s">
        <v>1722</v>
      </c>
    </row>
    <row r="120" spans="1:30" hidden="1">
      <c r="B120" s="39" t="s">
        <v>1762</v>
      </c>
      <c r="C120" s="45">
        <v>22</v>
      </c>
      <c r="D120" s="14" t="s">
        <v>281</v>
      </c>
      <c r="E120" s="14" t="s">
        <v>282</v>
      </c>
      <c r="F120" s="14" t="s">
        <v>283</v>
      </c>
      <c r="G120" s="14" t="s">
        <v>1276</v>
      </c>
      <c r="H120" s="14" t="s">
        <v>1277</v>
      </c>
      <c r="I120" s="14" t="s">
        <v>1278</v>
      </c>
      <c r="J120" s="14" t="s">
        <v>1321</v>
      </c>
      <c r="K120" s="14" t="s">
        <v>1322</v>
      </c>
      <c r="L120" s="14" t="s">
        <v>1323</v>
      </c>
      <c r="M120" s="14" t="s">
        <v>1366</v>
      </c>
      <c r="N120" s="14" t="s">
        <v>1367</v>
      </c>
      <c r="O120" s="14" t="s">
        <v>1368</v>
      </c>
      <c r="P120" s="14" t="s">
        <v>1411</v>
      </c>
      <c r="Q120" s="14" t="s">
        <v>1412</v>
      </c>
      <c r="R120" s="14" t="s">
        <v>1413</v>
      </c>
      <c r="S120" s="14" t="s">
        <v>1456</v>
      </c>
      <c r="T120" s="14" t="s">
        <v>1457</v>
      </c>
      <c r="U120" s="14" t="s">
        <v>1458</v>
      </c>
      <c r="V120" s="14" t="s">
        <v>1501</v>
      </c>
      <c r="W120" s="14" t="s">
        <v>1502</v>
      </c>
      <c r="X120" s="14" t="s">
        <v>1503</v>
      </c>
      <c r="Y120" s="14" t="s">
        <v>1651</v>
      </c>
      <c r="Z120" s="14" t="s">
        <v>1652</v>
      </c>
      <c r="AA120" s="14" t="s">
        <v>1653</v>
      </c>
      <c r="AB120" s="14" t="s">
        <v>1696</v>
      </c>
      <c r="AC120" s="14" t="s">
        <v>1697</v>
      </c>
      <c r="AD120" s="14" t="s">
        <v>1698</v>
      </c>
    </row>
    <row r="121" spans="1:30" hidden="1">
      <c r="B121" s="39" t="s">
        <v>1757</v>
      </c>
      <c r="C121" s="45">
        <v>23</v>
      </c>
      <c r="D121" s="14" t="s">
        <v>296</v>
      </c>
      <c r="E121" s="14" t="s">
        <v>297</v>
      </c>
      <c r="F121" s="14" t="s">
        <v>298</v>
      </c>
      <c r="G121" s="14" t="s">
        <v>1291</v>
      </c>
      <c r="H121" s="14" t="s">
        <v>1292</v>
      </c>
      <c r="I121" s="14" t="s">
        <v>1293</v>
      </c>
      <c r="J121" s="14" t="s">
        <v>1336</v>
      </c>
      <c r="K121" s="14" t="s">
        <v>1337</v>
      </c>
      <c r="L121" s="14" t="s">
        <v>1338</v>
      </c>
      <c r="M121" s="14" t="s">
        <v>1381</v>
      </c>
      <c r="N121" s="14" t="s">
        <v>1382</v>
      </c>
      <c r="O121" s="14" t="s">
        <v>1383</v>
      </c>
      <c r="P121" s="14" t="s">
        <v>1426</v>
      </c>
      <c r="Q121" s="14" t="s">
        <v>1427</v>
      </c>
      <c r="R121" s="14" t="s">
        <v>1428</v>
      </c>
      <c r="S121" s="14" t="s">
        <v>1471</v>
      </c>
      <c r="T121" s="14" t="s">
        <v>1472</v>
      </c>
      <c r="U121" s="14" t="s">
        <v>1473</v>
      </c>
      <c r="V121" s="14" t="s">
        <v>1621</v>
      </c>
      <c r="W121" s="14" t="s">
        <v>1622</v>
      </c>
      <c r="X121" s="14" t="s">
        <v>1623</v>
      </c>
      <c r="Y121" s="14" t="s">
        <v>1666</v>
      </c>
      <c r="Z121" s="14" t="s">
        <v>1667</v>
      </c>
      <c r="AA121" s="14" t="s">
        <v>1668</v>
      </c>
      <c r="AB121" s="14" t="s">
        <v>1711</v>
      </c>
      <c r="AC121" s="14" t="s">
        <v>1712</v>
      </c>
      <c r="AD121" s="14" t="s">
        <v>1713</v>
      </c>
    </row>
    <row r="122" spans="1:30" hidden="1">
      <c r="B122" s="6"/>
      <c r="C122" s="45">
        <v>24</v>
      </c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>
      <c r="A123" s="36" t="s">
        <v>1763</v>
      </c>
      <c r="C123" s="45">
        <v>25</v>
      </c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>
      <c r="B124" s="6" t="s">
        <v>1764</v>
      </c>
      <c r="C124" s="45">
        <v>26</v>
      </c>
      <c r="D124" s="14" t="s">
        <v>263</v>
      </c>
      <c r="E124" s="14" t="s">
        <v>264</v>
      </c>
      <c r="F124" s="14" t="s">
        <v>265</v>
      </c>
      <c r="G124" s="14" t="s">
        <v>1008</v>
      </c>
      <c r="H124" s="14" t="s">
        <v>1009</v>
      </c>
      <c r="I124" s="14" t="s">
        <v>1010</v>
      </c>
      <c r="J124" s="14" t="s">
        <v>1303</v>
      </c>
      <c r="K124" s="14" t="s">
        <v>1304</v>
      </c>
      <c r="L124" s="14" t="s">
        <v>1305</v>
      </c>
      <c r="M124" s="14" t="s">
        <v>1348</v>
      </c>
      <c r="N124" s="14" t="s">
        <v>1349</v>
      </c>
      <c r="O124" s="14" t="s">
        <v>1350</v>
      </c>
      <c r="P124" s="14" t="s">
        <v>1393</v>
      </c>
      <c r="Q124" s="14" t="s">
        <v>1394</v>
      </c>
      <c r="R124" s="14" t="s">
        <v>1395</v>
      </c>
      <c r="S124" s="14" t="s">
        <v>1438</v>
      </c>
      <c r="T124" s="14" t="s">
        <v>1439</v>
      </c>
      <c r="U124" s="14" t="s">
        <v>1440</v>
      </c>
      <c r="V124" s="14" t="s">
        <v>1483</v>
      </c>
      <c r="W124" s="14" t="s">
        <v>1484</v>
      </c>
      <c r="X124" s="14" t="s">
        <v>1485</v>
      </c>
      <c r="Y124" s="14" t="s">
        <v>1633</v>
      </c>
      <c r="Z124" s="14" t="s">
        <v>1634</v>
      </c>
      <c r="AA124" s="14" t="s">
        <v>1635</v>
      </c>
      <c r="AB124" s="14" t="s">
        <v>1678</v>
      </c>
      <c r="AC124" s="14" t="s">
        <v>1679</v>
      </c>
      <c r="AD124" s="14" t="s">
        <v>1680</v>
      </c>
    </row>
    <row r="125" spans="1:30" hidden="1">
      <c r="B125" s="39" t="s">
        <v>1765</v>
      </c>
      <c r="C125" s="45">
        <v>27</v>
      </c>
      <c r="D125" s="14" t="s">
        <v>266</v>
      </c>
      <c r="E125" s="14" t="s">
        <v>267</v>
      </c>
      <c r="F125" s="14" t="s">
        <v>268</v>
      </c>
      <c r="G125" s="14" t="s">
        <v>1011</v>
      </c>
      <c r="H125" s="14" t="s">
        <v>1012</v>
      </c>
      <c r="I125" s="14" t="s">
        <v>1263</v>
      </c>
      <c r="J125" s="14" t="s">
        <v>1306</v>
      </c>
      <c r="K125" s="14" t="s">
        <v>1307</v>
      </c>
      <c r="L125" s="14" t="s">
        <v>1308</v>
      </c>
      <c r="M125" s="14" t="s">
        <v>1351</v>
      </c>
      <c r="N125" s="14" t="s">
        <v>1352</v>
      </c>
      <c r="O125" s="14" t="s">
        <v>1353</v>
      </c>
      <c r="P125" s="14" t="s">
        <v>1396</v>
      </c>
      <c r="Q125" s="14" t="s">
        <v>1397</v>
      </c>
      <c r="R125" s="14" t="s">
        <v>1398</v>
      </c>
      <c r="S125" s="14" t="s">
        <v>1441</v>
      </c>
      <c r="T125" s="14" t="s">
        <v>1442</v>
      </c>
      <c r="U125" s="14" t="s">
        <v>1443</v>
      </c>
      <c r="V125" s="14" t="s">
        <v>1486</v>
      </c>
      <c r="W125" s="14" t="s">
        <v>1487</v>
      </c>
      <c r="X125" s="14" t="s">
        <v>1488</v>
      </c>
      <c r="Y125" s="14" t="s">
        <v>1636</v>
      </c>
      <c r="Z125" s="14" t="s">
        <v>1637</v>
      </c>
      <c r="AA125" s="14" t="s">
        <v>1638</v>
      </c>
      <c r="AB125" s="14" t="s">
        <v>1681</v>
      </c>
      <c r="AC125" s="14" t="s">
        <v>1682</v>
      </c>
      <c r="AD125" s="14" t="s">
        <v>1683</v>
      </c>
    </row>
    <row r="126" spans="1:30" hidden="1">
      <c r="B126" s="39" t="s">
        <v>1766</v>
      </c>
      <c r="C126" s="45">
        <v>28</v>
      </c>
      <c r="D126" s="14" t="s">
        <v>269</v>
      </c>
      <c r="E126" s="14" t="s">
        <v>270</v>
      </c>
      <c r="F126" s="14" t="s">
        <v>271</v>
      </c>
      <c r="G126" s="14" t="s">
        <v>1264</v>
      </c>
      <c r="H126" s="14" t="s">
        <v>1265</v>
      </c>
      <c r="I126" s="14" t="s">
        <v>1266</v>
      </c>
      <c r="J126" s="14" t="s">
        <v>1309</v>
      </c>
      <c r="K126" s="14" t="s">
        <v>1310</v>
      </c>
      <c r="L126" s="14" t="s">
        <v>1311</v>
      </c>
      <c r="M126" s="14" t="s">
        <v>1354</v>
      </c>
      <c r="N126" s="14" t="s">
        <v>1355</v>
      </c>
      <c r="O126" s="14" t="s">
        <v>1356</v>
      </c>
      <c r="P126" s="14" t="s">
        <v>1399</v>
      </c>
      <c r="Q126" s="14" t="s">
        <v>1400</v>
      </c>
      <c r="R126" s="14" t="s">
        <v>1401</v>
      </c>
      <c r="S126" s="14" t="s">
        <v>1444</v>
      </c>
      <c r="T126" s="14" t="s">
        <v>1445</v>
      </c>
      <c r="U126" s="14" t="s">
        <v>1446</v>
      </c>
      <c r="V126" s="14" t="s">
        <v>1489</v>
      </c>
      <c r="W126" s="14" t="s">
        <v>1490</v>
      </c>
      <c r="X126" s="14" t="s">
        <v>1491</v>
      </c>
      <c r="Y126" s="14" t="s">
        <v>1639</v>
      </c>
      <c r="Z126" s="14" t="s">
        <v>1640</v>
      </c>
      <c r="AA126" s="14" t="s">
        <v>1641</v>
      </c>
      <c r="AB126" s="14" t="s">
        <v>1684</v>
      </c>
      <c r="AC126" s="14" t="s">
        <v>1685</v>
      </c>
      <c r="AD126" s="14" t="s">
        <v>1686</v>
      </c>
    </row>
    <row r="127" spans="1:30" ht="15" hidden="1" customHeight="1"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t="15" hidden="1" customHeight="1"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4:30" ht="15" customHeight="1"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4:30" ht="15" customHeight="1"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4:30" ht="15" customHeight="1"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4:30" ht="15" customHeight="1"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4:30" ht="15" customHeight="1"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4:30" ht="15" customHeight="1"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4:30" ht="15" customHeight="1"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4:30" ht="15" customHeight="1">
      <c r="D136" s="14"/>
      <c r="E136" s="14"/>
      <c r="F136" s="14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</row>
    <row r="137" spans="4:30" ht="15" customHeight="1">
      <c r="D137" s="14"/>
      <c r="E137" s="14"/>
      <c r="F137" s="14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</row>
    <row r="138" spans="4:30" ht="15" customHeight="1">
      <c r="D138" s="14"/>
      <c r="E138" s="14"/>
      <c r="F138" s="14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</row>
    <row r="139" spans="4:30" ht="15" customHeight="1">
      <c r="D139" s="14"/>
      <c r="E139" s="14"/>
      <c r="F139" s="14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</row>
    <row r="140" spans="4:30" ht="15" customHeight="1"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</row>
    <row r="141" spans="4:30" ht="15" customHeight="1"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</row>
    <row r="142" spans="4:30" ht="15" customHeight="1"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</row>
    <row r="143" spans="4:30" ht="15" customHeight="1"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</row>
    <row r="144" spans="4:30" ht="15" customHeight="1"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</row>
    <row r="145" spans="4:21" ht="15" customHeight="1"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</row>
    <row r="146" spans="4:21" ht="15" customHeight="1">
      <c r="D146" s="38"/>
      <c r="E146" s="38"/>
      <c r="F146" s="38"/>
    </row>
    <row r="147" spans="4:21" ht="15" customHeight="1">
      <c r="D147" s="38"/>
      <c r="E147" s="38"/>
      <c r="F147" s="38"/>
    </row>
    <row r="148" spans="4:21" ht="15" customHeight="1">
      <c r="D148" s="38"/>
      <c r="E148" s="38"/>
      <c r="F148" s="38"/>
    </row>
    <row r="149" spans="4:21" ht="15" customHeight="1">
      <c r="D149" s="38"/>
      <c r="E149" s="38"/>
      <c r="F149" s="38"/>
    </row>
  </sheetData>
  <mergeCells count="24">
    <mergeCell ref="Y95:AA95"/>
    <mergeCell ref="AB95:AD95"/>
    <mergeCell ref="V60:X60"/>
    <mergeCell ref="Y60:AA60"/>
    <mergeCell ref="AB60:AD60"/>
    <mergeCell ref="S95:U95"/>
    <mergeCell ref="V95:X95"/>
    <mergeCell ref="D60:F60"/>
    <mergeCell ref="G60:I60"/>
    <mergeCell ref="J60:L60"/>
    <mergeCell ref="M60:O60"/>
    <mergeCell ref="P60:R60"/>
    <mergeCell ref="S60:U60"/>
    <mergeCell ref="D95:F95"/>
    <mergeCell ref="G95:I95"/>
    <mergeCell ref="J95:L95"/>
    <mergeCell ref="M95:O95"/>
    <mergeCell ref="P95:R95"/>
    <mergeCell ref="B6:K6"/>
    <mergeCell ref="L6:T6"/>
    <mergeCell ref="A8:H8"/>
    <mergeCell ref="L8:R8"/>
    <mergeCell ref="C10:E10"/>
    <mergeCell ref="G10:I10"/>
  </mergeCells>
  <dataValidations count="1">
    <dataValidation type="list" allowBlank="1" showInputMessage="1" showErrorMessage="1" sqref="C10:E10" xr:uid="{67B45CE0-7FE3-4EF2-B8B5-54CDC071DA94}">
      <formula1>$B$46:$B$54</formula1>
    </dataValidation>
  </dataValidations>
  <hyperlinks>
    <hyperlink ref="A44" r:id="rId1" display="http://www.abs.gov.au/websitedbs/d3310114.nsf/Home/©+Copyright?OpenDocument" xr:uid="{D92EC1B7-E281-4143-88A6-05E971F3A018}"/>
    <hyperlink ref="G124" location="A127834837X" display="A127834837X" xr:uid="{979FDB84-A7BC-4796-991E-21D33ECE1C8E}"/>
    <hyperlink ref="H124" location="A127831867J" display="A127831867J" xr:uid="{95016D30-E4CD-41A5-A34B-56BB1CFAE2E0}"/>
    <hyperlink ref="I124" location="A127828897L" display="A127828897L" xr:uid="{26D208A3-D8DA-41D9-8F60-E657F8BC7BD7}"/>
    <hyperlink ref="G125" location="A127834839C" display="A127834839C" xr:uid="{7288803D-ABE5-48A7-9853-AC7E99B82994}"/>
    <hyperlink ref="H125" location="A127831869L" display="A127831869L" xr:uid="{303985C8-D7CD-4146-AB89-8D38FD14C383}"/>
    <hyperlink ref="I125" location="A127828899T" display="A127828899T" xr:uid="{02B7B43E-9A4D-45A9-BAEE-38B98B54928C}"/>
    <hyperlink ref="G126" location="A127834838A" display="A127834838A" xr:uid="{DBDCF1EF-9BCB-462C-88E6-653B7E85E21B}"/>
    <hyperlink ref="H126" location="A127831868K" display="A127831868K" xr:uid="{40F24CED-A326-4E1C-95D5-464BADCFBE90}"/>
    <hyperlink ref="I126" location="A127828898R" display="A127828898R" xr:uid="{BF978246-B857-4CD3-9D88-E61578C8E720}"/>
    <hyperlink ref="G99" location="A127834832L" display="A127834832L" xr:uid="{8731BC90-39F6-4AA7-8E31-31FD876C81FC}"/>
    <hyperlink ref="H99" location="A127831862W" display="A127831862W" xr:uid="{B215ECDC-EF88-4326-9556-27CB7A0C929A}"/>
    <hyperlink ref="I99" location="A127828892A" display="A127828892A" xr:uid="{3EB0F23B-7AE2-4801-9BE0-43778C3D3FC8}"/>
    <hyperlink ref="G100" location="A127834836W" display="A127834836W" xr:uid="{F97AC356-E0A1-48C2-880E-0308DA244EFC}"/>
    <hyperlink ref="H100" location="A127831866F" display="A127831866F" xr:uid="{B552420D-D4E4-4614-B24D-97AD8000B726}"/>
    <hyperlink ref="I100" location="A127828896K" display="A127828896K" xr:uid="{E18A3F38-0D22-4E53-923F-E2C5AB5513FC}"/>
    <hyperlink ref="G101" location="A127834831K" display="A127834831K" xr:uid="{0804D6E9-3EB8-489B-83DA-BC77D3A9D0DB}"/>
    <hyperlink ref="H101" location="A127831861V" display="A127831861V" xr:uid="{DAF1919A-855D-4CC7-9774-76A49488A9B0}"/>
    <hyperlink ref="I101" location="A127828891X" display="A127828891X" xr:uid="{1F4F194B-CF8E-4B2A-ACD7-230AE52B267B}"/>
    <hyperlink ref="G102" location="A127834829X" display="A127834829X" xr:uid="{DC3A34B7-6FF9-45F4-A696-8C9F8B86B32F}"/>
    <hyperlink ref="H102" location="A127831859J" display="A127831859J" xr:uid="{F1536E70-3E20-4E39-9457-274ECF5A744C}"/>
    <hyperlink ref="I102" location="A127828889L" display="A127828889L" xr:uid="{8DD70862-972E-4098-86CB-B2FABFA156E8}"/>
    <hyperlink ref="G103" location="A127834840L" display="A127834840L" xr:uid="{7119B6AF-3AEA-4621-AD73-15158A1F7668}"/>
    <hyperlink ref="H103" location="A127831870W" display="A127831870W" xr:uid="{F4BD8A4B-435B-4FBB-A351-F326893226A8}"/>
    <hyperlink ref="I103" location="A127828900R" display="A127828900R" xr:uid="{64067010-660E-4BAB-80FD-DF42578EBD23}"/>
    <hyperlink ref="G104" location="A127834828W" display="A127834828W" xr:uid="{09EECE34-974B-43D1-B2DF-F6935153889C}"/>
    <hyperlink ref="H104" location="A127831858F" display="A127831858F" xr:uid="{EBE6EF7E-D793-48D8-B03A-A1D7B036510C}"/>
    <hyperlink ref="I104" location="A127828888K" display="A127828888K" xr:uid="{37589F50-E224-423B-A605-B6823B2C84A7}"/>
    <hyperlink ref="G105" location="A127834835V" display="A127834835V" xr:uid="{106D659B-31D8-46F2-9314-F9E80A9E79CE}"/>
    <hyperlink ref="H105" location="A127831865C" display="A127831865C" xr:uid="{03CE8650-4F60-427A-BEE3-F519B6633A5B}"/>
    <hyperlink ref="I105" location="A127828895J" display="A127828895J" xr:uid="{72F0F80F-A6B4-4E93-ADFC-D8C1FDC93552}"/>
    <hyperlink ref="G106" location="A127834830J" display="A127834830J" xr:uid="{B9E8CFAE-BD32-4EEA-B12E-F423CB0119E1}"/>
    <hyperlink ref="H106" location="A127831860T" display="A127831860T" xr:uid="{A47BA030-BAE9-44FA-9FE6-173F35B881B9}"/>
    <hyperlink ref="I106" location="A127828890W" display="A127828890W" xr:uid="{689486C0-4278-4365-86AE-BE97F8F73C62}"/>
    <hyperlink ref="G107" location="A127834827V" display="A127834827V" xr:uid="{68416A2E-7933-4EBF-8749-3BB0E6B9E2A9}"/>
    <hyperlink ref="H107" location="A127831857C" display="A127831857C" xr:uid="{E57FE89A-C27D-47BD-9045-742A42E8878D}"/>
    <hyperlink ref="I107" location="A127828887J" display="A127828887J" xr:uid="{37760D77-D2E9-4373-B160-0DCE30B5B4C5}"/>
    <hyperlink ref="G111" location="A127834834T" display="A127834834T" xr:uid="{7A0DAE9E-E421-4778-8A73-FA6837D2524B}"/>
    <hyperlink ref="H111" location="A127831864A" display="A127831864A" xr:uid="{DA67CBD5-AEFC-40A8-A4AC-6ABAD29F20BE}"/>
    <hyperlink ref="I111" location="A127828894F" display="A127828894F" xr:uid="{BD05B693-6622-48EC-9F74-6FC6BCF7B4EC}"/>
    <hyperlink ref="G114" location="A127834833R" display="A127834833R" xr:uid="{6AC3B8F1-C69A-47E7-A88C-2FDA8C4D2D85}"/>
    <hyperlink ref="H114" location="A127831863X" display="A127831863X" xr:uid="{66024585-D64C-4AC3-AC0E-3D0A46489E9F}"/>
    <hyperlink ref="I114" location="A127828893C" display="A127828893C" xr:uid="{9B05DB11-92BF-4709-B279-DAB262FA0EE5}"/>
    <hyperlink ref="G119" location="A127834841R" display="A127834841R" xr:uid="{70457AFA-F0F3-4730-887E-51C61FF8D218}"/>
    <hyperlink ref="H119" location="A127831871X" display="A127831871X" xr:uid="{D61CD5E1-3347-4E05-800B-509D52DFFF20}"/>
    <hyperlink ref="I119" location="A127828901T" display="A127828901T" xr:uid="{4A4D4200-3BFB-4FB6-B608-BDFD1F7847C3}"/>
    <hyperlink ref="J124" location="A127833517V" display="A127833517V" xr:uid="{803DB469-1869-455B-AED2-EDB899BB9E5F}"/>
    <hyperlink ref="K124" location="A127830547C" display="A127830547C" xr:uid="{CA44DFA2-7855-4A3A-9480-25F528A0ECD7}"/>
    <hyperlink ref="L124" location="A127827577J" display="A127827577J" xr:uid="{AE196D4A-6A2A-49CE-B9F8-737BD488FC13}"/>
    <hyperlink ref="J125" location="A127833519X" display="A127833519X" xr:uid="{4A01A674-CB26-455B-8814-BF5F0B5759D4}"/>
    <hyperlink ref="K125" location="A127830549J" display="A127830549J" xr:uid="{38430B57-425C-438F-877D-4B833EDE6C20}"/>
    <hyperlink ref="L125" location="A127827579L" display="A127827579L" xr:uid="{F3B52F17-640D-4725-B8D8-B4A96A02B134}"/>
    <hyperlink ref="J126" location="A127833518W" display="A127833518W" xr:uid="{259BFB0B-A57D-4EC9-982E-8F7D03029BED}"/>
    <hyperlink ref="K126" location="A127830548F" display="A127830548F" xr:uid="{CA436F4F-1EEB-4AEC-8EA7-2D1DE22CABDA}"/>
    <hyperlink ref="L126" location="A127827578K" display="A127827578K" xr:uid="{3F6C4531-478A-4B63-866B-ADF9755B1490}"/>
    <hyperlink ref="J99" location="A127833512J" display="A127833512J" xr:uid="{3697FA4A-1556-445D-B2E3-F458AF4EE8DE}"/>
    <hyperlink ref="K99" location="A127830542T" display="A127830542T" xr:uid="{9318A346-5F7D-448E-907D-C3EE25CA4569}"/>
    <hyperlink ref="L99" location="A127827572W" display="A127827572W" xr:uid="{64B232E3-9736-43F4-998A-6E904ECADA63}"/>
    <hyperlink ref="J100" location="A127833516T" display="A127833516T" xr:uid="{7344E61A-53FC-406F-B006-22EF9F7315EE}"/>
    <hyperlink ref="K100" location="A127830546A" display="A127830546A" xr:uid="{FE04D075-6DA2-4285-ACB0-6E1D40115C8E}"/>
    <hyperlink ref="L100" location="A127827576F" display="A127827576F" xr:uid="{B13BED00-8A83-4D37-9DE0-9A8CA9260119}"/>
    <hyperlink ref="J101" location="A127833511F" display="A127833511F" xr:uid="{024FBA29-D8CA-4F87-87D0-81A40A191E1F}"/>
    <hyperlink ref="K101" location="A127830541R" display="A127830541R" xr:uid="{33D9F216-9D4D-457D-B068-B393B48D5788}"/>
    <hyperlink ref="L101" location="A127827571V" display="A127827571V" xr:uid="{4FC87155-6D3B-4150-AC0B-5BEE7781297C}"/>
    <hyperlink ref="J102" location="A127833509V" display="A127833509V" xr:uid="{72F52B9F-F12C-4F04-9A56-D03A46E2A41D}"/>
    <hyperlink ref="K102" location="A127830539C" display="A127830539C" xr:uid="{6D69DBD4-2366-4D08-9453-D77B4337F6DD}"/>
    <hyperlink ref="L102" location="A127827569J" display="A127827569J" xr:uid="{04E8BF5F-1DB1-4A5E-8524-FE7409A56CBA}"/>
    <hyperlink ref="J103" location="A127833520J" display="A127833520J" xr:uid="{D2C5878E-D9D0-4C06-B9B4-6F0E6BA1D534}"/>
    <hyperlink ref="K103" location="A127830550T" display="A127830550T" xr:uid="{7FFF6802-5DD6-4FEA-9B24-B57A3FB4B5BE}"/>
    <hyperlink ref="L103" location="A127827580W" display="A127827580W" xr:uid="{812B3A7E-D531-4EA2-82F9-851FA83623CC}"/>
    <hyperlink ref="J104" location="A127833508T" display="A127833508T" xr:uid="{AE8C027D-9726-4A91-AAE4-C5919888321F}"/>
    <hyperlink ref="K104" location="A127830538A" display="A127830538A" xr:uid="{3ADDDFD4-0246-4191-91E3-BC8BD311F05C}"/>
    <hyperlink ref="L104" location="A127827568F" display="A127827568F" xr:uid="{F13ACE73-7FAC-4378-9C32-081C795150CE}"/>
    <hyperlink ref="J105" location="A127833515R" display="A127833515R" xr:uid="{05E7E456-82F0-45BB-8648-F4DFE8672FC9}"/>
    <hyperlink ref="K105" location="A127830545X" display="A127830545X" xr:uid="{32533B70-F061-47E7-B8D9-05D2D9B77B8F}"/>
    <hyperlink ref="L105" location="A127827575C" display="A127827575C" xr:uid="{7167FE87-7915-4169-86AE-FCF39AE36BF7}"/>
    <hyperlink ref="J106" location="A127833510C" display="A127833510C" xr:uid="{33BE1633-C563-49FD-BB80-F1AF2BAA5423}"/>
    <hyperlink ref="K106" location="A127830540L" display="A127830540L" xr:uid="{B69E4827-DFF0-4A65-B194-3239D905AEBD}"/>
    <hyperlink ref="L106" location="A127827570T" display="A127827570T" xr:uid="{C62B5FEF-7E47-464A-9D31-46C32AC0359A}"/>
    <hyperlink ref="J107" location="A127833507R" display="A127833507R" xr:uid="{600F9555-7E2E-4B0B-BE4E-65BFA4943619}"/>
    <hyperlink ref="K107" location="A127830537X" display="A127830537X" xr:uid="{9CF4FA45-10E3-42E7-B169-C531736D40F6}"/>
    <hyperlink ref="L107" location="A127827567C" display="A127827567C" xr:uid="{45E1FC59-9788-4E10-AE2A-F73C8B98C7CA}"/>
    <hyperlink ref="J111" location="A127833514L" display="A127833514L" xr:uid="{CEDE4D33-713F-4B08-980B-8DAF4E96D673}"/>
    <hyperlink ref="K111" location="A127830544W" display="A127830544W" xr:uid="{0122A5FA-BD81-4B53-A033-5BD9129EBBF9}"/>
    <hyperlink ref="L111" location="A127827574A" display="A127827574A" xr:uid="{7BB841AA-E311-4C1D-8C7F-BE8FDD8BC179}"/>
    <hyperlink ref="J114" location="A127833513K" display="A127833513K" xr:uid="{ACB90F2C-0E19-4563-B530-80CC5F33371A}"/>
    <hyperlink ref="K114" location="A127830543V" display="A127830543V" xr:uid="{7830E2C3-3A67-465C-BA01-BCE3F03B9B21}"/>
    <hyperlink ref="L114" location="A127827573X" display="A127827573X" xr:uid="{8012EBA1-C135-480F-9BBC-E972BDA3C1B2}"/>
    <hyperlink ref="J119" location="A127833521K" display="A127833521K" xr:uid="{39AD32EE-3DCD-4AAE-9CFB-7EE9C43FF138}"/>
    <hyperlink ref="K119" location="A127830551V" display="A127830551V" xr:uid="{84D64507-C2E2-4FA9-998B-2F54FCBB7B28}"/>
    <hyperlink ref="L119" location="A127827581X" display="A127827581X" xr:uid="{6DB6D6BF-0BF5-47FC-BA88-94F1E284F4C4}"/>
    <hyperlink ref="M124" location="A127835167T" display="A127835167T" xr:uid="{99A85F96-FF31-4082-8BB8-14185A094D5A}"/>
    <hyperlink ref="N124" location="A127832197A" display="A127832197A" xr:uid="{CE2A7767-AC6A-470B-865E-1C88517DBCAD}"/>
    <hyperlink ref="O124" location="A127829227V" display="A127829227V" xr:uid="{351A1368-E932-4433-A35A-D6E52FFFB271}"/>
    <hyperlink ref="M125" location="A127835169W" display="A127835169W" xr:uid="{01E5A5BB-24BB-4B0C-AAB8-96CEBFBCDA8E}"/>
    <hyperlink ref="N125" location="A127832199F" display="A127832199F" xr:uid="{B272A6F4-D098-400C-B229-B65E764D10C0}"/>
    <hyperlink ref="O125" location="A127829229X" display="A127829229X" xr:uid="{BC2A2603-023C-45BD-83FE-C0B38A390F36}"/>
    <hyperlink ref="M126" location="A127835168V" display="A127835168V" xr:uid="{C28085E9-2AEC-4435-B2C6-6DC0D9A680AB}"/>
    <hyperlink ref="N126" location="A127832198C" display="A127832198C" xr:uid="{0AA33EDE-C658-4069-B614-A905AD07E0A5}"/>
    <hyperlink ref="O126" location="A127829228W" display="A127829228W" xr:uid="{FAC96019-2DC0-4E85-809B-1CD71C5DB831}"/>
    <hyperlink ref="M99" location="A127835162F" display="A127835162F" xr:uid="{8D5116AF-08E8-40CE-8411-3C847828E001}"/>
    <hyperlink ref="N99" location="A127832192R" display="A127832192R" xr:uid="{450CBC69-F8F1-4BB8-B551-EE5E6F33DECD}"/>
    <hyperlink ref="O99" location="A127829222J" display="A127829222J" xr:uid="{E0AB1D36-BD7C-4059-8E90-9863E8168904}"/>
    <hyperlink ref="M100" location="A127835166R" display="A127835166R" xr:uid="{C2FB761F-F192-44EC-827D-4F42F95BDB18}"/>
    <hyperlink ref="N100" location="A127832196X" display="A127832196X" xr:uid="{EF466FC0-F8B9-4EC2-B8D5-05CEAB402E01}"/>
    <hyperlink ref="O100" location="A127829226T" display="A127829226T" xr:uid="{180C5981-3043-4893-AA72-3C93905BEC8A}"/>
    <hyperlink ref="M101" location="A127835161C" display="A127835161C" xr:uid="{EF1E0EAF-D8E2-49D9-8065-61C7E7D06F25}"/>
    <hyperlink ref="N101" location="A127832191L" display="A127832191L" xr:uid="{5C88F0D8-1109-4F9C-AC08-7CD3EC04180E}"/>
    <hyperlink ref="O101" location="A127829221F" display="A127829221F" xr:uid="{1C621A8A-01E0-4BE9-9697-21276AF00033}"/>
    <hyperlink ref="M102" location="A127835159T" display="A127835159T" xr:uid="{7DDE75A7-596A-4E61-9B96-7290EF999D4D}"/>
    <hyperlink ref="N102" location="A127832189A" display="A127832189A" xr:uid="{3908D7AE-3C21-47AB-BEB0-7FB8FB869B15}"/>
    <hyperlink ref="O102" location="A127829219V" display="A127829219V" xr:uid="{A1E6D42D-D3A7-4EC8-8201-9B6ACBF952E4}"/>
    <hyperlink ref="M103" location="A127835170F" display="A127835170F" xr:uid="{48162DB2-A537-4493-8C62-08BE77B5C3F3}"/>
    <hyperlink ref="N103" location="A127832200C" display="A127832200C" xr:uid="{3130F474-6CF5-46DC-A366-D5FC97952DA9}"/>
    <hyperlink ref="O103" location="A127829230J" display="A127829230J" xr:uid="{758E180B-DFD7-40C1-9316-62012F8C8FB9}"/>
    <hyperlink ref="M104" location="A127835158R" display="A127835158R" xr:uid="{CDA8E55C-2625-4E1C-ABED-06C01B8CBBB7}"/>
    <hyperlink ref="N104" location="A127832188X" display="A127832188X" xr:uid="{3FBB9103-22F9-4458-B3F8-FCFAE6F47F2E}"/>
    <hyperlink ref="O104" location="A127829218T" display="A127829218T" xr:uid="{23182674-38B2-49F8-9FDB-4A3E31FEF78B}"/>
    <hyperlink ref="M105" location="A127835165L" display="A127835165L" xr:uid="{B5E29123-5B65-493F-A270-7739BAEC3E64}"/>
    <hyperlink ref="N105" location="A127832195W" display="A127832195W" xr:uid="{96D459F9-AE3F-4B83-BD8E-AEADA85F15AE}"/>
    <hyperlink ref="O105" location="A127829225R" display="A127829225R" xr:uid="{DCB51A83-31BA-444B-A3FE-5C56D12B1FE5}"/>
    <hyperlink ref="M106" location="A127835160A" display="A127835160A" xr:uid="{E45E8671-A768-4F0B-BD59-F56507E36210}"/>
    <hyperlink ref="N106" location="A127832190K" display="A127832190K" xr:uid="{76E6F8D7-5542-44E0-99C1-478A75765087}"/>
    <hyperlink ref="O106" location="A127829220C" display="A127829220C" xr:uid="{607FC412-9EB6-4197-BCC6-AFA973E3323B}"/>
    <hyperlink ref="M107" location="A127835157L" display="A127835157L" xr:uid="{5F877DC8-6B93-42D3-8C7B-DE0938779C88}"/>
    <hyperlink ref="N107" location="A127832187W" display="A127832187W" xr:uid="{9E4CC072-3D88-44BF-884A-09284DBEEE96}"/>
    <hyperlink ref="O107" location="A127829217R" display="A127829217R" xr:uid="{3C64AE69-DEB4-4022-A49E-B9B14A8A56BA}"/>
    <hyperlink ref="M111" location="A127835164K" display="A127835164K" xr:uid="{DD70318C-7C32-4525-A462-83A9D13D3168}"/>
    <hyperlink ref="N111" location="A127832194V" display="A127832194V" xr:uid="{48A779A5-77EE-4E6B-8790-455B4B54D70F}"/>
    <hyperlink ref="O111" location="A127829224L" display="A127829224L" xr:uid="{8EF5D930-09FD-4CA4-8685-CA86AD1984C8}"/>
    <hyperlink ref="M114" location="A127835163J" display="A127835163J" xr:uid="{735882A9-A93A-4C99-9F8A-A4129A56DEB1}"/>
    <hyperlink ref="N114" location="A127832193T" display="A127832193T" xr:uid="{32706D7F-676F-4A45-A7B7-03A4CC613A43}"/>
    <hyperlink ref="O114" location="A127829223K" display="A127829223K" xr:uid="{DA38D734-8E6C-4798-AA8D-0BB2CDDF8D33}"/>
    <hyperlink ref="M119" location="A127835171J" display="A127835171J" xr:uid="{53107D63-DA85-4447-9175-DA64B48BA6AC}"/>
    <hyperlink ref="N119" location="A127832201F" display="A127832201F" xr:uid="{87FC68D2-ABA6-4A43-AEBB-D7FDEED795B8}"/>
    <hyperlink ref="O119" location="A127829231K" display="A127829231K" xr:uid="{87A29814-93B1-4664-AD4C-7AA25E59F193}"/>
    <hyperlink ref="P124" location="A127835497J" display="A127835497J" xr:uid="{AB159945-C691-4349-B417-0C546A3FAB06}"/>
    <hyperlink ref="Q124" location="A127832527F" display="A127832527F" xr:uid="{B2F10CF3-F4AD-41DA-B991-A770E3DE4238}"/>
    <hyperlink ref="R124" location="A127829557K" display="A127829557K" xr:uid="{EAD12125-E5C3-4E27-B0ED-301D4CB0C467}"/>
    <hyperlink ref="P125" location="A127835499L" display="A127835499L" xr:uid="{C6EAFBEF-676D-445C-B188-8CBB14EDB73F}"/>
    <hyperlink ref="Q125" location="A127832529K" display="A127832529K" xr:uid="{4FC14F32-7AA5-4DFC-9B7B-845116A943B0}"/>
    <hyperlink ref="R125" location="A127829559R" display="A127829559R" xr:uid="{331B5D58-A3BA-44A2-B4E6-FA0D185B4F43}"/>
    <hyperlink ref="P126" location="A127835498K" display="A127835498K" xr:uid="{B09FC317-3CEA-45FE-8E4C-40CAEF818924}"/>
    <hyperlink ref="Q126" location="A127832528J" display="A127832528J" xr:uid="{3C61E05C-39A8-490B-ADCD-E9D3AC9A89DF}"/>
    <hyperlink ref="R126" location="A127829558L" display="A127829558L" xr:uid="{11449469-274C-486D-857C-60F7C5D012D1}"/>
    <hyperlink ref="P99" location="A127835492W" display="A127835492W" xr:uid="{627055E6-751C-47CF-8BE5-31B87AA5A0D0}"/>
    <hyperlink ref="Q99" location="A127832522V" display="A127832522V" xr:uid="{99C59D73-B775-4563-94F1-534E0E3FA3D3}"/>
    <hyperlink ref="R99" location="A127829552X" display="A127829552X" xr:uid="{FF20FF99-4927-4221-8D18-412319888BE9}"/>
    <hyperlink ref="P100" location="A127835496F" display="A127835496F" xr:uid="{10A31957-340C-455F-A3F9-49DFBB9EA1E8}"/>
    <hyperlink ref="Q100" location="A127832526C" display="A127832526C" xr:uid="{73859C70-B6F4-4653-B0F6-404F84DDC5C5}"/>
    <hyperlink ref="R100" location="A127829556J" display="A127829556J" xr:uid="{4815C0C8-96B5-427B-8561-481510A90686}"/>
    <hyperlink ref="P101" location="A127835491V" display="A127835491V" xr:uid="{537AE719-6EC2-4CCC-B4C6-64F9FE535375}"/>
    <hyperlink ref="Q101" location="A127832521T" display="A127832521T" xr:uid="{44FE768E-2607-4BE2-856C-04297E04E2C2}"/>
    <hyperlink ref="R101" location="A127829551W" display="A127829551W" xr:uid="{9CB2C409-F4B2-4E02-BA06-B25BB1A37C56}"/>
    <hyperlink ref="P102" location="A127835489J" display="A127835489J" xr:uid="{34D167C8-6563-46BF-A40E-49E9C5593AAF}"/>
    <hyperlink ref="Q102" location="A127832519F" display="A127832519F" xr:uid="{C8DBCBCF-BF6A-4E86-8A3E-F2ABC1A42BD1}"/>
    <hyperlink ref="R102" location="A127829549K" display="A127829549K" xr:uid="{18F60DDD-4DB3-456D-93B4-D83AE319248A}"/>
    <hyperlink ref="P103" location="A127835500K" display="A127835500K" xr:uid="{39BC2A56-9372-43F3-A65B-A00437B3FA55}"/>
    <hyperlink ref="Q103" location="A127832530V" display="A127832530V" xr:uid="{F9551B7B-B2EE-4334-8791-857BE08D7E42}"/>
    <hyperlink ref="R103" location="A127829560X" display="A127829560X" xr:uid="{16DBD02A-8424-4E85-9A09-837C02A8D4C2}"/>
    <hyperlink ref="P104" location="A127835488F" display="A127835488F" xr:uid="{7AF8B3E3-C17E-411B-B151-9D0EDEF4EC77}"/>
    <hyperlink ref="Q104" location="A127832518C" display="A127832518C" xr:uid="{DA1097DB-60CE-4FCB-9DEB-779CDED05054}"/>
    <hyperlink ref="R104" location="A127829548J" display="A127829548J" xr:uid="{9B4C6522-566E-4343-B482-ECFF7ED203DD}"/>
    <hyperlink ref="P105" location="A127835495C" display="A127835495C" xr:uid="{6214C4A6-4C26-4D5D-AC54-1B355727223A}"/>
    <hyperlink ref="Q105" location="A127832525A" display="A127832525A" xr:uid="{4F6AAEDB-D28D-45D6-A38C-5962EBF8D0C6}"/>
    <hyperlink ref="R105" location="A127829555F" display="A127829555F" xr:uid="{A24FFF16-730C-4EA1-8294-720EE8E9652E}"/>
    <hyperlink ref="P106" location="A127835490T" display="A127835490T" xr:uid="{E010DF47-69AF-4BBA-848F-0D4FCD1965E5}"/>
    <hyperlink ref="Q106" location="A127832520R" display="A127832520R" xr:uid="{3CC98589-02A6-4B98-A06D-B398A8E0CC00}"/>
    <hyperlink ref="R106" location="A127829550V" display="A127829550V" xr:uid="{CAA20C31-2B8F-447E-BF02-F0F33B946429}"/>
    <hyperlink ref="P107" location="A127835487C" display="A127835487C" xr:uid="{5B8178B0-6CF4-44DF-9CE3-6C07BF0B1298}"/>
    <hyperlink ref="Q107" location="A127832517A" display="A127832517A" xr:uid="{ECD71BEF-ADAE-4913-BD57-207FC2377D30}"/>
    <hyperlink ref="R107" location="A127829547F" display="A127829547F" xr:uid="{FD7F05C7-8019-4884-A070-7551396D2E4F}"/>
    <hyperlink ref="P111" location="A127835494A" display="A127835494A" xr:uid="{D334A45E-807C-4CF4-9994-9DFF814A2E41}"/>
    <hyperlink ref="Q111" location="A127832524X" display="A127832524X" xr:uid="{A01D9053-BC9A-4E05-A2CA-9C399BC54E75}"/>
    <hyperlink ref="R111" location="A127829554C" display="A127829554C" xr:uid="{FF012DC3-8997-4B26-BA5C-0E15AA694973}"/>
    <hyperlink ref="P114" location="A127835493X" display="A127835493X" xr:uid="{0452E8F4-8E56-463A-ABC5-971699BB6FE7}"/>
    <hyperlink ref="Q114" location="A127832523W" display="A127832523W" xr:uid="{925DA17B-C8CB-4B34-A588-55E77F9F7700}"/>
    <hyperlink ref="R114" location="A127829553A" display="A127829553A" xr:uid="{F8B5E315-B87C-41AE-9859-FEEF7E9842A4}"/>
    <hyperlink ref="P119" location="A127835501L" display="A127835501L" xr:uid="{F175FAD9-C443-4C26-9722-A6C8361404FF}"/>
    <hyperlink ref="Q119" location="A127832531W" display="A127832531W" xr:uid="{FF9751B2-4968-4854-8198-0A3A8FC84F68}"/>
    <hyperlink ref="R119" location="A127829561A" display="A127829561A" xr:uid="{E03C5102-E14E-4F7A-BA91-C640E97D9930}"/>
    <hyperlink ref="S124" location="A127833847K" display="A127833847K" xr:uid="{CD130D86-B0AB-4825-A6DE-00B05F2213B8}"/>
    <hyperlink ref="T124" location="A127830877V" display="A127830877V" xr:uid="{138E453A-82B8-4974-A4E7-BEAE8BE1C5BB}"/>
    <hyperlink ref="U124" location="A127827907L" display="A127827907L" xr:uid="{459A8CBE-A378-40BB-92E6-BDD4F01009ED}"/>
    <hyperlink ref="S125" location="A127833849R" display="A127833849R" xr:uid="{F6245C78-5438-4A8E-9413-25C3A8D58843}"/>
    <hyperlink ref="T125" location="A127830879X" display="A127830879X" xr:uid="{CADE2168-5E3A-4D6E-8119-2EDD9A39D2C6}"/>
    <hyperlink ref="U125" location="A127827909T" display="A127827909T" xr:uid="{A927FF0F-D551-4DD5-A5FC-9DBFF9C4669A}"/>
    <hyperlink ref="S126" location="A127833848L" display="A127833848L" xr:uid="{19F4B0B3-9471-4762-9503-64067C3D3072}"/>
    <hyperlink ref="T126" location="A127830878W" display="A127830878W" xr:uid="{EC2B2574-A90A-4C71-952A-E7FD81482424}"/>
    <hyperlink ref="U126" location="A127827908R" display="A127827908R" xr:uid="{D736F84F-ED74-4C07-B796-21FF9B057C3D}"/>
    <hyperlink ref="S99" location="A127833842X" display="A127833842X" xr:uid="{2D9B1FC4-0DC5-458C-9CBA-FDCD5766804A}"/>
    <hyperlink ref="T99" location="A127830872J" display="A127830872J" xr:uid="{5A53C41A-B77B-4A22-96D6-A27BDA060AB7}"/>
    <hyperlink ref="U99" location="A127827902A" display="A127827902A" xr:uid="{6FB67AB0-9C4B-4AE4-9CBF-C241E2CDB322}"/>
    <hyperlink ref="S100" location="A127833846J" display="A127833846J" xr:uid="{376088C0-2BF7-4E19-9179-6BDCA48C3737}"/>
    <hyperlink ref="T100" location="A127830876T" display="A127830876T" xr:uid="{FABD7CF6-3377-4877-BA75-338E19818F2D}"/>
    <hyperlink ref="U100" location="A127827906K" display="A127827906K" xr:uid="{496CAFAF-171A-4976-804F-05A70EC67A73}"/>
    <hyperlink ref="S101" location="A127833841W" display="A127833841W" xr:uid="{7E1BD362-B116-4B0C-804F-BB2BE20576FD}"/>
    <hyperlink ref="T101" location="A127830871F" display="A127830871F" xr:uid="{B0066317-23E5-4B63-A319-DDE832AE493F}"/>
    <hyperlink ref="U101" location="A127827901X" display="A127827901X" xr:uid="{8A0D97E0-0CE5-4B27-9C76-031F18C13D58}"/>
    <hyperlink ref="S102" location="A127833839K" display="A127833839K" xr:uid="{9AE2AD55-38B5-400C-9575-32BE704C4C2D}"/>
    <hyperlink ref="T102" location="A127830869V" display="A127830869V" xr:uid="{D9019A4C-20CB-4E7D-A49F-F3B6847C2540}"/>
    <hyperlink ref="U102" location="A127827899X" display="A127827899X" xr:uid="{B7B24086-EEA7-41D0-9D33-A2A6B9F0019D}"/>
    <hyperlink ref="S103" location="A127833850X" display="A127833850X" xr:uid="{009C57D3-C5D1-4ACF-A865-AAC543D65C92}"/>
    <hyperlink ref="T103" location="A127830880J" display="A127830880J" xr:uid="{19EBECCB-EF96-4F77-B5A3-D65F5062A65D}"/>
    <hyperlink ref="U103" location="A127827910A" display="A127827910A" xr:uid="{02D18CBF-CD74-4377-9087-58ED93E72122}"/>
    <hyperlink ref="S104" location="A127833838J" display="A127833838J" xr:uid="{649930A1-F4CD-4CA8-BB4E-7D09011CDB6A}"/>
    <hyperlink ref="T104" location="A127830868T" display="A127830868T" xr:uid="{E35CD952-BEFF-4BCA-8670-7E7C9FD80281}"/>
    <hyperlink ref="U104" location="A127827898W" display="A127827898W" xr:uid="{6EA92323-FA6E-4B11-9CF9-005845D74FB5}"/>
    <hyperlink ref="S105" location="A127833845F" display="A127833845F" xr:uid="{5FADD701-0864-4142-AFBC-B3163FB51EDB}"/>
    <hyperlink ref="T105" location="A127830875R" display="A127830875R" xr:uid="{96A1B080-9D02-4DFC-9014-4D863E34790D}"/>
    <hyperlink ref="U105" location="A127827905J" display="A127827905J" xr:uid="{0C7E6924-53F2-4E8C-BDB2-620184F6C74E}"/>
    <hyperlink ref="S106" location="A127833840V" display="A127833840V" xr:uid="{07268DFF-B6CA-4C8C-90AD-DC96B1645EBB}"/>
    <hyperlink ref="T106" location="A127830870C" display="A127830870C" xr:uid="{F9169FE1-2407-4646-8452-1A15A9F20239}"/>
    <hyperlink ref="U106" location="A127827900W" display="A127827900W" xr:uid="{2A8F4FE9-EB72-4633-A540-DA1463CD40F8}"/>
    <hyperlink ref="S107" location="A127833837F" display="A127833837F" xr:uid="{5E695553-6644-42A9-8F09-9C959A763557}"/>
    <hyperlink ref="T107" location="A127830867R" display="A127830867R" xr:uid="{90262A7A-738E-44D9-94F6-0637691C4F5A}"/>
    <hyperlink ref="U107" location="A127827897V" display="A127827897V" xr:uid="{E0525A62-9160-447E-BC6D-E27D4F15F3C2}"/>
    <hyperlink ref="S111" location="A127833844C" display="A127833844C" xr:uid="{72AFF402-2988-4175-AC76-750D3E10D488}"/>
    <hyperlink ref="T111" location="A127830874L" display="A127830874L" xr:uid="{46126A79-B38F-492E-9F8B-1DD28FB210CC}"/>
    <hyperlink ref="U111" location="A127827904F" display="A127827904F" xr:uid="{8AE22773-6F54-4274-9434-C640BA852632}"/>
    <hyperlink ref="S114" location="A127833843A" display="A127833843A" xr:uid="{7FDC9326-4C91-4235-A5DF-F647339FA4E9}"/>
    <hyperlink ref="T114" location="A127830873K" display="A127830873K" xr:uid="{F2F29C02-B51B-4091-A30D-7F66CA7CD4A8}"/>
    <hyperlink ref="U114" location="A127827903C" display="A127827903C" xr:uid="{D3D45844-1BF4-4F50-9347-C47B49EAEC57}"/>
    <hyperlink ref="S119" location="A127833851A" display="A127833851A" xr:uid="{00C1A8EB-1A3C-47C2-ABDE-254AB0273B7B}"/>
    <hyperlink ref="T119" location="A127830881K" display="A127830881K" xr:uid="{69CF8230-C106-4892-8631-F2A8D2A4817C}"/>
    <hyperlink ref="U119" location="A127827911C" display="A127827911C" xr:uid="{12C9542E-2F67-4C0D-AA1B-F9D67CAAFFB9}"/>
    <hyperlink ref="V124" location="A127834177C" display="A127834177C" xr:uid="{D5AE2B1B-D2BB-4BE7-8A13-9C608E43768C}"/>
    <hyperlink ref="W124" location="A127831207A" display="A127831207A" xr:uid="{C03A3AC9-D073-45FF-917B-8ECF20A0E6BD}"/>
    <hyperlink ref="X124" location="A127828237F" display="A127828237F" xr:uid="{CD804169-09E3-4C3E-A61D-9F43929479B6}"/>
    <hyperlink ref="V125" location="A127834179J" display="A127834179J" xr:uid="{B9FAF76E-F083-42BA-80AC-BC87C750A2CB}"/>
    <hyperlink ref="W125" location="A127831209F" display="A127831209F" xr:uid="{816D5F76-70AB-4A3B-8D6C-E491DEEDACDC}"/>
    <hyperlink ref="X125" location="A127828239K" display="A127828239K" xr:uid="{63241DA9-D3BC-4A09-A717-F74E4D7EA21A}"/>
    <hyperlink ref="V126" location="A127834178F" display="A127834178F" xr:uid="{37F9E0F8-E1B6-4676-A264-6C397FADF616}"/>
    <hyperlink ref="W126" location="A127831208C" display="A127831208C" xr:uid="{94AE6743-D2FE-40E2-A49F-F8B0AF14F642}"/>
    <hyperlink ref="X126" location="A127828238J" display="A127828238J" xr:uid="{6DF69827-56C0-415A-BF62-A91BFD9E975E}"/>
    <hyperlink ref="V99" location="A127834172T" display="A127834172T" xr:uid="{7D27EC83-6529-44BB-9996-EB093F0D1F9F}"/>
    <hyperlink ref="W99" location="A127831202R" display="A127831202R" xr:uid="{30CB722B-A379-4925-85AC-3D7B77A9BF66}"/>
    <hyperlink ref="X99" location="A127828232V" display="A127828232V" xr:uid="{9D7E450D-8B33-497D-AA00-B9376B5B2245}"/>
    <hyperlink ref="V100" location="A127834176A" display="A127834176A" xr:uid="{BBF8AD68-88E2-42DF-B189-84DE885E711E}"/>
    <hyperlink ref="W100" location="A127831206X" display="A127831206X" xr:uid="{F6EB8E84-E995-4CB5-9180-353422264509}"/>
    <hyperlink ref="X100" location="A127828236C" display="A127828236C" xr:uid="{794A7988-6CD4-4B39-B1B6-09645B5CD486}"/>
    <hyperlink ref="V101" location="A127834171R" display="A127834171R" xr:uid="{BAAC629D-C950-4B06-A8D1-FB2CC4796EB2}"/>
    <hyperlink ref="W101" location="A127831201L" display="A127831201L" xr:uid="{C073E765-93F0-42A5-8394-3A47EEC3C543}"/>
    <hyperlink ref="X101" location="A127828231T" display="A127828231T" xr:uid="{3AD784C9-78E6-40F0-B93F-3E5228FB547E}"/>
    <hyperlink ref="V102" location="A127834169C" display="A127834169C" xr:uid="{01D525E3-EFED-47C1-BE50-3F6CC2A80223}"/>
    <hyperlink ref="W102" location="A127831199L" display="A127831199L" xr:uid="{27287BF7-CC8D-465F-9DDC-EA225EF63DDC}"/>
    <hyperlink ref="X102" location="A127828229F" display="A127828229F" xr:uid="{E06FB04D-0683-4E6E-B4AD-D9555509140A}"/>
    <hyperlink ref="V103" location="A127834180T" display="A127834180T" xr:uid="{EDF7F72F-0090-4F9A-9030-66E5FFCF3FEF}"/>
    <hyperlink ref="W103" location="A127831210R" display="A127831210R" xr:uid="{F86A8CFB-5B3E-4102-881B-A53384ECAD2A}"/>
    <hyperlink ref="X103" location="A127828240V" display="A127828240V" xr:uid="{9A1A8AB6-03EC-4F10-8E68-E58F9F3E2947}"/>
    <hyperlink ref="V104" location="A127834168A" display="A127834168A" xr:uid="{CA9850F8-576E-49B7-AF6B-3EB97DD76853}"/>
    <hyperlink ref="W104" location="A127831198K" display="A127831198K" xr:uid="{16ED9216-A0C0-43C1-904B-4DC5F6FF7769}"/>
    <hyperlink ref="X104" location="A127828228C" display="A127828228C" xr:uid="{5CBFE0B5-3253-4B2F-A581-C8B099A8B0F5}"/>
    <hyperlink ref="V105" location="A127834175X" display="A127834175X" xr:uid="{A228963E-5363-4CD1-9C1C-9B90B3D980BB}"/>
    <hyperlink ref="W105" location="A127831205W" display="A127831205W" xr:uid="{C31BDCDC-9B52-4FCD-A324-77D5077C9F53}"/>
    <hyperlink ref="X105" location="A127828235A" display="A127828235A" xr:uid="{64D12ADE-5E58-4F56-8B20-33FB3FE4B098}"/>
    <hyperlink ref="V106" location="A127834170L" display="A127834170L" xr:uid="{E84D5112-9568-4D34-88CC-560C4AC1DC2D}"/>
    <hyperlink ref="W106" location="A127831200K" display="A127831200K" xr:uid="{054A88A8-EEA9-4997-8706-D435CECC0197}"/>
    <hyperlink ref="X106" location="A127828230R" display="A127828230R" xr:uid="{5C69A264-5C0D-46FD-8DB4-17558C60DBCF}"/>
    <hyperlink ref="V107" location="A127834167X" display="A127834167X" xr:uid="{C5830F23-7110-442D-9C38-CB1A498859AE}"/>
    <hyperlink ref="W107" location="A127831197J" display="A127831197J" xr:uid="{107BE63B-7DD6-4F61-8861-D7932D1B3048}"/>
    <hyperlink ref="X107" location="A127828227A" display="A127828227A" xr:uid="{A19D9C3F-6823-40D0-BF2B-8348F4BBAF63}"/>
    <hyperlink ref="V111" location="A127834174W" display="A127834174W" xr:uid="{5FC07F9F-EF8A-4828-84B2-41A8CAA7455D}"/>
    <hyperlink ref="W111" location="A127831204V" display="A127831204V" xr:uid="{36E5ABE4-15A6-46D5-8A3A-5C3D828D5810}"/>
    <hyperlink ref="X111" location="A127828234X" display="A127828234X" xr:uid="{1F53F5EE-F5AE-4EB5-920D-B8F2D6386F93}"/>
    <hyperlink ref="V114" location="A127834173V" display="A127834173V" xr:uid="{E7327701-E4AB-4201-8DE0-55C65F958B06}"/>
    <hyperlink ref="W114" location="A127831203T" display="A127831203T" xr:uid="{DF6A54A3-E7D1-41B8-8EA4-3A5FB8D8296A}"/>
    <hyperlink ref="X114" location="A127828233W" display="A127828233W" xr:uid="{16AFA623-B06A-435A-A475-3FEF7D8EB18B}"/>
    <hyperlink ref="V119" location="A127834181V" display="A127834181V" xr:uid="{DCC094F6-9E69-4990-9B8F-E4AC896B8094}"/>
    <hyperlink ref="W119" location="A127831211T" display="A127831211T" xr:uid="{01FA6CE3-60F6-49F7-997E-4EDC419A6F3F}"/>
    <hyperlink ref="X119" location="A127828241W" display="A127828241W" xr:uid="{A2E044A0-81CD-47E7-916A-8E91DD97154F}"/>
    <hyperlink ref="Y124" location="A127834507J" display="A127834507J" xr:uid="{12B88FBA-A571-4ABF-B0D1-6E5C32EB1E48}"/>
    <hyperlink ref="Z124" location="A127831537T" display="A127831537T" xr:uid="{74946B51-384F-4E00-987B-02C2132FA3D7}"/>
    <hyperlink ref="AA124" location="A127828567W" display="A127828567W" xr:uid="{A3E5B959-9B78-4DBD-B146-18FA784C38F2}"/>
    <hyperlink ref="Y125" location="A127834509L" display="A127834509L" xr:uid="{B804F545-EA58-472D-BC28-7275D34CB5BF}"/>
    <hyperlink ref="Z125" location="A127831539W" display="A127831539W" xr:uid="{C07FB96C-202D-403E-8016-4217954458E1}"/>
    <hyperlink ref="AA125" location="A127828569A" display="A127828569A" xr:uid="{C6DCE1EC-FD53-4002-8561-1DBBC31A3758}"/>
    <hyperlink ref="Y126" location="A127834508K" display="A127834508K" xr:uid="{0CA68A16-68AC-4761-B1BB-2C0FE07C1292}"/>
    <hyperlink ref="Z126" location="A127831538V" display="A127831538V" xr:uid="{CA4F95A7-5C43-403E-8F1B-626F5928F895}"/>
    <hyperlink ref="AA126" location="A127828568X" display="A127828568X" xr:uid="{C32F6150-9E7C-449B-B1A8-089813FF54C3}"/>
    <hyperlink ref="Y99" location="A127834502W" display="A127834502W" xr:uid="{440FB283-C218-4C7A-A351-50EAFF011AA2}"/>
    <hyperlink ref="Z99" location="A127831532F" display="A127831532F" xr:uid="{483DB62C-9BCA-423D-9310-422430C0EDDB}"/>
    <hyperlink ref="AA99" location="A127828562K" display="A127828562K" xr:uid="{E7D55D55-1CAB-463D-AF70-501F3927E1AD}"/>
    <hyperlink ref="Y100" location="A127834506F" display="A127834506F" xr:uid="{FFD6F5D4-2197-4B64-884B-1B199FD84D3A}"/>
    <hyperlink ref="Z100" location="A127831536R" display="A127831536R" xr:uid="{0D87528D-0D50-4C07-8D57-1960B7391249}"/>
    <hyperlink ref="AA100" location="A127828566V" display="A127828566V" xr:uid="{6D8CF7C8-5768-416D-B3E6-525A043022FF}"/>
    <hyperlink ref="Y101" location="A127834501V" display="A127834501V" xr:uid="{29FD19F6-031C-48B6-A4AC-BDE1C3799F3C}"/>
    <hyperlink ref="Z101" location="A127831531C" display="A127831531C" xr:uid="{D64C50CF-DC86-4357-8A77-024246D4FE68}"/>
    <hyperlink ref="AA101" location="A127828561J" display="A127828561J" xr:uid="{B9B564A0-C505-474E-9EBF-F04747168DDC}"/>
    <hyperlink ref="Y102" location="A127834499V" display="A127834499V" xr:uid="{D299124F-ABA2-4D02-A90A-A18AF5438D32}"/>
    <hyperlink ref="Z102" location="A127831529T" display="A127831529T" xr:uid="{89E345E1-3CDD-474A-B95F-2156D5811557}"/>
    <hyperlink ref="AA102" location="A127828559W" display="A127828559W" xr:uid="{BF612E7D-8574-40AD-BC72-8B6F2FCBAB11}"/>
    <hyperlink ref="Y103" location="A127834510W" display="A127834510W" xr:uid="{039B2021-940E-4706-B6FE-9F39BB3B62D3}"/>
    <hyperlink ref="Z103" location="A127831540F" display="A127831540F" xr:uid="{3D9EE7BB-4B97-4315-9C58-92E691D46763}"/>
    <hyperlink ref="AA103" location="A127828570K" display="A127828570K" xr:uid="{E31447B6-5FA5-49EE-ABC1-F32383F53EBD}"/>
    <hyperlink ref="Y104" location="A127834498T" display="A127834498T" xr:uid="{AD01C7C3-3596-4257-B51C-EABC922C41A6}"/>
    <hyperlink ref="Z104" location="A127831528R" display="A127831528R" xr:uid="{8A0BC1E8-79BA-48B6-ABCE-B6C429A01D17}"/>
    <hyperlink ref="AA104" location="A127828558V" display="A127828558V" xr:uid="{BCC4D862-5215-466D-90A4-B34366861622}"/>
    <hyperlink ref="Y105" location="A127834505C" display="A127834505C" xr:uid="{C3FB93F9-4BAB-4CF3-8665-B149A01F5D96}"/>
    <hyperlink ref="Z105" location="A127831535L" display="A127831535L" xr:uid="{2875F9CE-FA3B-41EF-B552-2731CAB0D6DF}"/>
    <hyperlink ref="AA105" location="A127828565T" display="A127828565T" xr:uid="{FCABAEF5-851D-4DE0-8DA3-FA4E6BAA1C17}"/>
    <hyperlink ref="Y106" location="A127834500T" display="A127834500T" xr:uid="{FA491429-49FF-4A2D-9640-D1C742AB4DA2}"/>
    <hyperlink ref="Z106" location="A127831530A" display="A127831530A" xr:uid="{D5E3FB4E-BA59-4A02-A78E-55B1F0F32032}"/>
    <hyperlink ref="AA106" location="A127828560F" display="A127828560F" xr:uid="{DA946786-CD68-44A2-901A-49B35D0A363D}"/>
    <hyperlink ref="Y107" location="A127834497R" display="A127834497R" xr:uid="{27E0CF67-AA6D-4E1B-B669-FC5E16619369}"/>
    <hyperlink ref="Z107" location="A127831527L" display="A127831527L" xr:uid="{F1BB1FE5-B2A9-4C43-9E12-A4CEAF5EC0DE}"/>
    <hyperlink ref="AA107" location="A127828557T" display="A127828557T" xr:uid="{C2058805-B355-474E-A94A-4F0C1B5B7739}"/>
    <hyperlink ref="Y111" location="A127834504A" display="A127834504A" xr:uid="{C43DAAAB-9DBC-4616-845E-5C52EA0165C5}"/>
    <hyperlink ref="Z111" location="A127831534K" display="A127831534K" xr:uid="{1C2BEE83-F8A5-43B0-A30A-7D78A8EAF336}"/>
    <hyperlink ref="AA111" location="A127828564R" display="A127828564R" xr:uid="{63C63B87-1FFE-49BC-A39A-01F212FAFE89}"/>
    <hyperlink ref="Y114" location="A127834503X" display="A127834503X" xr:uid="{E259F9C7-788A-4131-B36E-57934D31C78C}"/>
    <hyperlink ref="Z114" location="A127831533J" display="A127831533J" xr:uid="{9C3F343F-BCC0-4C1D-A085-98AA45EAD930}"/>
    <hyperlink ref="AA114" location="A127828563L" display="A127828563L" xr:uid="{EC1FE9F9-FEC5-42F2-BDA0-F8178CFE4E4B}"/>
    <hyperlink ref="Y119" location="A127834511X" display="A127834511X" xr:uid="{E6B422DB-692C-4738-A77E-104D7FC36D32}"/>
    <hyperlink ref="Z119" location="A127831541J" display="A127831541J" xr:uid="{78C26C6B-58F7-47DB-A16D-A116A2D208DA}"/>
    <hyperlink ref="AA119" location="A127828571L" display="A127828571L" xr:uid="{36E260FA-ED11-46CC-A894-02B6A67E98EE}"/>
    <hyperlink ref="AB124" location="A127832857W" display="A127832857W" xr:uid="{DA6D90EB-0CFA-4227-9398-7100D0852AC8}"/>
    <hyperlink ref="AC124" location="A127829887A" display="A127829887A" xr:uid="{C0193798-30A7-463A-A457-ADA40E18B6D9}"/>
    <hyperlink ref="AD124" location="A127826917X" display="A127826917X" xr:uid="{3DED10B5-6E6B-4C9D-ACB3-FB7D1BF88A68}"/>
    <hyperlink ref="AB125" location="A127832859A" display="A127832859A" xr:uid="{EB8935ED-E0DF-4732-A19E-9A8BE49C62AF}"/>
    <hyperlink ref="AC125" location="A127829889F" display="A127829889F" xr:uid="{1A36C955-9F8E-4308-A090-8B08E9EF97BE}"/>
    <hyperlink ref="AD125" location="A127826919C" display="A127826919C" xr:uid="{00134F71-ABE6-4C38-B2F3-FF7756CF9985}"/>
    <hyperlink ref="AB126" location="A127832858X" display="A127832858X" xr:uid="{9AD08B08-FA7F-40EA-9925-B1F85D08866A}"/>
    <hyperlink ref="AC126" location="A127829888C" display="A127829888C" xr:uid="{91D55043-2D94-4C8C-BF52-97B59BA06802}"/>
    <hyperlink ref="AD126" location="A127826918A" display="A127826918A" xr:uid="{E38F7719-838B-4483-AE59-A1FC0B6C7F51}"/>
    <hyperlink ref="AB99" location="A127832852K" display="A127832852K" xr:uid="{6327B153-E1F3-4418-8366-CE64CD0E5F0B}"/>
    <hyperlink ref="AC99" location="A127829882R" display="A127829882R" xr:uid="{A6F931E1-F76A-4FA1-B6A3-3D5AB59C38A0}"/>
    <hyperlink ref="AD99" location="A127826912L" display="A127826912L" xr:uid="{F17E4846-FB8B-4E05-BC52-8201FFE8EC50}"/>
    <hyperlink ref="AB100" location="A127832856V" display="A127832856V" xr:uid="{B49FAD4B-61C3-40DD-BC3D-83C6AD383757}"/>
    <hyperlink ref="AC100" location="A127829886X" display="A127829886X" xr:uid="{29984B41-2B22-4D88-8FB4-41EB9423C4A6}"/>
    <hyperlink ref="AD100" location="A127826916W" display="A127826916W" xr:uid="{5F0C80E2-6692-409D-A1C8-84D09121DEE9}"/>
    <hyperlink ref="AB101" location="A127832851J" display="A127832851J" xr:uid="{5F8C078D-6465-44FF-85C4-4BA5182EC4F9}"/>
    <hyperlink ref="AC101" location="A127829881L" display="A127829881L" xr:uid="{4F98CB1A-B86D-4149-A8FF-79E584A71ECB}"/>
    <hyperlink ref="AD101" location="A127826911K" display="A127826911K" xr:uid="{F1BC6C7B-C33D-4DCF-964B-F92ECE7760C1}"/>
    <hyperlink ref="AB102" location="A127832849W" display="A127832849W" xr:uid="{5026086D-E354-4903-957F-98D85F167713}"/>
    <hyperlink ref="AC102" location="A127829879A" display="A127829879A" xr:uid="{60F29480-2217-49A4-9507-48AAD31E00A7}"/>
    <hyperlink ref="AD102" location="A127826909X" display="A127826909X" xr:uid="{8566CC9D-C3CC-4B84-85C8-35E4BFB73C3C}"/>
    <hyperlink ref="AB103" location="A127832860K" display="A127832860K" xr:uid="{A93B7261-95E5-4CDA-B2C0-ED2DDC14D507}"/>
    <hyperlink ref="AC103" location="A127829890R" display="A127829890R" xr:uid="{1D6A9923-E530-4263-BF67-7893722A4D8F}"/>
    <hyperlink ref="AD103" location="A127826920L" display="A127826920L" xr:uid="{4CDA04FB-76B5-49A1-BC3D-04ADBA9D1987}"/>
    <hyperlink ref="AB104" location="A127832848V" display="A127832848V" xr:uid="{2F97E6D3-BE23-4A18-B99A-B7C743BED061}"/>
    <hyperlink ref="AC104" location="A127829878X" display="A127829878X" xr:uid="{D5F61B3F-BA19-4458-AFB8-4F0FA8BF9081}"/>
    <hyperlink ref="AD104" location="A127826908W" display="A127826908W" xr:uid="{43AD83F7-A3BF-4115-AC37-4985F173F917}"/>
    <hyperlink ref="AB105" location="A127832855T" display="A127832855T" xr:uid="{D65473FF-1932-40C1-ADF3-41FEBE88EE64}"/>
    <hyperlink ref="AC105" location="A127829885W" display="A127829885W" xr:uid="{43CA0465-354F-4EA7-967E-0F6E85C88C30}"/>
    <hyperlink ref="AD105" location="A127826915V" display="A127826915V" xr:uid="{FB10EC81-32C6-4CEC-8539-EDF0CEA7E2DE}"/>
    <hyperlink ref="AB106" location="A127832850F" display="A127832850F" xr:uid="{B8FD1BFA-5DC7-4246-BC37-CA6200D6BDEF}"/>
    <hyperlink ref="AC106" location="A127829880K" display="A127829880K" xr:uid="{4C9B6E84-C1D8-4DAB-9D9B-CF54906C3F88}"/>
    <hyperlink ref="AD106" location="A127826910J" display="A127826910J" xr:uid="{C9A46416-E224-4E3F-84D8-01E4D09CD6E7}"/>
    <hyperlink ref="AB107" location="A127832847T" display="A127832847T" xr:uid="{B949F261-4E62-4DE1-9D36-B20210DDC746}"/>
    <hyperlink ref="AC107" location="A127829877W" display="A127829877W" xr:uid="{EFCF37D2-5BFB-4F04-9129-D115A2556274}"/>
    <hyperlink ref="AD107" location="A127826907V" display="A127826907V" xr:uid="{9F53443C-0423-436B-8FC7-CBBB958AC4F3}"/>
    <hyperlink ref="AB111" location="A127832854R" display="A127832854R" xr:uid="{A6C81327-943A-423C-BAB8-B86263587C83}"/>
    <hyperlink ref="AC111" location="A127829884V" display="A127829884V" xr:uid="{8C8D5083-1FD8-4120-81E8-9EA7444D4CBA}"/>
    <hyperlink ref="AD111" location="A127826914T" display="A127826914T" xr:uid="{0A1AC350-838C-4109-871F-310E6F0F417C}"/>
    <hyperlink ref="AB114" location="A127832853L" display="A127832853L" xr:uid="{64A1F369-237E-4F7F-BD93-D6945581EE02}"/>
    <hyperlink ref="AC114" location="A127829883T" display="A127829883T" xr:uid="{98E99150-2985-4339-9B3C-B2B02434294A}"/>
    <hyperlink ref="AD114" location="A127826913R" display="A127826913R" xr:uid="{772E394E-9C33-4BBF-A46A-188A037CD9D2}"/>
    <hyperlink ref="AB119" location="A127832861L" display="A127832861L" xr:uid="{2DCF5F0F-27E7-4D85-A1D8-AC1688653DFE}"/>
    <hyperlink ref="AC119" location="A127829891T" display="A127829891T" xr:uid="{56776D7D-41BB-4960-A86B-80C32E836155}"/>
    <hyperlink ref="AD119" location="A127826921R" display="A127826921R" xr:uid="{F9D9BADB-0B5B-463C-AE94-AFB1DD3D8FF0}"/>
    <hyperlink ref="D124" location="A127833187R" display="A127833187R" xr:uid="{B6A126E3-049F-40CD-AE38-42F0F0FB7D0B}"/>
    <hyperlink ref="E124" location="A127830217L" display="A127830217L" xr:uid="{0123BEF6-14BB-4B1D-83D7-4BD50F7DBFED}"/>
    <hyperlink ref="F124" location="A127827247T" display="A127827247T" xr:uid="{D65296BD-01BF-4D83-A797-1283ED70DB98}"/>
    <hyperlink ref="D125" location="A127833189V" display="A127833189V" xr:uid="{2EA96952-94F0-4AF9-ACDC-CAB5DE1CD73C}"/>
    <hyperlink ref="E125" location="A127830219T" display="A127830219T" xr:uid="{C5202B08-B919-43A8-BAA4-8A5774BBC4AC}"/>
    <hyperlink ref="F125" location="A127827249W" display="A127827249W" xr:uid="{7C0A93C6-1D2E-4374-BBB1-74E773CF0AEA}"/>
    <hyperlink ref="D126" location="A127833188T" display="A127833188T" xr:uid="{25058C34-5FD2-4C72-B592-400DE1E97A07}"/>
    <hyperlink ref="E126" location="A127830218R" display="A127830218R" xr:uid="{752EDA75-5688-4B68-AC59-0902D9912A9B}"/>
    <hyperlink ref="F126" location="A127827248V" display="A127827248V" xr:uid="{FEBF4ADB-EEE7-4C97-A639-BA680E95BE30}"/>
    <hyperlink ref="D99" location="A127833182C" display="A127833182C" xr:uid="{D03AC508-560F-4875-B9CF-17E8553FF314}"/>
    <hyperlink ref="E99" location="A127830212A" display="A127830212A" xr:uid="{FC1BC97D-EC93-4A31-8743-00D0D9609C0E}"/>
    <hyperlink ref="F99" location="A127827242F" display="A127827242F" xr:uid="{254767EB-EDEA-445D-A7A0-1EB3EE266389}"/>
    <hyperlink ref="D100" location="A127833186L" display="A127833186L" xr:uid="{085BD427-029E-40C0-8245-7994A98896A3}"/>
    <hyperlink ref="E100" location="A127830216K" display="A127830216K" xr:uid="{0425518D-E221-434E-8829-C22E7018AC7E}"/>
    <hyperlink ref="F100" location="A127827246R" display="A127827246R" xr:uid="{CC8C7454-D46A-4618-80F0-188D85DB05EF}"/>
    <hyperlink ref="D101" location="A127833181A" display="A127833181A" xr:uid="{17B40742-DB8F-41F0-9125-7BE4811CF7FF}"/>
    <hyperlink ref="E101" location="A127830211X" display="A127830211X" xr:uid="{62303235-6FA5-42DC-88F3-A241E860EBC1}"/>
    <hyperlink ref="F101" location="A127827241C" display="A127827241C" xr:uid="{20220701-D855-410F-96FD-AC72BC928180}"/>
    <hyperlink ref="D102" location="A127833179R" display="A127833179R" xr:uid="{2CF738E7-4452-40DA-9407-37D48A4CF6EA}"/>
    <hyperlink ref="E102" location="A127830209L" display="A127830209L" xr:uid="{E7831BB8-B75A-4386-9E68-C487981CBB97}"/>
    <hyperlink ref="F102" location="A127827239T" display="A127827239T" xr:uid="{F93E4464-9A89-476C-9C05-CCB151D21BB3}"/>
    <hyperlink ref="D103" location="A127833190C" display="A127833190C" xr:uid="{5079B4FB-BE8D-4E01-88ED-E4F25A5414C5}"/>
    <hyperlink ref="E103" location="A127830220A" display="A127830220A" xr:uid="{ACCD76EE-E0A7-4219-9582-FF47209AAF4C}"/>
    <hyperlink ref="F103" location="A127827250F" display="A127827250F" xr:uid="{349DF85C-BEBB-48A9-AE6A-4F8A2B84FBFE}"/>
    <hyperlink ref="D104" location="A127833178L" display="A127833178L" xr:uid="{72494DDC-0638-45BD-B1AD-EB31F5CB597A}"/>
    <hyperlink ref="E104" location="A127830208K" display="A127830208K" xr:uid="{5595A73F-9657-4004-A8CB-35F0354F74AF}"/>
    <hyperlink ref="F104" location="A127827238R" display="A127827238R" xr:uid="{B707108E-79AA-4384-83BA-3D85D799699E}"/>
    <hyperlink ref="D105" location="A127833185K" display="A127833185K" xr:uid="{AA320185-E53B-4FE4-8CCD-1B01CCA73A28}"/>
    <hyperlink ref="E105" location="A127830215J" display="A127830215J" xr:uid="{8B8828B9-53C5-4A1D-89CF-6B60F74A02F5}"/>
    <hyperlink ref="F105" location="A127827245L" display="A127827245L" xr:uid="{562EE0A4-5B4B-45C3-BF94-50B6EE675A65}"/>
    <hyperlink ref="D106" location="A127833180X" display="A127833180X" xr:uid="{8DB83A38-7FFF-4BDE-A461-30BCB082B3C2}"/>
    <hyperlink ref="E106" location="A127830210W" display="A127830210W" xr:uid="{093B8CC8-95F0-4049-BAEB-96DE363C0E1B}"/>
    <hyperlink ref="F106" location="A127827240A" display="A127827240A" xr:uid="{6480718D-EAD9-4A51-AD6F-E35693E2EA48}"/>
    <hyperlink ref="D107" location="A127833177K" display="A127833177K" xr:uid="{CACCFBE7-B152-4CD2-965A-EAAE170F274A}"/>
    <hyperlink ref="E107" location="A127830207J" display="A127830207J" xr:uid="{841061F9-894E-4DFC-8F48-B2D9E711A42F}"/>
    <hyperlink ref="F107" location="A127827237L" display="A127827237L" xr:uid="{C06AA909-8516-4F7C-A55F-BD00284B5E64}"/>
    <hyperlink ref="D111" location="A127833184J" display="A127833184J" xr:uid="{A813CD0D-5ECC-4F18-BD04-093DC75ED53F}"/>
    <hyperlink ref="E111" location="A127830214F" display="A127830214F" xr:uid="{85F1A759-900D-4F27-8159-64853261DEB2}"/>
    <hyperlink ref="F111" location="A127827244K" display="A127827244K" xr:uid="{AA9FE5FE-6623-437B-8729-BA370F367794}"/>
    <hyperlink ref="D114" location="A127833183F" display="A127833183F" xr:uid="{CA0C1162-3B55-4F62-A082-979752B747C5}"/>
    <hyperlink ref="E114" location="A127830213C" display="A127830213C" xr:uid="{6311783D-A5C9-4825-B8BF-713106085D6B}"/>
    <hyperlink ref="F114" location="A127827243J" display="A127827243J" xr:uid="{664C6C33-0D3F-4D5D-B9B1-4E57B6EC0630}"/>
    <hyperlink ref="D119" location="A127833191F" display="A127833191F" xr:uid="{82309D05-D1AA-4AA1-9C93-731CEC65B21A}"/>
    <hyperlink ref="E119" location="A127830221C" display="A127830221C" xr:uid="{25644C6A-ACF9-4D90-BB00-5C15E1CDB7D3}"/>
    <hyperlink ref="F119" location="A127827251J" display="A127827251J" xr:uid="{F8F1665D-0022-40C2-B832-25C032DD13A3}"/>
    <hyperlink ref="G110" location="A127834832L" display="A127834832L" xr:uid="{011675B1-A6C4-4003-A888-A58A1676923E}"/>
    <hyperlink ref="H110" location="A127831862W" display="A127831862W" xr:uid="{8B719C3F-6D95-4EFF-9A06-855A59EEAD65}"/>
    <hyperlink ref="I110" location="A127828892A" display="A127828892A" xr:uid="{B5CAAB98-B964-4410-8FD0-9B159DB095A0}"/>
    <hyperlink ref="J110" location="A127833512J" display="A127833512J" xr:uid="{66490A5D-E150-4FB3-BB8C-365A0CD07892}"/>
    <hyperlink ref="K110" location="A127830542T" display="A127830542T" xr:uid="{B0E63357-A996-4494-84C6-722F6D51637B}"/>
    <hyperlink ref="L110" location="A127827572W" display="A127827572W" xr:uid="{4CC4A39C-0B9A-4B63-AA05-38A29268866D}"/>
    <hyperlink ref="M110" location="A127835162F" display="A127835162F" xr:uid="{0EA01EF3-8241-4076-97C0-BE691FD28DBC}"/>
    <hyperlink ref="N110" location="A127832192R" display="A127832192R" xr:uid="{D4EAAADC-F805-49C0-8A04-5DEEA95B4D4C}"/>
    <hyperlink ref="O110" location="A127829222J" display="A127829222J" xr:uid="{A28EEA5A-DBB3-4683-BDF9-E503207DB670}"/>
    <hyperlink ref="P110" location="A127835492W" display="A127835492W" xr:uid="{9561ADF3-5B64-4ACE-A343-34ADAC0282FE}"/>
    <hyperlink ref="Q110" location="A127832522V" display="A127832522V" xr:uid="{009D3FC8-A07F-4318-A277-F77875B660A2}"/>
    <hyperlink ref="R110" location="A127829552X" display="A127829552X" xr:uid="{C756AEC8-6973-464A-A104-62331A44B232}"/>
    <hyperlink ref="S110" location="A127833842X" display="A127833842X" xr:uid="{E1E7D988-1620-48B0-B3D3-B2CAD49D81DE}"/>
    <hyperlink ref="T110" location="A127830872J" display="A127830872J" xr:uid="{14887027-9BE5-4848-82E2-0C732F762A8F}"/>
    <hyperlink ref="U110" location="A127827902A" display="A127827902A" xr:uid="{36CC1069-1194-41A6-8E08-1DF304BDFCA3}"/>
    <hyperlink ref="V110" location="A127834172T" display="A127834172T" xr:uid="{6C840B4E-F4E6-40C9-A8D3-6C4B6EB36E16}"/>
    <hyperlink ref="W110" location="A127831202R" display="A127831202R" xr:uid="{837378BA-9572-41C3-B682-8A78C8922B1F}"/>
    <hyperlink ref="X110" location="A127828232V" display="A127828232V" xr:uid="{1976915B-FB18-43B4-94AD-4C0F8C94714A}"/>
    <hyperlink ref="Y110" location="A127834502W" display="A127834502W" xr:uid="{8CAB5B88-03C6-455E-AD05-A0CCB4A02DF5}"/>
    <hyperlink ref="Z110" location="A127831532F" display="A127831532F" xr:uid="{BF72C8C3-1233-411F-B432-7BD152C5B7DD}"/>
    <hyperlink ref="AA110" location="A127828562K" display="A127828562K" xr:uid="{A7242A0C-3787-4FEA-A78F-AE33925BF40C}"/>
    <hyperlink ref="AB110" location="A127832852K" display="A127832852K" xr:uid="{A5039AC5-1A37-487E-934C-3BAEFF6A73F1}"/>
    <hyperlink ref="AC110" location="A127829882R" display="A127829882R" xr:uid="{9519ADEB-586A-4BC4-B604-40735BB2A747}"/>
    <hyperlink ref="AD110" location="A127826912L" display="A127826912L" xr:uid="{D95F3E0A-1811-4C96-806A-01B84ED19D22}"/>
    <hyperlink ref="D110" location="A127833182C" display="A127833182C" xr:uid="{3646BDFA-ED5F-4D8D-AEAF-6DEF8A812CD4}"/>
    <hyperlink ref="E110" location="A127830212A" display="A127830212A" xr:uid="{D98B5871-FDF6-4DF3-B77F-CEAAAD57F841}"/>
    <hyperlink ref="F110" location="A127827242F" display="A127827242F" xr:uid="{3245FB28-8EA8-4D67-9BDD-EC559B623A1B}"/>
    <hyperlink ref="G112" location="A127834831K" display="A127834831K" xr:uid="{ABDFB6B4-C525-4800-ACA4-363F70630873}"/>
    <hyperlink ref="H112" location="A127831861V" display="A127831861V" xr:uid="{C17CB892-7FE5-4BE8-9E9D-470299F713B9}"/>
    <hyperlink ref="I112" location="A127828891X" display="A127828891X" xr:uid="{1C6F54A7-D0A8-45BF-83C7-E9ECA8E2FD51}"/>
    <hyperlink ref="J112" location="A127833511F" display="A127833511F" xr:uid="{B1C7CE0A-3E78-46A6-931D-DA9FD4AF0332}"/>
    <hyperlink ref="K112" location="A127830541R" display="A127830541R" xr:uid="{63D968AC-5923-4B3C-ADDB-496CFEC5459B}"/>
    <hyperlink ref="L112" location="A127827571V" display="A127827571V" xr:uid="{1B13E219-F3FE-468F-AC2F-885C924ED3CF}"/>
    <hyperlink ref="M112" location="A127835161C" display="A127835161C" xr:uid="{F6B10F7C-6948-4A34-BECE-F06161964DC5}"/>
    <hyperlink ref="N112" location="A127832191L" display="A127832191L" xr:uid="{D3214EE1-8146-41D4-9361-D785ACF382FF}"/>
    <hyperlink ref="O112" location="A127829221F" display="A127829221F" xr:uid="{7E5EA1E6-0F41-497A-A61E-77D5C65FD17E}"/>
    <hyperlink ref="P112" location="A127835491V" display="A127835491V" xr:uid="{ECAEDDE2-1D9E-4857-89C8-D256703D131F}"/>
    <hyperlink ref="Q112" location="A127832521T" display="A127832521T" xr:uid="{7AF8143C-2F3C-47FE-8055-871B229E0A0B}"/>
    <hyperlink ref="R112" location="A127829551W" display="A127829551W" xr:uid="{2CD75323-8E41-425E-8781-ECC5DD3E1AB5}"/>
    <hyperlink ref="S112" location="A127833841W" display="A127833841W" xr:uid="{FB528EFB-4CBB-4C46-BB67-7A9C06348BC9}"/>
    <hyperlink ref="T112" location="A127830871F" display="A127830871F" xr:uid="{D8699B8C-8A02-447D-B749-19E95A41CD74}"/>
    <hyperlink ref="U112" location="A127827901X" display="A127827901X" xr:uid="{A63F3E66-937F-4163-8BB8-B09CE052C301}"/>
    <hyperlink ref="V112" location="A127834171R" display="A127834171R" xr:uid="{6181C460-D923-4F42-BBB4-2DB1F3F6FC19}"/>
    <hyperlink ref="W112" location="A127831201L" display="A127831201L" xr:uid="{9AFBCF9B-08A8-4D6A-B9FA-4F906714B9C6}"/>
    <hyperlink ref="X112" location="A127828231T" display="A127828231T" xr:uid="{306D733C-0EFA-4EC8-B7D6-B6F36B61D1EF}"/>
    <hyperlink ref="Y112" location="A127834501V" display="A127834501V" xr:uid="{C87355FD-AF48-4344-B193-1FD1505F60D4}"/>
    <hyperlink ref="Z112" location="A127831531C" display="A127831531C" xr:uid="{04C50A7D-8F19-47E2-A1D2-78A92C4BA95C}"/>
    <hyperlink ref="AA112" location="A127828561J" display="A127828561J" xr:uid="{A31A7A6D-495A-4AD9-9906-23AF9A41FEA5}"/>
    <hyperlink ref="AB112" location="A127832851J" display="A127832851J" xr:uid="{B7400EA8-7340-44AD-8F07-6B2373B4DB35}"/>
    <hyperlink ref="AC112" location="A127829881L" display="A127829881L" xr:uid="{9A4C6052-27E2-40B3-8BC6-8BFBEAA86781}"/>
    <hyperlink ref="AD112" location="A127826911K" display="A127826911K" xr:uid="{D84DD59A-93B5-46DC-B81F-7871F0F4EC50}"/>
    <hyperlink ref="D112" location="A127833181A" display="A127833181A" xr:uid="{5912BF72-0C7D-4C9A-BF8E-C5A3281F80D7}"/>
    <hyperlink ref="E112" location="A127830211X" display="A127830211X" xr:uid="{39FE2594-9C7F-4250-96FC-A8C6883079E2}"/>
    <hyperlink ref="F112" location="A127827241C" display="A127827241C" xr:uid="{EBB47E27-7E35-48B9-A77E-2D33DCF27342}"/>
    <hyperlink ref="G113" location="A127834830J" display="A127834830J" xr:uid="{6B2164E4-CF0E-4A53-9814-3D18F6C73562}"/>
    <hyperlink ref="H113" location="A127831860T" display="A127831860T" xr:uid="{F9E41838-3314-4F09-B1A1-4E5FA7AC547B}"/>
    <hyperlink ref="I113" location="A127828890W" display="A127828890W" xr:uid="{D21597B8-6BB0-42F7-9018-1E59382B153D}"/>
    <hyperlink ref="J113" location="A127833510C" display="A127833510C" xr:uid="{4FEC3712-FE87-417B-AA24-00ED9FF31407}"/>
    <hyperlink ref="K113" location="A127830540L" display="A127830540L" xr:uid="{6507EE14-5FEE-4C8F-9D81-D97D716E72DC}"/>
    <hyperlink ref="L113" location="A127827570T" display="A127827570T" xr:uid="{072D49A0-9A56-493A-A967-2E0C60FA11EF}"/>
    <hyperlink ref="M113" location="A127835160A" display="A127835160A" xr:uid="{51F7035B-CD54-42AF-87B4-02E73FA934E2}"/>
    <hyperlink ref="N113" location="A127832190K" display="A127832190K" xr:uid="{F2E865C8-D75A-4821-B7BF-238ABF22E259}"/>
    <hyperlink ref="O113" location="A127829220C" display="A127829220C" xr:uid="{364F6D48-0DD0-413D-8EB1-5EBEB2D99228}"/>
    <hyperlink ref="P113" location="A127835490T" display="A127835490T" xr:uid="{69CC38E9-18AB-4CA0-ABD3-E686EA13A481}"/>
    <hyperlink ref="Q113" location="A127832520R" display="A127832520R" xr:uid="{324B10C4-0975-4B1F-B70A-C6C44A841FE8}"/>
    <hyperlink ref="R113" location="A127829550V" display="A127829550V" xr:uid="{DBA0D823-2B3C-4F97-BFD7-18B88CD2ACC0}"/>
    <hyperlink ref="S113" location="A127833840V" display="A127833840V" xr:uid="{E220D62E-61EA-40D0-931C-D9A8FD26E2C4}"/>
    <hyperlink ref="T113" location="A127830870C" display="A127830870C" xr:uid="{A0CBF714-E88B-4FD6-AF06-429E18AEC16C}"/>
    <hyperlink ref="U113" location="A127827900W" display="A127827900W" xr:uid="{90A57DA7-D892-4461-9847-BBAC821A6BA5}"/>
    <hyperlink ref="V113" location="A127834170L" display="A127834170L" xr:uid="{659F7C9B-8558-46BD-8E41-98010FCC99C7}"/>
    <hyperlink ref="W113" location="A127831200K" display="A127831200K" xr:uid="{F20C5007-7116-4C24-BFDE-BF35E7404987}"/>
    <hyperlink ref="X113" location="A127828230R" display="A127828230R" xr:uid="{5CF2BCBF-2CA9-42F9-9B4E-7E242F37774E}"/>
    <hyperlink ref="Y113" location="A127834500T" display="A127834500T" xr:uid="{5888DD41-6A7C-437B-B0CA-22950C5CFCFB}"/>
    <hyperlink ref="Z113" location="A127831530A" display="A127831530A" xr:uid="{E115329D-CACA-4BB8-B5B1-35A499F2C23C}"/>
    <hyperlink ref="AA113" location="A127828560F" display="A127828560F" xr:uid="{86329DC7-2C91-453A-B051-4AB01468AD7E}"/>
    <hyperlink ref="AB113" location="A127832850F" display="A127832850F" xr:uid="{43C148E3-F257-4FAB-8B36-A6FADA8F1FAB}"/>
    <hyperlink ref="AC113" location="A127829880K" display="A127829880K" xr:uid="{2EB7E269-0EA2-4C1D-9CA0-01AAE5BFAC32}"/>
    <hyperlink ref="AD113" location="A127826910J" display="A127826910J" xr:uid="{0C9FA6C7-98BE-46E1-B1CA-BD9A8E122204}"/>
    <hyperlink ref="D113" location="A127833180X" display="A127833180X" xr:uid="{7BDECED0-0419-4CDE-90D7-436B70B03AB0}"/>
    <hyperlink ref="E113" location="A127830210W" display="A127830210W" xr:uid="{B42E583A-9AD4-4CD8-ABD8-5762FE95831A}"/>
    <hyperlink ref="F113" location="A127827240A" display="A127827240A" xr:uid="{EB873DB3-AEFB-45C1-A20B-106081F88C37}"/>
    <hyperlink ref="G115" location="A127834828W" display="A127834828W" xr:uid="{E94D9517-DD66-4351-8A1B-3C54682574E4}"/>
    <hyperlink ref="H115" location="A127831858F" display="A127831858F" xr:uid="{80CED8A0-3D0F-469B-AA5E-339FE2D8ACB4}"/>
    <hyperlink ref="I115" location="A127828888K" display="A127828888K" xr:uid="{33249C3D-D65A-42FD-8E13-02AE86DE5479}"/>
    <hyperlink ref="J115" location="A127833508T" display="A127833508T" xr:uid="{082A3C13-74D4-42C6-8543-48BDC82CA08C}"/>
    <hyperlink ref="K115" location="A127830538A" display="A127830538A" xr:uid="{DC47FA54-D61F-4FFB-A558-01A666934BEE}"/>
    <hyperlink ref="L115" location="A127827568F" display="A127827568F" xr:uid="{CA263CE0-14A5-40FD-90A2-47BE76E65F8C}"/>
    <hyperlink ref="M115" location="A127835158R" display="A127835158R" xr:uid="{A0137C1B-0F3A-4699-AF34-A211DDBEC853}"/>
    <hyperlink ref="N115" location="A127832188X" display="A127832188X" xr:uid="{9EC8EFA5-44A0-4A2C-BC62-9B1280925B9D}"/>
    <hyperlink ref="O115" location="A127829218T" display="A127829218T" xr:uid="{CB616510-DD24-4FDC-BFB2-F59F59289303}"/>
    <hyperlink ref="P115" location="A127835488F" display="A127835488F" xr:uid="{CE5F3B47-1D9F-4A9E-AA23-59467CCB637A}"/>
    <hyperlink ref="Q115" location="A127832518C" display="A127832518C" xr:uid="{547656E7-D421-4327-A879-2815F16BE26A}"/>
    <hyperlink ref="R115" location="A127829548J" display="A127829548J" xr:uid="{384A4067-A5EC-4D99-B816-63F236B45DFA}"/>
    <hyperlink ref="S115" location="A127833838J" display="A127833838J" xr:uid="{5EB35062-EEF0-443A-BD0D-6D141101F7B3}"/>
    <hyperlink ref="T115" location="A127830868T" display="A127830868T" xr:uid="{F621DD7C-F343-4E76-ADFB-D9C3F65254D7}"/>
    <hyperlink ref="U115" location="A127827898W" display="A127827898W" xr:uid="{082FE346-596C-4ACE-9A98-143FDEC19FC6}"/>
    <hyperlink ref="V115" location="A127834168A" display="A127834168A" xr:uid="{6D6ED1B0-60EC-4C49-9D85-5B3A4F038D91}"/>
    <hyperlink ref="W115" location="A127831198K" display="A127831198K" xr:uid="{E518C0A8-1CA4-4582-96A9-F8C13DB09386}"/>
    <hyperlink ref="X115" location="A127828228C" display="A127828228C" xr:uid="{A8838291-F560-4FC4-972E-4161297045B8}"/>
    <hyperlink ref="Y115" location="A127834498T" display="A127834498T" xr:uid="{D6DC745E-5CE4-4318-887F-A331C209B54E}"/>
    <hyperlink ref="Z115" location="A127831528R" display="A127831528R" xr:uid="{F71A5C55-5196-4D4D-A24A-5AB2A7C1FCA3}"/>
    <hyperlink ref="AA115" location="A127828558V" display="A127828558V" xr:uid="{9CA0BD92-D599-4ADE-BA65-472229298689}"/>
    <hyperlink ref="AB115" location="A127832848V" display="A127832848V" xr:uid="{5D646CA2-DB44-4EBB-97D6-6004E946835E}"/>
    <hyperlink ref="AC115" location="A127829878X" display="A127829878X" xr:uid="{2D38B4A3-6FA6-48BB-9BB3-8962B62E1BFE}"/>
    <hyperlink ref="AD115" location="A127826908W" display="A127826908W" xr:uid="{17258DCE-AE49-45BA-A9A8-5BE50B6254FE}"/>
    <hyperlink ref="D115" location="A127833178L" display="A127833178L" xr:uid="{B6BB8534-2A87-4D08-BAE3-1CF80DDD44CB}"/>
    <hyperlink ref="E115" location="A127830208K" display="A127830208K" xr:uid="{6DF7A987-B854-4195-BA89-534B298DB8A1}"/>
    <hyperlink ref="F115" location="A127827238R" display="A127827238R" xr:uid="{EDB9DFAF-C15D-41FB-9E1C-E0720E32EC3C}"/>
    <hyperlink ref="G116" location="A127834827V" display="A127834827V" xr:uid="{D94A4886-5142-4744-94CC-58977753ADB5}"/>
    <hyperlink ref="H116" location="A127831857C" display="A127831857C" xr:uid="{BA439D50-2A4B-45F3-91D2-6C2707C9E844}"/>
    <hyperlink ref="I116" location="A127828887J" display="A127828887J" xr:uid="{66364607-6124-4A0A-8B6D-B33935153FD5}"/>
    <hyperlink ref="J116" location="A127833507R" display="A127833507R" xr:uid="{84DFB2D0-93A2-464C-BF1E-72D2009502AA}"/>
    <hyperlink ref="K116" location="A127830537X" display="A127830537X" xr:uid="{00A86618-C69A-422C-A378-D2FFE2CA4609}"/>
    <hyperlink ref="L116" location="A127827567C" display="A127827567C" xr:uid="{55F61A8F-DF6B-4669-937A-907389F68111}"/>
    <hyperlink ref="M116" location="A127835157L" display="A127835157L" xr:uid="{971B537B-5146-4F8D-8E78-D4047DA1C86E}"/>
    <hyperlink ref="N116" location="A127832187W" display="A127832187W" xr:uid="{B92EB3AC-EA4F-4091-83AF-F46194A80A86}"/>
    <hyperlink ref="O116" location="A127829217R" display="A127829217R" xr:uid="{173BE2AA-0EC2-4185-9507-575B9AB3BB2E}"/>
    <hyperlink ref="P116" location="A127835487C" display="A127835487C" xr:uid="{9CED91AC-20D4-4734-8E8B-C10739DF4A6C}"/>
    <hyperlink ref="Q116" location="A127832517A" display="A127832517A" xr:uid="{CD63EA61-C253-443C-B53D-691B71899701}"/>
    <hyperlink ref="R116" location="A127829547F" display="A127829547F" xr:uid="{3A3183C0-99ED-4D0E-B226-D25F32FD09CC}"/>
    <hyperlink ref="S116" location="A127833837F" display="A127833837F" xr:uid="{42A5153F-CA2E-4F39-813F-3BB6D2D1CCDE}"/>
    <hyperlink ref="T116" location="A127830867R" display="A127830867R" xr:uid="{DB5DACE1-B198-448B-A822-DB65872C0140}"/>
    <hyperlink ref="U116" location="A127827897V" display="A127827897V" xr:uid="{36D1666C-A747-4767-9A5F-7DED36C288C3}"/>
    <hyperlink ref="V116" location="A127834167X" display="A127834167X" xr:uid="{6DCDBB9C-C337-45EF-AD29-B4ABC0330006}"/>
    <hyperlink ref="W116" location="A127831197J" display="A127831197J" xr:uid="{2848DA3B-0014-47D5-B7DF-A9611AF20B59}"/>
    <hyperlink ref="X116" location="A127828227A" display="A127828227A" xr:uid="{693D1EE5-5C42-4054-936D-3F9C3E1C9D0F}"/>
    <hyperlink ref="Y116" location="A127834497R" display="A127834497R" xr:uid="{FC3ECA1A-8594-4677-8779-9351F0836485}"/>
    <hyperlink ref="Z116" location="A127831527L" display="A127831527L" xr:uid="{156932C0-6414-42B0-9321-9446B2492F2A}"/>
    <hyperlink ref="AA116" location="A127828557T" display="A127828557T" xr:uid="{ADEC70D6-186B-4059-B866-43D3CD72B3FF}"/>
    <hyperlink ref="AB116" location="A127832847T" display="A127832847T" xr:uid="{39004A83-EED1-4EE6-B0A6-5926639D1CD3}"/>
    <hyperlink ref="AC116" location="A127829877W" display="A127829877W" xr:uid="{7AF6442C-C9C4-4A83-A55E-2FA59EE04F82}"/>
    <hyperlink ref="AD116" location="A127826907V" display="A127826907V" xr:uid="{047108BF-8A3B-4673-8898-E917E58EC0A5}"/>
    <hyperlink ref="D116" location="A127833177K" display="A127833177K" xr:uid="{3164F4F8-C194-4506-88DA-6D52FB37B627}"/>
    <hyperlink ref="E116" location="A127830207J" display="A127830207J" xr:uid="{52B8BD7D-278B-492D-AC80-44508EDA6CE8}"/>
    <hyperlink ref="F116" location="A127827237L" display="A127827237L" xr:uid="{20F5D205-2212-4EA9-AFE9-0108C2AAAA04}"/>
    <hyperlink ref="G121" location="A127834827V" display="A127834827V" xr:uid="{EA4F5D92-E13D-4665-AD5E-E5B84F4AB164}"/>
    <hyperlink ref="H121" location="A127831857C" display="A127831857C" xr:uid="{ED446DC1-3FA5-4DC1-BD96-8CFAC486C606}"/>
    <hyperlink ref="I121" location="A127828887J" display="A127828887J" xr:uid="{5BCF4A12-EBA3-40B8-A547-E26453F439F5}"/>
    <hyperlink ref="J121" location="A127833507R" display="A127833507R" xr:uid="{3A47ED49-E596-4C03-845E-BA05D1B563CB}"/>
    <hyperlink ref="K121" location="A127830537X" display="A127830537X" xr:uid="{94168E06-F830-4C34-B7FE-03767659E23C}"/>
    <hyperlink ref="L121" location="A127827567C" display="A127827567C" xr:uid="{EB24BA4E-0943-4001-A2B2-797B198EF1D2}"/>
    <hyperlink ref="M121" location="A127835157L" display="A127835157L" xr:uid="{791AE6D7-7A6A-4F9F-87BA-3DEE9F5601E9}"/>
    <hyperlink ref="N121" location="A127832187W" display="A127832187W" xr:uid="{64691A18-16E2-497A-8BD4-E5F29EA2B741}"/>
    <hyperlink ref="O121" location="A127829217R" display="A127829217R" xr:uid="{648F37D8-B9BA-48A2-BB0A-B231D8A2A167}"/>
    <hyperlink ref="P121" location="A127835487C" display="A127835487C" xr:uid="{8A952C53-65F4-4324-911B-D6837B5B2796}"/>
    <hyperlink ref="Q121" location="A127832517A" display="A127832517A" xr:uid="{8A367D0A-AA1E-400E-9318-24D5767569EC}"/>
    <hyperlink ref="R121" location="A127829547F" display="A127829547F" xr:uid="{F63EE4AF-0987-49B0-B604-452565E85EC8}"/>
    <hyperlink ref="S121" location="A127833837F" display="A127833837F" xr:uid="{A630EDD1-6B48-45C2-9DA6-E0052CC6E8D3}"/>
    <hyperlink ref="T121" location="A127830867R" display="A127830867R" xr:uid="{496FB2AE-6BA5-4D1C-BAF8-E4B725D10C88}"/>
    <hyperlink ref="U121" location="A127827897V" display="A127827897V" xr:uid="{E9142819-D307-4803-86BF-9AABF0F329A1}"/>
    <hyperlink ref="V121" location="A127834167X" display="A127834167X" xr:uid="{12056D34-89ED-4A6D-AB19-433EAEC2C35D}"/>
    <hyperlink ref="W121" location="A127831197J" display="A127831197J" xr:uid="{9AE524C2-83E8-401D-A019-BC9C8DEB76E7}"/>
    <hyperlink ref="X121" location="A127828227A" display="A127828227A" xr:uid="{7C7B26F1-18F3-442B-9B52-A81DF7981324}"/>
    <hyperlink ref="Y121" location="A127834497R" display="A127834497R" xr:uid="{4304EAF2-1AD0-493B-97F3-945196C6B629}"/>
    <hyperlink ref="Z121" location="A127831527L" display="A127831527L" xr:uid="{45714B27-C7BF-4CBD-BCCE-8D518702D271}"/>
    <hyperlink ref="AA121" location="A127828557T" display="A127828557T" xr:uid="{33FC9BFD-F49F-4598-955C-FAB3969F304A}"/>
    <hyperlink ref="AB121" location="A127832847T" display="A127832847T" xr:uid="{D011C4E4-A686-4405-9EA1-8483973BF708}"/>
    <hyperlink ref="AC121" location="A127829877W" display="A127829877W" xr:uid="{4243B764-16FC-4AB8-9206-D90CCADC94DF}"/>
    <hyperlink ref="AD121" location="A127826907V" display="A127826907V" xr:uid="{6CD8B708-9619-4EAA-8D7B-EF7D0FB1D7A8}"/>
    <hyperlink ref="D121" location="A127833177K" display="A127833177K" xr:uid="{DBB8D25C-0B85-4DBA-B733-AD4C9505CFFB}"/>
    <hyperlink ref="E121" location="A127830207J" display="A127830207J" xr:uid="{E0B18D6B-9A2B-4F2D-99AA-D4E969887626}"/>
    <hyperlink ref="F121" location="A127827237L" display="A127827237L" xr:uid="{66A2E76C-3647-4743-9840-E6E2C3DD1D75}"/>
    <hyperlink ref="G120" location="A127834829X" display="A127834829X" xr:uid="{09784E6E-575B-4718-8B8B-6C1777224DCA}"/>
    <hyperlink ref="H120" location="A127831859J" display="A127831859J" xr:uid="{BDF0071E-43A1-4DD5-9C5E-6980E23D1A2C}"/>
    <hyperlink ref="I120" location="A127828889L" display="A127828889L" xr:uid="{6DC48A17-C5F2-4BD7-8327-755D080F184D}"/>
    <hyperlink ref="J120" location="A127833509V" display="A127833509V" xr:uid="{BAAF20AF-F169-4146-8D53-4486DC91A050}"/>
    <hyperlink ref="K120" location="A127830539C" display="A127830539C" xr:uid="{C2019B08-08EC-4822-932D-E62DE09CB88B}"/>
    <hyperlink ref="L120" location="A127827569J" display="A127827569J" xr:uid="{CE0EE099-B53B-435F-8012-0F777E9264B0}"/>
    <hyperlink ref="M120" location="A127835159T" display="A127835159T" xr:uid="{53204860-F3A6-487E-8B2A-31E4434FC454}"/>
    <hyperlink ref="N120" location="A127832189A" display="A127832189A" xr:uid="{45AFCB11-8693-4C7C-A77E-D0910BF38E81}"/>
    <hyperlink ref="O120" location="A127829219V" display="A127829219V" xr:uid="{9B4763C9-EA5A-4233-B8C4-61E4393652CF}"/>
    <hyperlink ref="P120" location="A127835489J" display="A127835489J" xr:uid="{6F368BE0-5762-4513-902A-D84C884CA7CD}"/>
    <hyperlink ref="Q120" location="A127832519F" display="A127832519F" xr:uid="{2FB3AF23-4838-4CB6-9D09-17BE474514E7}"/>
    <hyperlink ref="R120" location="A127829549K" display="A127829549K" xr:uid="{167D0265-E39F-465B-971A-5E4242F421A1}"/>
    <hyperlink ref="S120" location="A127833839K" display="A127833839K" xr:uid="{23F5BB5E-B03F-43F1-B4CA-A317AB3A2DF9}"/>
    <hyperlink ref="T120" location="A127830869V" display="A127830869V" xr:uid="{4995E4DB-B3CA-4D77-8B9B-C039A8702448}"/>
    <hyperlink ref="U120" location="A127827899X" display="A127827899X" xr:uid="{C386474F-715F-4C0E-B01A-6EBC51BD33A5}"/>
    <hyperlink ref="V120" location="A127834169C" display="A127834169C" xr:uid="{F96480E8-3F70-4BA2-A770-39E40F1F278B}"/>
    <hyperlink ref="W120" location="A127831199L" display="A127831199L" xr:uid="{12317883-0D82-4A46-BF4D-203DA9E9AD2E}"/>
    <hyperlink ref="X120" location="A127828229F" display="A127828229F" xr:uid="{B445DF61-1025-4B1B-BF8D-8F4FC6A8AADF}"/>
    <hyperlink ref="Y120" location="A127834499V" display="A127834499V" xr:uid="{666236E7-88AF-48F5-AE3A-F90958A737AF}"/>
    <hyperlink ref="Z120" location="A127831529T" display="A127831529T" xr:uid="{F7E9B7A4-4D34-4F8E-A2D8-C8E36F14C77C}"/>
    <hyperlink ref="AA120" location="A127828559W" display="A127828559W" xr:uid="{3D4247E3-BCDB-46E4-8432-013FC16B441A}"/>
    <hyperlink ref="AB120" location="A127832849W" display="A127832849W" xr:uid="{80FA2AAC-37BA-432A-A10D-3AC6B4D2C658}"/>
    <hyperlink ref="AC120" location="A127829879A" display="A127829879A" xr:uid="{9A4F2F38-8892-4B8D-8A2B-4D97FF2EAD3A}"/>
    <hyperlink ref="AD120" location="A127826909X" display="A127826909X" xr:uid="{14E62A59-56C8-4DA3-B5B0-D4CCCFB02849}"/>
    <hyperlink ref="D120" location="A127833179R" display="A127833179R" xr:uid="{650D621D-60D1-4D9A-B3DA-D7124C18FD2B}"/>
    <hyperlink ref="E120" location="A127830209L" display="A127830209L" xr:uid="{46E809BE-D415-45E0-8BDB-26C378184B91}"/>
    <hyperlink ref="F120" location="A127827239T" display="A127827239T" xr:uid="{E1A7543D-9726-4739-9C97-CF507D12865B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88A8C-34A4-48F8-8B38-784810068CA1}">
  <dimension ref="A2:M868"/>
  <sheetViews>
    <sheetView showGridLines="0" workbookViewId="0">
      <pane ySplit="11" topLeftCell="A12" activePane="bottomLeft" state="frozen"/>
      <selection activeCell="A12" sqref="A12"/>
      <selection pane="bottomLeft" activeCell="A12" sqref="A12"/>
    </sheetView>
  </sheetViews>
  <sheetFormatPr defaultColWidth="7.7109375" defaultRowHeight="11.25"/>
  <cols>
    <col min="1" max="1" width="17.85546875" style="53" customWidth="1"/>
    <col min="2" max="2" width="19.140625" style="53" customWidth="1"/>
    <col min="3" max="3" width="30.7109375" style="53" customWidth="1"/>
    <col min="4" max="4" width="7.7109375" style="53"/>
    <col min="5" max="5" width="11" style="53" bestFit="1" customWidth="1"/>
    <col min="6" max="11" width="7.7109375" style="53"/>
    <col min="12" max="12" width="9.7109375" style="53" customWidth="1"/>
    <col min="13" max="25" width="7.7109375" style="53"/>
    <col min="26" max="26" width="7.7109375" style="53" customWidth="1"/>
    <col min="27" max="16384" width="7.7109375" style="53"/>
  </cols>
  <sheetData>
    <row r="2" spans="1:13" ht="12.75">
      <c r="B2" s="8" t="s">
        <v>1723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ht="15.75">
      <c r="B5" s="9" t="s">
        <v>1724</v>
      </c>
    </row>
    <row r="6" spans="1:13" ht="15.75" customHeight="1">
      <c r="B6" s="60" t="s">
        <v>1725</v>
      </c>
      <c r="C6" s="60"/>
      <c r="D6" s="60"/>
      <c r="E6" s="60"/>
      <c r="F6" s="60"/>
      <c r="G6" s="60"/>
      <c r="H6" s="60"/>
      <c r="I6" s="60"/>
      <c r="J6" s="60"/>
      <c r="K6" s="60"/>
      <c r="L6" s="60"/>
    </row>
    <row r="8" spans="1:13" ht="15">
      <c r="D8" s="11" t="s">
        <v>1727</v>
      </c>
    </row>
    <row r="9" spans="1:13" s="12" customFormat="1"/>
    <row r="10" spans="1:13" ht="22.5" customHeight="1">
      <c r="A10" s="13" t="s">
        <v>1728</v>
      </c>
      <c r="B10" s="13"/>
      <c r="C10" s="13"/>
      <c r="D10" s="13" t="s">
        <v>251</v>
      </c>
      <c r="E10" s="13" t="s">
        <v>258</v>
      </c>
      <c r="F10" s="13" t="s">
        <v>255</v>
      </c>
      <c r="G10" s="13" t="s">
        <v>256</v>
      </c>
      <c r="H10" s="13" t="s">
        <v>1729</v>
      </c>
      <c r="I10" s="13" t="s">
        <v>250</v>
      </c>
      <c r="J10" s="13" t="s">
        <v>252</v>
      </c>
      <c r="K10" s="13" t="s">
        <v>1730</v>
      </c>
      <c r="L10" s="13" t="s">
        <v>254</v>
      </c>
    </row>
    <row r="12" spans="1:13">
      <c r="A12" s="53" t="s">
        <v>0</v>
      </c>
      <c r="D12" s="53" t="s">
        <v>260</v>
      </c>
      <c r="E12" s="14" t="s">
        <v>263</v>
      </c>
      <c r="F12" s="5">
        <v>41821</v>
      </c>
      <c r="G12" s="5">
        <v>44593</v>
      </c>
      <c r="H12" s="53">
        <v>92</v>
      </c>
      <c r="I12" s="15" t="s">
        <v>259</v>
      </c>
      <c r="J12" s="53" t="s">
        <v>261</v>
      </c>
      <c r="K12" s="53" t="s">
        <v>262</v>
      </c>
      <c r="L12" s="53">
        <v>1</v>
      </c>
    </row>
    <row r="13" spans="1:13">
      <c r="A13" s="53" t="s">
        <v>1</v>
      </c>
      <c r="D13" s="53" t="s">
        <v>260</v>
      </c>
      <c r="E13" s="14" t="s">
        <v>264</v>
      </c>
      <c r="F13" s="5">
        <v>41821</v>
      </c>
      <c r="G13" s="5">
        <v>44593</v>
      </c>
      <c r="H13" s="53">
        <v>92</v>
      </c>
      <c r="I13" s="15" t="s">
        <v>259</v>
      </c>
      <c r="J13" s="53" t="s">
        <v>261</v>
      </c>
      <c r="K13" s="53" t="s">
        <v>262</v>
      </c>
      <c r="L13" s="53">
        <v>1</v>
      </c>
    </row>
    <row r="14" spans="1:13">
      <c r="A14" s="53" t="s">
        <v>2</v>
      </c>
      <c r="D14" s="53" t="s">
        <v>260</v>
      </c>
      <c r="E14" s="14" t="s">
        <v>265</v>
      </c>
      <c r="F14" s="5">
        <v>41821</v>
      </c>
      <c r="G14" s="5">
        <v>44593</v>
      </c>
      <c r="H14" s="53">
        <v>92</v>
      </c>
      <c r="I14" s="15" t="s">
        <v>259</v>
      </c>
      <c r="J14" s="53" t="s">
        <v>261</v>
      </c>
      <c r="K14" s="53" t="s">
        <v>262</v>
      </c>
      <c r="L14" s="53">
        <v>1</v>
      </c>
    </row>
    <row r="15" spans="1:13">
      <c r="A15" s="53" t="s">
        <v>3</v>
      </c>
      <c r="D15" s="53" t="s">
        <v>260</v>
      </c>
      <c r="E15" s="14" t="s">
        <v>266</v>
      </c>
      <c r="F15" s="5">
        <v>41821</v>
      </c>
      <c r="G15" s="5">
        <v>44593</v>
      </c>
      <c r="H15" s="53">
        <v>92</v>
      </c>
      <c r="I15" s="15" t="s">
        <v>259</v>
      </c>
      <c r="J15" s="53" t="s">
        <v>261</v>
      </c>
      <c r="K15" s="53" t="s">
        <v>262</v>
      </c>
      <c r="L15" s="53">
        <v>1</v>
      </c>
    </row>
    <row r="16" spans="1:13">
      <c r="A16" s="53" t="s">
        <v>4</v>
      </c>
      <c r="D16" s="53" t="s">
        <v>260</v>
      </c>
      <c r="E16" s="14" t="s">
        <v>267</v>
      </c>
      <c r="F16" s="5">
        <v>41821</v>
      </c>
      <c r="G16" s="5">
        <v>44593</v>
      </c>
      <c r="H16" s="53">
        <v>92</v>
      </c>
      <c r="I16" s="15" t="s">
        <v>259</v>
      </c>
      <c r="J16" s="53" t="s">
        <v>261</v>
      </c>
      <c r="K16" s="53" t="s">
        <v>262</v>
      </c>
      <c r="L16" s="53">
        <v>1</v>
      </c>
    </row>
    <row r="17" spans="1:12">
      <c r="A17" s="53" t="s">
        <v>5</v>
      </c>
      <c r="D17" s="53" t="s">
        <v>260</v>
      </c>
      <c r="E17" s="14" t="s">
        <v>268</v>
      </c>
      <c r="F17" s="5">
        <v>41821</v>
      </c>
      <c r="G17" s="5">
        <v>44593</v>
      </c>
      <c r="H17" s="53">
        <v>92</v>
      </c>
      <c r="I17" s="15" t="s">
        <v>259</v>
      </c>
      <c r="J17" s="53" t="s">
        <v>261</v>
      </c>
      <c r="K17" s="53" t="s">
        <v>262</v>
      </c>
      <c r="L17" s="53">
        <v>1</v>
      </c>
    </row>
    <row r="18" spans="1:12">
      <c r="A18" s="53" t="s">
        <v>6</v>
      </c>
      <c r="D18" s="53" t="s">
        <v>260</v>
      </c>
      <c r="E18" s="14" t="s">
        <v>269</v>
      </c>
      <c r="F18" s="5">
        <v>41821</v>
      </c>
      <c r="G18" s="5">
        <v>44593</v>
      </c>
      <c r="H18" s="53">
        <v>92</v>
      </c>
      <c r="I18" s="15" t="s">
        <v>259</v>
      </c>
      <c r="J18" s="53" t="s">
        <v>261</v>
      </c>
      <c r="K18" s="53" t="s">
        <v>262</v>
      </c>
      <c r="L18" s="53">
        <v>1</v>
      </c>
    </row>
    <row r="19" spans="1:12">
      <c r="A19" s="53" t="s">
        <v>7</v>
      </c>
      <c r="D19" s="53" t="s">
        <v>260</v>
      </c>
      <c r="E19" s="14" t="s">
        <v>270</v>
      </c>
      <c r="F19" s="5">
        <v>41821</v>
      </c>
      <c r="G19" s="5">
        <v>44593</v>
      </c>
      <c r="H19" s="53">
        <v>92</v>
      </c>
      <c r="I19" s="15" t="s">
        <v>259</v>
      </c>
      <c r="J19" s="53" t="s">
        <v>261</v>
      </c>
      <c r="K19" s="53" t="s">
        <v>262</v>
      </c>
      <c r="L19" s="53">
        <v>1</v>
      </c>
    </row>
    <row r="20" spans="1:12">
      <c r="A20" s="53" t="s">
        <v>8</v>
      </c>
      <c r="D20" s="53" t="s">
        <v>260</v>
      </c>
      <c r="E20" s="14" t="s">
        <v>271</v>
      </c>
      <c r="F20" s="5">
        <v>41821</v>
      </c>
      <c r="G20" s="5">
        <v>44593</v>
      </c>
      <c r="H20" s="53">
        <v>92</v>
      </c>
      <c r="I20" s="15" t="s">
        <v>259</v>
      </c>
      <c r="J20" s="53" t="s">
        <v>261</v>
      </c>
      <c r="K20" s="53" t="s">
        <v>262</v>
      </c>
      <c r="L20" s="53">
        <v>1</v>
      </c>
    </row>
    <row r="21" spans="1:12">
      <c r="A21" s="53" t="s">
        <v>9</v>
      </c>
      <c r="D21" s="53" t="s">
        <v>260</v>
      </c>
      <c r="E21" s="14" t="s">
        <v>272</v>
      </c>
      <c r="F21" s="5">
        <v>41821</v>
      </c>
      <c r="G21" s="5">
        <v>44593</v>
      </c>
      <c r="H21" s="53">
        <v>92</v>
      </c>
      <c r="I21" s="15" t="s">
        <v>259</v>
      </c>
      <c r="J21" s="53" t="s">
        <v>261</v>
      </c>
      <c r="K21" s="53" t="s">
        <v>262</v>
      </c>
      <c r="L21" s="53">
        <v>1</v>
      </c>
    </row>
    <row r="22" spans="1:12">
      <c r="A22" s="53" t="s">
        <v>10</v>
      </c>
      <c r="D22" s="53" t="s">
        <v>260</v>
      </c>
      <c r="E22" s="14" t="s">
        <v>273</v>
      </c>
      <c r="F22" s="5">
        <v>41821</v>
      </c>
      <c r="G22" s="5">
        <v>44593</v>
      </c>
      <c r="H22" s="53">
        <v>92</v>
      </c>
      <c r="I22" s="15" t="s">
        <v>259</v>
      </c>
      <c r="J22" s="53" t="s">
        <v>261</v>
      </c>
      <c r="K22" s="53" t="s">
        <v>262</v>
      </c>
      <c r="L22" s="53">
        <v>1</v>
      </c>
    </row>
    <row r="23" spans="1:12">
      <c r="A23" s="53" t="s">
        <v>11</v>
      </c>
      <c r="D23" s="53" t="s">
        <v>260</v>
      </c>
      <c r="E23" s="14" t="s">
        <v>274</v>
      </c>
      <c r="F23" s="5">
        <v>41821</v>
      </c>
      <c r="G23" s="5">
        <v>44593</v>
      </c>
      <c r="H23" s="53">
        <v>92</v>
      </c>
      <c r="I23" s="15" t="s">
        <v>259</v>
      </c>
      <c r="J23" s="53" t="s">
        <v>261</v>
      </c>
      <c r="K23" s="53" t="s">
        <v>262</v>
      </c>
      <c r="L23" s="53">
        <v>1</v>
      </c>
    </row>
    <row r="24" spans="1:12">
      <c r="A24" s="53" t="s">
        <v>12</v>
      </c>
      <c r="D24" s="53" t="s">
        <v>260</v>
      </c>
      <c r="E24" s="14" t="s">
        <v>275</v>
      </c>
      <c r="F24" s="5">
        <v>41821</v>
      </c>
      <c r="G24" s="5">
        <v>44593</v>
      </c>
      <c r="H24" s="53">
        <v>92</v>
      </c>
      <c r="I24" s="15" t="s">
        <v>259</v>
      </c>
      <c r="J24" s="53" t="s">
        <v>261</v>
      </c>
      <c r="K24" s="53" t="s">
        <v>262</v>
      </c>
      <c r="L24" s="53">
        <v>1</v>
      </c>
    </row>
    <row r="25" spans="1:12">
      <c r="A25" s="53" t="s">
        <v>13</v>
      </c>
      <c r="D25" s="53" t="s">
        <v>260</v>
      </c>
      <c r="E25" s="14" t="s">
        <v>276</v>
      </c>
      <c r="F25" s="5">
        <v>41821</v>
      </c>
      <c r="G25" s="5">
        <v>44593</v>
      </c>
      <c r="H25" s="53">
        <v>92</v>
      </c>
      <c r="I25" s="15" t="s">
        <v>259</v>
      </c>
      <c r="J25" s="53" t="s">
        <v>261</v>
      </c>
      <c r="K25" s="53" t="s">
        <v>262</v>
      </c>
      <c r="L25" s="53">
        <v>1</v>
      </c>
    </row>
    <row r="26" spans="1:12">
      <c r="A26" s="53" t="s">
        <v>14</v>
      </c>
      <c r="D26" s="53" t="s">
        <v>260</v>
      </c>
      <c r="E26" s="14" t="s">
        <v>277</v>
      </c>
      <c r="F26" s="5">
        <v>41821</v>
      </c>
      <c r="G26" s="5">
        <v>44593</v>
      </c>
      <c r="H26" s="53">
        <v>92</v>
      </c>
      <c r="I26" s="15" t="s">
        <v>259</v>
      </c>
      <c r="J26" s="53" t="s">
        <v>261</v>
      </c>
      <c r="K26" s="53" t="s">
        <v>262</v>
      </c>
      <c r="L26" s="53">
        <v>1</v>
      </c>
    </row>
    <row r="27" spans="1:12">
      <c r="A27" s="53" t="s">
        <v>15</v>
      </c>
      <c r="D27" s="53" t="s">
        <v>260</v>
      </c>
      <c r="E27" s="14" t="s">
        <v>278</v>
      </c>
      <c r="F27" s="5">
        <v>41821</v>
      </c>
      <c r="G27" s="5">
        <v>44593</v>
      </c>
      <c r="H27" s="53">
        <v>92</v>
      </c>
      <c r="I27" s="15" t="s">
        <v>259</v>
      </c>
      <c r="J27" s="53" t="s">
        <v>261</v>
      </c>
      <c r="K27" s="53" t="s">
        <v>262</v>
      </c>
      <c r="L27" s="53">
        <v>1</v>
      </c>
    </row>
    <row r="28" spans="1:12">
      <c r="A28" s="53" t="s">
        <v>16</v>
      </c>
      <c r="D28" s="53" t="s">
        <v>260</v>
      </c>
      <c r="E28" s="14" t="s">
        <v>279</v>
      </c>
      <c r="F28" s="5">
        <v>41821</v>
      </c>
      <c r="G28" s="5">
        <v>44593</v>
      </c>
      <c r="H28" s="53">
        <v>92</v>
      </c>
      <c r="I28" s="15" t="s">
        <v>259</v>
      </c>
      <c r="J28" s="53" t="s">
        <v>261</v>
      </c>
      <c r="K28" s="53" t="s">
        <v>262</v>
      </c>
      <c r="L28" s="53">
        <v>1</v>
      </c>
    </row>
    <row r="29" spans="1:12">
      <c r="A29" s="53" t="s">
        <v>17</v>
      </c>
      <c r="D29" s="53" t="s">
        <v>260</v>
      </c>
      <c r="E29" s="14" t="s">
        <v>280</v>
      </c>
      <c r="F29" s="5">
        <v>41821</v>
      </c>
      <c r="G29" s="5">
        <v>44593</v>
      </c>
      <c r="H29" s="53">
        <v>92</v>
      </c>
      <c r="I29" s="15" t="s">
        <v>259</v>
      </c>
      <c r="J29" s="53" t="s">
        <v>261</v>
      </c>
      <c r="K29" s="53" t="s">
        <v>262</v>
      </c>
      <c r="L29" s="53">
        <v>1</v>
      </c>
    </row>
    <row r="30" spans="1:12">
      <c r="A30" s="53" t="s">
        <v>18</v>
      </c>
      <c r="D30" s="53" t="s">
        <v>260</v>
      </c>
      <c r="E30" s="14" t="s">
        <v>281</v>
      </c>
      <c r="F30" s="5">
        <v>41821</v>
      </c>
      <c r="G30" s="5">
        <v>44593</v>
      </c>
      <c r="H30" s="53">
        <v>92</v>
      </c>
      <c r="I30" s="15" t="s">
        <v>259</v>
      </c>
      <c r="J30" s="53" t="s">
        <v>261</v>
      </c>
      <c r="K30" s="53" t="s">
        <v>262</v>
      </c>
      <c r="L30" s="53">
        <v>1</v>
      </c>
    </row>
    <row r="31" spans="1:12">
      <c r="A31" s="53" t="s">
        <v>19</v>
      </c>
      <c r="D31" s="53" t="s">
        <v>260</v>
      </c>
      <c r="E31" s="14" t="s">
        <v>282</v>
      </c>
      <c r="F31" s="5">
        <v>41821</v>
      </c>
      <c r="G31" s="5">
        <v>44593</v>
      </c>
      <c r="H31" s="53">
        <v>92</v>
      </c>
      <c r="I31" s="15" t="s">
        <v>259</v>
      </c>
      <c r="J31" s="53" t="s">
        <v>261</v>
      </c>
      <c r="K31" s="53" t="s">
        <v>262</v>
      </c>
      <c r="L31" s="53">
        <v>1</v>
      </c>
    </row>
    <row r="32" spans="1:12">
      <c r="A32" s="53" t="s">
        <v>20</v>
      </c>
      <c r="D32" s="53" t="s">
        <v>260</v>
      </c>
      <c r="E32" s="14" t="s">
        <v>283</v>
      </c>
      <c r="F32" s="5">
        <v>41821</v>
      </c>
      <c r="G32" s="5">
        <v>44593</v>
      </c>
      <c r="H32" s="53">
        <v>92</v>
      </c>
      <c r="I32" s="15" t="s">
        <v>259</v>
      </c>
      <c r="J32" s="53" t="s">
        <v>261</v>
      </c>
      <c r="K32" s="53" t="s">
        <v>262</v>
      </c>
      <c r="L32" s="53">
        <v>1</v>
      </c>
    </row>
    <row r="33" spans="1:12">
      <c r="A33" s="53" t="s">
        <v>21</v>
      </c>
      <c r="D33" s="53" t="s">
        <v>260</v>
      </c>
      <c r="E33" s="14" t="s">
        <v>284</v>
      </c>
      <c r="F33" s="5">
        <v>41821</v>
      </c>
      <c r="G33" s="5">
        <v>44593</v>
      </c>
      <c r="H33" s="53">
        <v>92</v>
      </c>
      <c r="I33" s="15" t="s">
        <v>259</v>
      </c>
      <c r="J33" s="53" t="s">
        <v>261</v>
      </c>
      <c r="K33" s="53" t="s">
        <v>262</v>
      </c>
      <c r="L33" s="53">
        <v>1</v>
      </c>
    </row>
    <row r="34" spans="1:12">
      <c r="A34" s="53" t="s">
        <v>22</v>
      </c>
      <c r="D34" s="53" t="s">
        <v>260</v>
      </c>
      <c r="E34" s="14" t="s">
        <v>285</v>
      </c>
      <c r="F34" s="5">
        <v>41821</v>
      </c>
      <c r="G34" s="5">
        <v>44593</v>
      </c>
      <c r="H34" s="53">
        <v>92</v>
      </c>
      <c r="I34" s="15" t="s">
        <v>259</v>
      </c>
      <c r="J34" s="53" t="s">
        <v>261</v>
      </c>
      <c r="K34" s="53" t="s">
        <v>262</v>
      </c>
      <c r="L34" s="53">
        <v>1</v>
      </c>
    </row>
    <row r="35" spans="1:12">
      <c r="A35" s="53" t="s">
        <v>23</v>
      </c>
      <c r="D35" s="53" t="s">
        <v>260</v>
      </c>
      <c r="E35" s="14" t="s">
        <v>286</v>
      </c>
      <c r="F35" s="5">
        <v>41821</v>
      </c>
      <c r="G35" s="5">
        <v>44593</v>
      </c>
      <c r="H35" s="53">
        <v>92</v>
      </c>
      <c r="I35" s="15" t="s">
        <v>259</v>
      </c>
      <c r="J35" s="53" t="s">
        <v>261</v>
      </c>
      <c r="K35" s="53" t="s">
        <v>262</v>
      </c>
      <c r="L35" s="53">
        <v>1</v>
      </c>
    </row>
    <row r="36" spans="1:12">
      <c r="A36" s="53" t="s">
        <v>24</v>
      </c>
      <c r="D36" s="53" t="s">
        <v>260</v>
      </c>
      <c r="E36" s="14" t="s">
        <v>287</v>
      </c>
      <c r="F36" s="5">
        <v>41821</v>
      </c>
      <c r="G36" s="5">
        <v>44593</v>
      </c>
      <c r="H36" s="53">
        <v>92</v>
      </c>
      <c r="I36" s="15" t="s">
        <v>259</v>
      </c>
      <c r="J36" s="53" t="s">
        <v>261</v>
      </c>
      <c r="K36" s="53" t="s">
        <v>262</v>
      </c>
      <c r="L36" s="53">
        <v>1</v>
      </c>
    </row>
    <row r="37" spans="1:12">
      <c r="A37" s="53" t="s">
        <v>25</v>
      </c>
      <c r="D37" s="53" t="s">
        <v>260</v>
      </c>
      <c r="E37" s="14" t="s">
        <v>288</v>
      </c>
      <c r="F37" s="5">
        <v>41821</v>
      </c>
      <c r="G37" s="5">
        <v>44593</v>
      </c>
      <c r="H37" s="53">
        <v>92</v>
      </c>
      <c r="I37" s="15" t="s">
        <v>259</v>
      </c>
      <c r="J37" s="53" t="s">
        <v>261</v>
      </c>
      <c r="K37" s="53" t="s">
        <v>262</v>
      </c>
      <c r="L37" s="53">
        <v>1</v>
      </c>
    </row>
    <row r="38" spans="1:12">
      <c r="A38" s="53" t="s">
        <v>26</v>
      </c>
      <c r="D38" s="53" t="s">
        <v>260</v>
      </c>
      <c r="E38" s="14" t="s">
        <v>289</v>
      </c>
      <c r="F38" s="5">
        <v>41821</v>
      </c>
      <c r="G38" s="5">
        <v>44593</v>
      </c>
      <c r="H38" s="53">
        <v>92</v>
      </c>
      <c r="I38" s="15" t="s">
        <v>259</v>
      </c>
      <c r="J38" s="53" t="s">
        <v>261</v>
      </c>
      <c r="K38" s="53" t="s">
        <v>262</v>
      </c>
      <c r="L38" s="53">
        <v>1</v>
      </c>
    </row>
    <row r="39" spans="1:12">
      <c r="A39" s="53" t="s">
        <v>27</v>
      </c>
      <c r="D39" s="53" t="s">
        <v>260</v>
      </c>
      <c r="E39" s="14" t="s">
        <v>290</v>
      </c>
      <c r="F39" s="5">
        <v>41821</v>
      </c>
      <c r="G39" s="5">
        <v>44593</v>
      </c>
      <c r="H39" s="53">
        <v>92</v>
      </c>
      <c r="I39" s="15" t="s">
        <v>259</v>
      </c>
      <c r="J39" s="53" t="s">
        <v>261</v>
      </c>
      <c r="K39" s="53" t="s">
        <v>262</v>
      </c>
      <c r="L39" s="53">
        <v>1</v>
      </c>
    </row>
    <row r="40" spans="1:12">
      <c r="A40" s="53" t="s">
        <v>28</v>
      </c>
      <c r="D40" s="53" t="s">
        <v>260</v>
      </c>
      <c r="E40" s="14" t="s">
        <v>291</v>
      </c>
      <c r="F40" s="5">
        <v>41821</v>
      </c>
      <c r="G40" s="5">
        <v>44593</v>
      </c>
      <c r="H40" s="53">
        <v>92</v>
      </c>
      <c r="I40" s="15" t="s">
        <v>259</v>
      </c>
      <c r="J40" s="53" t="s">
        <v>261</v>
      </c>
      <c r="K40" s="53" t="s">
        <v>262</v>
      </c>
      <c r="L40" s="53">
        <v>1</v>
      </c>
    </row>
    <row r="41" spans="1:12">
      <c r="A41" s="53" t="s">
        <v>29</v>
      </c>
      <c r="D41" s="53" t="s">
        <v>260</v>
      </c>
      <c r="E41" s="14" t="s">
        <v>292</v>
      </c>
      <c r="F41" s="5">
        <v>41821</v>
      </c>
      <c r="G41" s="5">
        <v>44593</v>
      </c>
      <c r="H41" s="53">
        <v>92</v>
      </c>
      <c r="I41" s="15" t="s">
        <v>259</v>
      </c>
      <c r="J41" s="53" t="s">
        <v>261</v>
      </c>
      <c r="K41" s="53" t="s">
        <v>262</v>
      </c>
      <c r="L41" s="53">
        <v>1</v>
      </c>
    </row>
    <row r="42" spans="1:12">
      <c r="A42" s="53" t="s">
        <v>30</v>
      </c>
      <c r="D42" s="53" t="s">
        <v>260</v>
      </c>
      <c r="E42" s="14" t="s">
        <v>293</v>
      </c>
      <c r="F42" s="5">
        <v>41821</v>
      </c>
      <c r="G42" s="5">
        <v>44593</v>
      </c>
      <c r="H42" s="53">
        <v>92</v>
      </c>
      <c r="I42" s="15" t="s">
        <v>259</v>
      </c>
      <c r="J42" s="53" t="s">
        <v>261</v>
      </c>
      <c r="K42" s="53" t="s">
        <v>262</v>
      </c>
      <c r="L42" s="53">
        <v>1</v>
      </c>
    </row>
    <row r="43" spans="1:12">
      <c r="A43" s="53" t="s">
        <v>31</v>
      </c>
      <c r="D43" s="53" t="s">
        <v>260</v>
      </c>
      <c r="E43" s="14" t="s">
        <v>294</v>
      </c>
      <c r="F43" s="5">
        <v>41821</v>
      </c>
      <c r="G43" s="5">
        <v>44593</v>
      </c>
      <c r="H43" s="53">
        <v>92</v>
      </c>
      <c r="I43" s="15" t="s">
        <v>259</v>
      </c>
      <c r="J43" s="53" t="s">
        <v>261</v>
      </c>
      <c r="K43" s="53" t="s">
        <v>262</v>
      </c>
      <c r="L43" s="53">
        <v>1</v>
      </c>
    </row>
    <row r="44" spans="1:12">
      <c r="A44" s="53" t="s">
        <v>32</v>
      </c>
      <c r="D44" s="53" t="s">
        <v>260</v>
      </c>
      <c r="E44" s="14" t="s">
        <v>295</v>
      </c>
      <c r="F44" s="5">
        <v>41821</v>
      </c>
      <c r="G44" s="5">
        <v>44593</v>
      </c>
      <c r="H44" s="53">
        <v>92</v>
      </c>
      <c r="I44" s="15" t="s">
        <v>259</v>
      </c>
      <c r="J44" s="53" t="s">
        <v>261</v>
      </c>
      <c r="K44" s="53" t="s">
        <v>262</v>
      </c>
      <c r="L44" s="53">
        <v>1</v>
      </c>
    </row>
    <row r="45" spans="1:12">
      <c r="A45" s="53" t="s">
        <v>33</v>
      </c>
      <c r="D45" s="53" t="s">
        <v>260</v>
      </c>
      <c r="E45" s="14" t="s">
        <v>296</v>
      </c>
      <c r="F45" s="5">
        <v>41821</v>
      </c>
      <c r="G45" s="5">
        <v>44593</v>
      </c>
      <c r="H45" s="53">
        <v>92</v>
      </c>
      <c r="I45" s="15" t="s">
        <v>259</v>
      </c>
      <c r="J45" s="53" t="s">
        <v>261</v>
      </c>
      <c r="K45" s="53" t="s">
        <v>262</v>
      </c>
      <c r="L45" s="53">
        <v>1</v>
      </c>
    </row>
    <row r="46" spans="1:12">
      <c r="A46" s="53" t="s">
        <v>34</v>
      </c>
      <c r="D46" s="53" t="s">
        <v>260</v>
      </c>
      <c r="E46" s="14" t="s">
        <v>297</v>
      </c>
      <c r="F46" s="5">
        <v>41821</v>
      </c>
      <c r="G46" s="5">
        <v>44593</v>
      </c>
      <c r="H46" s="53">
        <v>92</v>
      </c>
      <c r="I46" s="15" t="s">
        <v>259</v>
      </c>
      <c r="J46" s="53" t="s">
        <v>261</v>
      </c>
      <c r="K46" s="53" t="s">
        <v>262</v>
      </c>
      <c r="L46" s="53">
        <v>1</v>
      </c>
    </row>
    <row r="47" spans="1:12">
      <c r="A47" s="53" t="s">
        <v>35</v>
      </c>
      <c r="D47" s="53" t="s">
        <v>260</v>
      </c>
      <c r="E47" s="14" t="s">
        <v>298</v>
      </c>
      <c r="F47" s="5">
        <v>41821</v>
      </c>
      <c r="G47" s="5">
        <v>44593</v>
      </c>
      <c r="H47" s="53">
        <v>92</v>
      </c>
      <c r="I47" s="15" t="s">
        <v>259</v>
      </c>
      <c r="J47" s="53" t="s">
        <v>261</v>
      </c>
      <c r="K47" s="53" t="s">
        <v>262</v>
      </c>
      <c r="L47" s="53">
        <v>1</v>
      </c>
    </row>
    <row r="48" spans="1:12">
      <c r="A48" s="53" t="s">
        <v>36</v>
      </c>
      <c r="D48" s="53" t="s">
        <v>260</v>
      </c>
      <c r="E48" s="14" t="s">
        <v>299</v>
      </c>
      <c r="F48" s="5">
        <v>41821</v>
      </c>
      <c r="G48" s="5">
        <v>44593</v>
      </c>
      <c r="H48" s="53">
        <v>92</v>
      </c>
      <c r="I48" s="15" t="s">
        <v>259</v>
      </c>
      <c r="J48" s="53" t="s">
        <v>261</v>
      </c>
      <c r="K48" s="53" t="s">
        <v>262</v>
      </c>
      <c r="L48" s="53">
        <v>1</v>
      </c>
    </row>
    <row r="49" spans="1:12">
      <c r="A49" s="53" t="s">
        <v>37</v>
      </c>
      <c r="D49" s="53" t="s">
        <v>260</v>
      </c>
      <c r="E49" s="14" t="s">
        <v>300</v>
      </c>
      <c r="F49" s="5">
        <v>41821</v>
      </c>
      <c r="G49" s="5">
        <v>44593</v>
      </c>
      <c r="H49" s="53">
        <v>92</v>
      </c>
      <c r="I49" s="15" t="s">
        <v>259</v>
      </c>
      <c r="J49" s="53" t="s">
        <v>261</v>
      </c>
      <c r="K49" s="53" t="s">
        <v>262</v>
      </c>
      <c r="L49" s="53">
        <v>1</v>
      </c>
    </row>
    <row r="50" spans="1:12">
      <c r="A50" s="53" t="s">
        <v>38</v>
      </c>
      <c r="D50" s="53" t="s">
        <v>260</v>
      </c>
      <c r="E50" s="14" t="s">
        <v>301</v>
      </c>
      <c r="F50" s="5">
        <v>41821</v>
      </c>
      <c r="G50" s="5">
        <v>44593</v>
      </c>
      <c r="H50" s="53">
        <v>92</v>
      </c>
      <c r="I50" s="15" t="s">
        <v>259</v>
      </c>
      <c r="J50" s="53" t="s">
        <v>261</v>
      </c>
      <c r="K50" s="53" t="s">
        <v>262</v>
      </c>
      <c r="L50" s="53">
        <v>1</v>
      </c>
    </row>
    <row r="51" spans="1:12">
      <c r="A51" s="53" t="s">
        <v>39</v>
      </c>
      <c r="D51" s="53" t="s">
        <v>260</v>
      </c>
      <c r="E51" s="14" t="s">
        <v>302</v>
      </c>
      <c r="F51" s="5">
        <v>41821</v>
      </c>
      <c r="G51" s="5">
        <v>44593</v>
      </c>
      <c r="H51" s="53">
        <v>92</v>
      </c>
      <c r="I51" s="15" t="s">
        <v>259</v>
      </c>
      <c r="J51" s="53" t="s">
        <v>261</v>
      </c>
      <c r="K51" s="53" t="s">
        <v>262</v>
      </c>
      <c r="L51" s="53">
        <v>1</v>
      </c>
    </row>
    <row r="52" spans="1:12">
      <c r="A52" s="53" t="s">
        <v>40</v>
      </c>
      <c r="D52" s="53" t="s">
        <v>260</v>
      </c>
      <c r="E52" s="14" t="s">
        <v>303</v>
      </c>
      <c r="F52" s="5">
        <v>41821</v>
      </c>
      <c r="G52" s="5">
        <v>44593</v>
      </c>
      <c r="H52" s="53">
        <v>92</v>
      </c>
      <c r="I52" s="15" t="s">
        <v>259</v>
      </c>
      <c r="J52" s="53" t="s">
        <v>261</v>
      </c>
      <c r="K52" s="53" t="s">
        <v>262</v>
      </c>
      <c r="L52" s="53">
        <v>1</v>
      </c>
    </row>
    <row r="53" spans="1:12">
      <c r="A53" s="53" t="s">
        <v>41</v>
      </c>
      <c r="D53" s="53" t="s">
        <v>260</v>
      </c>
      <c r="E53" s="14" t="s">
        <v>304</v>
      </c>
      <c r="F53" s="5">
        <v>41821</v>
      </c>
      <c r="G53" s="5">
        <v>44593</v>
      </c>
      <c r="H53" s="53">
        <v>92</v>
      </c>
      <c r="I53" s="15" t="s">
        <v>259</v>
      </c>
      <c r="J53" s="53" t="s">
        <v>261</v>
      </c>
      <c r="K53" s="53" t="s">
        <v>262</v>
      </c>
      <c r="L53" s="53">
        <v>1</v>
      </c>
    </row>
    <row r="54" spans="1:12">
      <c r="A54" s="53" t="s">
        <v>42</v>
      </c>
      <c r="D54" s="53" t="s">
        <v>260</v>
      </c>
      <c r="E54" s="14" t="s">
        <v>305</v>
      </c>
      <c r="F54" s="5">
        <v>41821</v>
      </c>
      <c r="G54" s="5">
        <v>44593</v>
      </c>
      <c r="H54" s="53">
        <v>92</v>
      </c>
      <c r="I54" s="15" t="s">
        <v>259</v>
      </c>
      <c r="J54" s="53" t="s">
        <v>261</v>
      </c>
      <c r="K54" s="53" t="s">
        <v>262</v>
      </c>
      <c r="L54" s="53">
        <v>1</v>
      </c>
    </row>
    <row r="55" spans="1:12">
      <c r="A55" s="53" t="s">
        <v>43</v>
      </c>
      <c r="D55" s="53" t="s">
        <v>260</v>
      </c>
      <c r="E55" s="14" t="s">
        <v>306</v>
      </c>
      <c r="F55" s="5">
        <v>41821</v>
      </c>
      <c r="G55" s="5">
        <v>44593</v>
      </c>
      <c r="H55" s="53">
        <v>92</v>
      </c>
      <c r="I55" s="15" t="s">
        <v>259</v>
      </c>
      <c r="J55" s="53" t="s">
        <v>261</v>
      </c>
      <c r="K55" s="53" t="s">
        <v>262</v>
      </c>
      <c r="L55" s="53">
        <v>1</v>
      </c>
    </row>
    <row r="56" spans="1:12">
      <c r="A56" s="53" t="s">
        <v>44</v>
      </c>
      <c r="D56" s="53" t="s">
        <v>260</v>
      </c>
      <c r="E56" s="14" t="s">
        <v>307</v>
      </c>
      <c r="F56" s="5">
        <v>41821</v>
      </c>
      <c r="G56" s="5">
        <v>44593</v>
      </c>
      <c r="H56" s="53">
        <v>92</v>
      </c>
      <c r="I56" s="15" t="s">
        <v>259</v>
      </c>
      <c r="J56" s="53" t="s">
        <v>261</v>
      </c>
      <c r="K56" s="53" t="s">
        <v>262</v>
      </c>
      <c r="L56" s="53">
        <v>1</v>
      </c>
    </row>
    <row r="57" spans="1:12">
      <c r="A57" s="53" t="s">
        <v>45</v>
      </c>
      <c r="D57" s="53" t="s">
        <v>260</v>
      </c>
      <c r="E57" s="14" t="s">
        <v>308</v>
      </c>
      <c r="F57" s="5">
        <v>41821</v>
      </c>
      <c r="G57" s="5">
        <v>44593</v>
      </c>
      <c r="H57" s="53">
        <v>92</v>
      </c>
      <c r="I57" s="15" t="s">
        <v>259</v>
      </c>
      <c r="J57" s="53" t="s">
        <v>261</v>
      </c>
      <c r="K57" s="53" t="s">
        <v>262</v>
      </c>
      <c r="L57" s="53">
        <v>1</v>
      </c>
    </row>
    <row r="58" spans="1:12">
      <c r="A58" s="53" t="s">
        <v>46</v>
      </c>
      <c r="D58" s="53" t="s">
        <v>260</v>
      </c>
      <c r="E58" s="14" t="s">
        <v>309</v>
      </c>
      <c r="F58" s="5">
        <v>41821</v>
      </c>
      <c r="G58" s="5">
        <v>44593</v>
      </c>
      <c r="H58" s="53">
        <v>92</v>
      </c>
      <c r="I58" s="15" t="s">
        <v>259</v>
      </c>
      <c r="J58" s="53" t="s">
        <v>261</v>
      </c>
      <c r="K58" s="53" t="s">
        <v>262</v>
      </c>
      <c r="L58" s="53">
        <v>1</v>
      </c>
    </row>
    <row r="59" spans="1:12">
      <c r="A59" s="53" t="s">
        <v>47</v>
      </c>
      <c r="D59" s="53" t="s">
        <v>260</v>
      </c>
      <c r="E59" s="14" t="s">
        <v>310</v>
      </c>
      <c r="F59" s="5">
        <v>41821</v>
      </c>
      <c r="G59" s="5">
        <v>44593</v>
      </c>
      <c r="H59" s="53">
        <v>92</v>
      </c>
      <c r="I59" s="15" t="s">
        <v>259</v>
      </c>
      <c r="J59" s="53" t="s">
        <v>261</v>
      </c>
      <c r="K59" s="53" t="s">
        <v>262</v>
      </c>
      <c r="L59" s="53">
        <v>1</v>
      </c>
    </row>
    <row r="60" spans="1:12">
      <c r="A60" s="53" t="s">
        <v>48</v>
      </c>
      <c r="D60" s="53" t="s">
        <v>260</v>
      </c>
      <c r="E60" s="14" t="s">
        <v>311</v>
      </c>
      <c r="F60" s="5">
        <v>41821</v>
      </c>
      <c r="G60" s="5">
        <v>44593</v>
      </c>
      <c r="H60" s="53">
        <v>92</v>
      </c>
      <c r="I60" s="15" t="s">
        <v>259</v>
      </c>
      <c r="J60" s="53" t="s">
        <v>261</v>
      </c>
      <c r="K60" s="53" t="s">
        <v>262</v>
      </c>
      <c r="L60" s="53">
        <v>1</v>
      </c>
    </row>
    <row r="61" spans="1:12">
      <c r="A61" s="53" t="s">
        <v>49</v>
      </c>
      <c r="D61" s="53" t="s">
        <v>260</v>
      </c>
      <c r="E61" s="14" t="s">
        <v>312</v>
      </c>
      <c r="F61" s="5">
        <v>41821</v>
      </c>
      <c r="G61" s="5">
        <v>44593</v>
      </c>
      <c r="H61" s="53">
        <v>92</v>
      </c>
      <c r="I61" s="15" t="s">
        <v>259</v>
      </c>
      <c r="J61" s="53" t="s">
        <v>261</v>
      </c>
      <c r="K61" s="53" t="s">
        <v>262</v>
      </c>
      <c r="L61" s="53">
        <v>1</v>
      </c>
    </row>
    <row r="62" spans="1:12">
      <c r="A62" s="53" t="s">
        <v>50</v>
      </c>
      <c r="D62" s="53" t="s">
        <v>260</v>
      </c>
      <c r="E62" s="14" t="s">
        <v>313</v>
      </c>
      <c r="F62" s="5">
        <v>41821</v>
      </c>
      <c r="G62" s="5">
        <v>44593</v>
      </c>
      <c r="H62" s="53">
        <v>92</v>
      </c>
      <c r="I62" s="15" t="s">
        <v>259</v>
      </c>
      <c r="J62" s="53" t="s">
        <v>261</v>
      </c>
      <c r="K62" s="53" t="s">
        <v>262</v>
      </c>
      <c r="L62" s="53">
        <v>1</v>
      </c>
    </row>
    <row r="63" spans="1:12">
      <c r="A63" s="53" t="s">
        <v>51</v>
      </c>
      <c r="D63" s="53" t="s">
        <v>260</v>
      </c>
      <c r="E63" s="14" t="s">
        <v>314</v>
      </c>
      <c r="F63" s="5">
        <v>41821</v>
      </c>
      <c r="G63" s="5">
        <v>44593</v>
      </c>
      <c r="H63" s="53">
        <v>92</v>
      </c>
      <c r="I63" s="15" t="s">
        <v>259</v>
      </c>
      <c r="J63" s="53" t="s">
        <v>261</v>
      </c>
      <c r="K63" s="53" t="s">
        <v>262</v>
      </c>
      <c r="L63" s="53">
        <v>1</v>
      </c>
    </row>
    <row r="64" spans="1:12">
      <c r="A64" s="53" t="s">
        <v>52</v>
      </c>
      <c r="D64" s="53" t="s">
        <v>260</v>
      </c>
      <c r="E64" s="14" t="s">
        <v>315</v>
      </c>
      <c r="F64" s="5">
        <v>41821</v>
      </c>
      <c r="G64" s="5">
        <v>44593</v>
      </c>
      <c r="H64" s="53">
        <v>92</v>
      </c>
      <c r="I64" s="15" t="s">
        <v>259</v>
      </c>
      <c r="J64" s="53" t="s">
        <v>261</v>
      </c>
      <c r="K64" s="53" t="s">
        <v>262</v>
      </c>
      <c r="L64" s="53">
        <v>1</v>
      </c>
    </row>
    <row r="65" spans="1:12">
      <c r="A65" s="53" t="s">
        <v>53</v>
      </c>
      <c r="D65" s="53" t="s">
        <v>260</v>
      </c>
      <c r="E65" s="14" t="s">
        <v>316</v>
      </c>
      <c r="F65" s="5">
        <v>41821</v>
      </c>
      <c r="G65" s="5">
        <v>44593</v>
      </c>
      <c r="H65" s="53">
        <v>92</v>
      </c>
      <c r="I65" s="15" t="s">
        <v>259</v>
      </c>
      <c r="J65" s="53" t="s">
        <v>261</v>
      </c>
      <c r="K65" s="53" t="s">
        <v>262</v>
      </c>
      <c r="L65" s="53">
        <v>1</v>
      </c>
    </row>
    <row r="66" spans="1:12">
      <c r="A66" s="53" t="s">
        <v>54</v>
      </c>
      <c r="D66" s="53" t="s">
        <v>260</v>
      </c>
      <c r="E66" s="14" t="s">
        <v>317</v>
      </c>
      <c r="F66" s="5">
        <v>41821</v>
      </c>
      <c r="G66" s="5">
        <v>44593</v>
      </c>
      <c r="H66" s="53">
        <v>92</v>
      </c>
      <c r="I66" s="15" t="s">
        <v>259</v>
      </c>
      <c r="J66" s="53" t="s">
        <v>261</v>
      </c>
      <c r="K66" s="53" t="s">
        <v>262</v>
      </c>
      <c r="L66" s="53">
        <v>1</v>
      </c>
    </row>
    <row r="67" spans="1:12">
      <c r="A67" s="53" t="s">
        <v>55</v>
      </c>
      <c r="D67" s="53" t="s">
        <v>260</v>
      </c>
      <c r="E67" s="14" t="s">
        <v>318</v>
      </c>
      <c r="F67" s="5">
        <v>41821</v>
      </c>
      <c r="G67" s="5">
        <v>44593</v>
      </c>
      <c r="H67" s="53">
        <v>92</v>
      </c>
      <c r="I67" s="15" t="s">
        <v>259</v>
      </c>
      <c r="J67" s="53" t="s">
        <v>261</v>
      </c>
      <c r="K67" s="53" t="s">
        <v>262</v>
      </c>
      <c r="L67" s="53">
        <v>1</v>
      </c>
    </row>
    <row r="68" spans="1:12">
      <c r="A68" s="53" t="s">
        <v>56</v>
      </c>
      <c r="D68" s="53" t="s">
        <v>260</v>
      </c>
      <c r="E68" s="14" t="s">
        <v>319</v>
      </c>
      <c r="F68" s="5">
        <v>41821</v>
      </c>
      <c r="G68" s="5">
        <v>44593</v>
      </c>
      <c r="H68" s="53">
        <v>92</v>
      </c>
      <c r="I68" s="15" t="s">
        <v>259</v>
      </c>
      <c r="J68" s="53" t="s">
        <v>261</v>
      </c>
      <c r="K68" s="53" t="s">
        <v>262</v>
      </c>
      <c r="L68" s="53">
        <v>1</v>
      </c>
    </row>
    <row r="69" spans="1:12">
      <c r="A69" s="53" t="s">
        <v>57</v>
      </c>
      <c r="D69" s="53" t="s">
        <v>260</v>
      </c>
      <c r="E69" s="14" t="s">
        <v>320</v>
      </c>
      <c r="F69" s="5">
        <v>41821</v>
      </c>
      <c r="G69" s="5">
        <v>44593</v>
      </c>
      <c r="H69" s="53">
        <v>92</v>
      </c>
      <c r="I69" s="15" t="s">
        <v>259</v>
      </c>
      <c r="J69" s="53" t="s">
        <v>261</v>
      </c>
      <c r="K69" s="53" t="s">
        <v>262</v>
      </c>
      <c r="L69" s="53">
        <v>1</v>
      </c>
    </row>
    <row r="70" spans="1:12">
      <c r="A70" s="53" t="s">
        <v>58</v>
      </c>
      <c r="D70" s="53" t="s">
        <v>260</v>
      </c>
      <c r="E70" s="14" t="s">
        <v>321</v>
      </c>
      <c r="F70" s="5">
        <v>41821</v>
      </c>
      <c r="G70" s="5">
        <v>44593</v>
      </c>
      <c r="H70" s="53">
        <v>92</v>
      </c>
      <c r="I70" s="15" t="s">
        <v>259</v>
      </c>
      <c r="J70" s="53" t="s">
        <v>261</v>
      </c>
      <c r="K70" s="53" t="s">
        <v>262</v>
      </c>
      <c r="L70" s="53">
        <v>1</v>
      </c>
    </row>
    <row r="71" spans="1:12">
      <c r="A71" s="53" t="s">
        <v>59</v>
      </c>
      <c r="D71" s="53" t="s">
        <v>260</v>
      </c>
      <c r="E71" s="14" t="s">
        <v>322</v>
      </c>
      <c r="F71" s="5">
        <v>41821</v>
      </c>
      <c r="G71" s="5">
        <v>44593</v>
      </c>
      <c r="H71" s="53">
        <v>92</v>
      </c>
      <c r="I71" s="15" t="s">
        <v>259</v>
      </c>
      <c r="J71" s="53" t="s">
        <v>261</v>
      </c>
      <c r="K71" s="53" t="s">
        <v>262</v>
      </c>
      <c r="L71" s="53">
        <v>1</v>
      </c>
    </row>
    <row r="72" spans="1:12">
      <c r="A72" s="53" t="s">
        <v>60</v>
      </c>
      <c r="D72" s="53" t="s">
        <v>260</v>
      </c>
      <c r="E72" s="14" t="s">
        <v>323</v>
      </c>
      <c r="F72" s="5">
        <v>41821</v>
      </c>
      <c r="G72" s="5">
        <v>44593</v>
      </c>
      <c r="H72" s="53">
        <v>92</v>
      </c>
      <c r="I72" s="15" t="s">
        <v>259</v>
      </c>
      <c r="J72" s="53" t="s">
        <v>261</v>
      </c>
      <c r="K72" s="53" t="s">
        <v>262</v>
      </c>
      <c r="L72" s="53">
        <v>1</v>
      </c>
    </row>
    <row r="73" spans="1:12">
      <c r="A73" s="53" t="s">
        <v>61</v>
      </c>
      <c r="D73" s="53" t="s">
        <v>260</v>
      </c>
      <c r="E73" s="14" t="s">
        <v>324</v>
      </c>
      <c r="F73" s="5">
        <v>41821</v>
      </c>
      <c r="G73" s="5">
        <v>44593</v>
      </c>
      <c r="H73" s="53">
        <v>92</v>
      </c>
      <c r="I73" s="15" t="s">
        <v>259</v>
      </c>
      <c r="J73" s="53" t="s">
        <v>261</v>
      </c>
      <c r="K73" s="53" t="s">
        <v>262</v>
      </c>
      <c r="L73" s="53">
        <v>1</v>
      </c>
    </row>
    <row r="74" spans="1:12">
      <c r="A74" s="53" t="s">
        <v>62</v>
      </c>
      <c r="D74" s="53" t="s">
        <v>260</v>
      </c>
      <c r="E74" s="14" t="s">
        <v>325</v>
      </c>
      <c r="F74" s="5">
        <v>41821</v>
      </c>
      <c r="G74" s="5">
        <v>44593</v>
      </c>
      <c r="H74" s="53">
        <v>92</v>
      </c>
      <c r="I74" s="15" t="s">
        <v>259</v>
      </c>
      <c r="J74" s="53" t="s">
        <v>261</v>
      </c>
      <c r="K74" s="53" t="s">
        <v>262</v>
      </c>
      <c r="L74" s="53">
        <v>1</v>
      </c>
    </row>
    <row r="75" spans="1:12">
      <c r="A75" s="53" t="s">
        <v>63</v>
      </c>
      <c r="D75" s="53" t="s">
        <v>260</v>
      </c>
      <c r="E75" s="14" t="s">
        <v>326</v>
      </c>
      <c r="F75" s="5">
        <v>41821</v>
      </c>
      <c r="G75" s="5">
        <v>44593</v>
      </c>
      <c r="H75" s="53">
        <v>92</v>
      </c>
      <c r="I75" s="15" t="s">
        <v>259</v>
      </c>
      <c r="J75" s="53" t="s">
        <v>261</v>
      </c>
      <c r="K75" s="53" t="s">
        <v>262</v>
      </c>
      <c r="L75" s="53">
        <v>1</v>
      </c>
    </row>
    <row r="76" spans="1:12">
      <c r="A76" s="53" t="s">
        <v>64</v>
      </c>
      <c r="D76" s="53" t="s">
        <v>260</v>
      </c>
      <c r="E76" s="14" t="s">
        <v>327</v>
      </c>
      <c r="F76" s="5">
        <v>41821</v>
      </c>
      <c r="G76" s="5">
        <v>44593</v>
      </c>
      <c r="H76" s="53">
        <v>92</v>
      </c>
      <c r="I76" s="15" t="s">
        <v>259</v>
      </c>
      <c r="J76" s="53" t="s">
        <v>261</v>
      </c>
      <c r="K76" s="53" t="s">
        <v>262</v>
      </c>
      <c r="L76" s="53">
        <v>1</v>
      </c>
    </row>
    <row r="77" spans="1:12">
      <c r="A77" s="53" t="s">
        <v>65</v>
      </c>
      <c r="D77" s="53" t="s">
        <v>260</v>
      </c>
      <c r="E77" s="14" t="s">
        <v>328</v>
      </c>
      <c r="F77" s="5">
        <v>41821</v>
      </c>
      <c r="G77" s="5">
        <v>44593</v>
      </c>
      <c r="H77" s="53">
        <v>92</v>
      </c>
      <c r="I77" s="15" t="s">
        <v>259</v>
      </c>
      <c r="J77" s="53" t="s">
        <v>261</v>
      </c>
      <c r="K77" s="53" t="s">
        <v>262</v>
      </c>
      <c r="L77" s="53">
        <v>1</v>
      </c>
    </row>
    <row r="78" spans="1:12">
      <c r="A78" s="53" t="s">
        <v>66</v>
      </c>
      <c r="D78" s="53" t="s">
        <v>260</v>
      </c>
      <c r="E78" s="14" t="s">
        <v>329</v>
      </c>
      <c r="F78" s="5">
        <v>41821</v>
      </c>
      <c r="G78" s="5">
        <v>44593</v>
      </c>
      <c r="H78" s="53">
        <v>92</v>
      </c>
      <c r="I78" s="15" t="s">
        <v>259</v>
      </c>
      <c r="J78" s="53" t="s">
        <v>261</v>
      </c>
      <c r="K78" s="53" t="s">
        <v>262</v>
      </c>
      <c r="L78" s="53">
        <v>1</v>
      </c>
    </row>
    <row r="79" spans="1:12">
      <c r="A79" s="53" t="s">
        <v>67</v>
      </c>
      <c r="D79" s="53" t="s">
        <v>260</v>
      </c>
      <c r="E79" s="14" t="s">
        <v>330</v>
      </c>
      <c r="F79" s="5">
        <v>41821</v>
      </c>
      <c r="G79" s="5">
        <v>44593</v>
      </c>
      <c r="H79" s="53">
        <v>92</v>
      </c>
      <c r="I79" s="15" t="s">
        <v>259</v>
      </c>
      <c r="J79" s="53" t="s">
        <v>261</v>
      </c>
      <c r="K79" s="53" t="s">
        <v>262</v>
      </c>
      <c r="L79" s="53">
        <v>1</v>
      </c>
    </row>
    <row r="80" spans="1:12">
      <c r="A80" s="53" t="s">
        <v>68</v>
      </c>
      <c r="D80" s="53" t="s">
        <v>260</v>
      </c>
      <c r="E80" s="14" t="s">
        <v>331</v>
      </c>
      <c r="F80" s="5">
        <v>41821</v>
      </c>
      <c r="G80" s="5">
        <v>44593</v>
      </c>
      <c r="H80" s="53">
        <v>92</v>
      </c>
      <c r="I80" s="15" t="s">
        <v>259</v>
      </c>
      <c r="J80" s="53" t="s">
        <v>261</v>
      </c>
      <c r="K80" s="53" t="s">
        <v>262</v>
      </c>
      <c r="L80" s="53">
        <v>1</v>
      </c>
    </row>
    <row r="81" spans="1:12">
      <c r="A81" s="53" t="s">
        <v>69</v>
      </c>
      <c r="D81" s="53" t="s">
        <v>260</v>
      </c>
      <c r="E81" s="14" t="s">
        <v>332</v>
      </c>
      <c r="F81" s="5">
        <v>41821</v>
      </c>
      <c r="G81" s="5">
        <v>44593</v>
      </c>
      <c r="H81" s="53">
        <v>92</v>
      </c>
      <c r="I81" s="15" t="s">
        <v>259</v>
      </c>
      <c r="J81" s="53" t="s">
        <v>261</v>
      </c>
      <c r="K81" s="53" t="s">
        <v>262</v>
      </c>
      <c r="L81" s="53">
        <v>1</v>
      </c>
    </row>
    <row r="82" spans="1:12">
      <c r="A82" s="53" t="s">
        <v>70</v>
      </c>
      <c r="D82" s="53" t="s">
        <v>260</v>
      </c>
      <c r="E82" s="14" t="s">
        <v>333</v>
      </c>
      <c r="F82" s="5">
        <v>41821</v>
      </c>
      <c r="G82" s="5">
        <v>44593</v>
      </c>
      <c r="H82" s="53">
        <v>92</v>
      </c>
      <c r="I82" s="15" t="s">
        <v>259</v>
      </c>
      <c r="J82" s="53" t="s">
        <v>261</v>
      </c>
      <c r="K82" s="53" t="s">
        <v>262</v>
      </c>
      <c r="L82" s="53">
        <v>1</v>
      </c>
    </row>
    <row r="83" spans="1:12">
      <c r="A83" s="53" t="s">
        <v>71</v>
      </c>
      <c r="D83" s="53" t="s">
        <v>260</v>
      </c>
      <c r="E83" s="14" t="s">
        <v>334</v>
      </c>
      <c r="F83" s="5">
        <v>41821</v>
      </c>
      <c r="G83" s="5">
        <v>44593</v>
      </c>
      <c r="H83" s="53">
        <v>92</v>
      </c>
      <c r="I83" s="15" t="s">
        <v>259</v>
      </c>
      <c r="J83" s="53" t="s">
        <v>261</v>
      </c>
      <c r="K83" s="53" t="s">
        <v>262</v>
      </c>
      <c r="L83" s="53">
        <v>1</v>
      </c>
    </row>
    <row r="84" spans="1:12">
      <c r="A84" s="53" t="s">
        <v>72</v>
      </c>
      <c r="D84" s="53" t="s">
        <v>260</v>
      </c>
      <c r="E84" s="14" t="s">
        <v>335</v>
      </c>
      <c r="F84" s="5">
        <v>41821</v>
      </c>
      <c r="G84" s="5">
        <v>44593</v>
      </c>
      <c r="H84" s="53">
        <v>92</v>
      </c>
      <c r="I84" s="15" t="s">
        <v>259</v>
      </c>
      <c r="J84" s="53" t="s">
        <v>261</v>
      </c>
      <c r="K84" s="53" t="s">
        <v>262</v>
      </c>
      <c r="L84" s="53">
        <v>1</v>
      </c>
    </row>
    <row r="85" spans="1:12">
      <c r="A85" s="53" t="s">
        <v>73</v>
      </c>
      <c r="D85" s="53" t="s">
        <v>260</v>
      </c>
      <c r="E85" s="14" t="s">
        <v>336</v>
      </c>
      <c r="F85" s="5">
        <v>41821</v>
      </c>
      <c r="G85" s="5">
        <v>44593</v>
      </c>
      <c r="H85" s="53">
        <v>92</v>
      </c>
      <c r="I85" s="15" t="s">
        <v>259</v>
      </c>
      <c r="J85" s="53" t="s">
        <v>261</v>
      </c>
      <c r="K85" s="53" t="s">
        <v>262</v>
      </c>
      <c r="L85" s="53">
        <v>1</v>
      </c>
    </row>
    <row r="86" spans="1:12">
      <c r="A86" s="53" t="s">
        <v>74</v>
      </c>
      <c r="D86" s="53" t="s">
        <v>260</v>
      </c>
      <c r="E86" s="14" t="s">
        <v>337</v>
      </c>
      <c r="F86" s="5">
        <v>41821</v>
      </c>
      <c r="G86" s="5">
        <v>44593</v>
      </c>
      <c r="H86" s="53">
        <v>92</v>
      </c>
      <c r="I86" s="15" t="s">
        <v>259</v>
      </c>
      <c r="J86" s="53" t="s">
        <v>261</v>
      </c>
      <c r="K86" s="53" t="s">
        <v>262</v>
      </c>
      <c r="L86" s="53">
        <v>1</v>
      </c>
    </row>
    <row r="87" spans="1:12">
      <c r="A87" s="53" t="s">
        <v>75</v>
      </c>
      <c r="D87" s="53" t="s">
        <v>260</v>
      </c>
      <c r="E87" s="14" t="s">
        <v>338</v>
      </c>
      <c r="F87" s="5">
        <v>41821</v>
      </c>
      <c r="G87" s="5">
        <v>44593</v>
      </c>
      <c r="H87" s="53">
        <v>92</v>
      </c>
      <c r="I87" s="15" t="s">
        <v>259</v>
      </c>
      <c r="J87" s="53" t="s">
        <v>261</v>
      </c>
      <c r="K87" s="53" t="s">
        <v>262</v>
      </c>
      <c r="L87" s="53">
        <v>1</v>
      </c>
    </row>
    <row r="88" spans="1:12">
      <c r="A88" s="53" t="s">
        <v>76</v>
      </c>
      <c r="D88" s="53" t="s">
        <v>260</v>
      </c>
      <c r="E88" s="14" t="s">
        <v>339</v>
      </c>
      <c r="F88" s="5">
        <v>41821</v>
      </c>
      <c r="G88" s="5">
        <v>44593</v>
      </c>
      <c r="H88" s="53">
        <v>92</v>
      </c>
      <c r="I88" s="15" t="s">
        <v>259</v>
      </c>
      <c r="J88" s="53" t="s">
        <v>261</v>
      </c>
      <c r="K88" s="53" t="s">
        <v>262</v>
      </c>
      <c r="L88" s="53">
        <v>1</v>
      </c>
    </row>
    <row r="89" spans="1:12">
      <c r="A89" s="53" t="s">
        <v>77</v>
      </c>
      <c r="D89" s="53" t="s">
        <v>260</v>
      </c>
      <c r="E89" s="14" t="s">
        <v>340</v>
      </c>
      <c r="F89" s="5">
        <v>41821</v>
      </c>
      <c r="G89" s="5">
        <v>44593</v>
      </c>
      <c r="H89" s="53">
        <v>92</v>
      </c>
      <c r="I89" s="15" t="s">
        <v>259</v>
      </c>
      <c r="J89" s="53" t="s">
        <v>261</v>
      </c>
      <c r="K89" s="53" t="s">
        <v>262</v>
      </c>
      <c r="L89" s="53">
        <v>1</v>
      </c>
    </row>
    <row r="90" spans="1:12">
      <c r="A90" s="53" t="s">
        <v>78</v>
      </c>
      <c r="D90" s="53" t="s">
        <v>260</v>
      </c>
      <c r="E90" s="14" t="s">
        <v>341</v>
      </c>
      <c r="F90" s="5">
        <v>41821</v>
      </c>
      <c r="G90" s="5">
        <v>44593</v>
      </c>
      <c r="H90" s="53">
        <v>92</v>
      </c>
      <c r="I90" s="15" t="s">
        <v>259</v>
      </c>
      <c r="J90" s="53" t="s">
        <v>261</v>
      </c>
      <c r="K90" s="53" t="s">
        <v>262</v>
      </c>
      <c r="L90" s="53">
        <v>1</v>
      </c>
    </row>
    <row r="91" spans="1:12">
      <c r="A91" s="53" t="s">
        <v>79</v>
      </c>
      <c r="D91" s="53" t="s">
        <v>260</v>
      </c>
      <c r="E91" s="14" t="s">
        <v>342</v>
      </c>
      <c r="F91" s="5">
        <v>41821</v>
      </c>
      <c r="G91" s="5">
        <v>44593</v>
      </c>
      <c r="H91" s="53">
        <v>92</v>
      </c>
      <c r="I91" s="15" t="s">
        <v>259</v>
      </c>
      <c r="J91" s="53" t="s">
        <v>261</v>
      </c>
      <c r="K91" s="53" t="s">
        <v>262</v>
      </c>
      <c r="L91" s="53">
        <v>1</v>
      </c>
    </row>
    <row r="92" spans="1:12">
      <c r="A92" s="53" t="s">
        <v>80</v>
      </c>
      <c r="D92" s="53" t="s">
        <v>260</v>
      </c>
      <c r="E92" s="14" t="s">
        <v>343</v>
      </c>
      <c r="F92" s="5">
        <v>41821</v>
      </c>
      <c r="G92" s="5">
        <v>44593</v>
      </c>
      <c r="H92" s="53">
        <v>92</v>
      </c>
      <c r="I92" s="15" t="s">
        <v>259</v>
      </c>
      <c r="J92" s="53" t="s">
        <v>261</v>
      </c>
      <c r="K92" s="53" t="s">
        <v>262</v>
      </c>
      <c r="L92" s="53">
        <v>1</v>
      </c>
    </row>
    <row r="93" spans="1:12">
      <c r="A93" s="53" t="s">
        <v>81</v>
      </c>
      <c r="D93" s="53" t="s">
        <v>260</v>
      </c>
      <c r="E93" s="14" t="s">
        <v>344</v>
      </c>
      <c r="F93" s="5">
        <v>41821</v>
      </c>
      <c r="G93" s="5">
        <v>44593</v>
      </c>
      <c r="H93" s="53">
        <v>92</v>
      </c>
      <c r="I93" s="15" t="s">
        <v>259</v>
      </c>
      <c r="J93" s="53" t="s">
        <v>261</v>
      </c>
      <c r="K93" s="53" t="s">
        <v>262</v>
      </c>
      <c r="L93" s="53">
        <v>1</v>
      </c>
    </row>
    <row r="94" spans="1:12">
      <c r="A94" s="53" t="s">
        <v>82</v>
      </c>
      <c r="D94" s="53" t="s">
        <v>260</v>
      </c>
      <c r="E94" s="14" t="s">
        <v>345</v>
      </c>
      <c r="F94" s="5">
        <v>41821</v>
      </c>
      <c r="G94" s="5">
        <v>44593</v>
      </c>
      <c r="H94" s="53">
        <v>92</v>
      </c>
      <c r="I94" s="15" t="s">
        <v>259</v>
      </c>
      <c r="J94" s="53" t="s">
        <v>261</v>
      </c>
      <c r="K94" s="53" t="s">
        <v>262</v>
      </c>
      <c r="L94" s="53">
        <v>1</v>
      </c>
    </row>
    <row r="95" spans="1:12">
      <c r="A95" s="53" t="s">
        <v>83</v>
      </c>
      <c r="D95" s="53" t="s">
        <v>260</v>
      </c>
      <c r="E95" s="14" t="s">
        <v>346</v>
      </c>
      <c r="F95" s="5">
        <v>41821</v>
      </c>
      <c r="G95" s="5">
        <v>44593</v>
      </c>
      <c r="H95" s="53">
        <v>92</v>
      </c>
      <c r="I95" s="15" t="s">
        <v>259</v>
      </c>
      <c r="J95" s="53" t="s">
        <v>261</v>
      </c>
      <c r="K95" s="53" t="s">
        <v>262</v>
      </c>
      <c r="L95" s="53">
        <v>1</v>
      </c>
    </row>
    <row r="96" spans="1:12">
      <c r="A96" s="53" t="s">
        <v>84</v>
      </c>
      <c r="D96" s="53" t="s">
        <v>260</v>
      </c>
      <c r="E96" s="14" t="s">
        <v>347</v>
      </c>
      <c r="F96" s="5">
        <v>41821</v>
      </c>
      <c r="G96" s="5">
        <v>44593</v>
      </c>
      <c r="H96" s="53">
        <v>92</v>
      </c>
      <c r="I96" s="15" t="s">
        <v>259</v>
      </c>
      <c r="J96" s="53" t="s">
        <v>261</v>
      </c>
      <c r="K96" s="53" t="s">
        <v>262</v>
      </c>
      <c r="L96" s="53">
        <v>1</v>
      </c>
    </row>
    <row r="97" spans="1:12">
      <c r="A97" s="53" t="s">
        <v>85</v>
      </c>
      <c r="D97" s="53" t="s">
        <v>260</v>
      </c>
      <c r="E97" s="14" t="s">
        <v>348</v>
      </c>
      <c r="F97" s="5">
        <v>41821</v>
      </c>
      <c r="G97" s="5">
        <v>44593</v>
      </c>
      <c r="H97" s="53">
        <v>92</v>
      </c>
      <c r="I97" s="15" t="s">
        <v>259</v>
      </c>
      <c r="J97" s="53" t="s">
        <v>261</v>
      </c>
      <c r="K97" s="53" t="s">
        <v>262</v>
      </c>
      <c r="L97" s="53">
        <v>1</v>
      </c>
    </row>
    <row r="98" spans="1:12">
      <c r="A98" s="53" t="s">
        <v>86</v>
      </c>
      <c r="D98" s="53" t="s">
        <v>260</v>
      </c>
      <c r="E98" s="14" t="s">
        <v>349</v>
      </c>
      <c r="F98" s="5">
        <v>41821</v>
      </c>
      <c r="G98" s="5">
        <v>44593</v>
      </c>
      <c r="H98" s="53">
        <v>92</v>
      </c>
      <c r="I98" s="15" t="s">
        <v>259</v>
      </c>
      <c r="J98" s="53" t="s">
        <v>261</v>
      </c>
      <c r="K98" s="53" t="s">
        <v>262</v>
      </c>
      <c r="L98" s="53">
        <v>1</v>
      </c>
    </row>
    <row r="99" spans="1:12">
      <c r="A99" s="53" t="s">
        <v>87</v>
      </c>
      <c r="D99" s="53" t="s">
        <v>260</v>
      </c>
      <c r="E99" s="14" t="s">
        <v>350</v>
      </c>
      <c r="F99" s="5">
        <v>41821</v>
      </c>
      <c r="G99" s="5">
        <v>44593</v>
      </c>
      <c r="H99" s="53">
        <v>92</v>
      </c>
      <c r="I99" s="15" t="s">
        <v>259</v>
      </c>
      <c r="J99" s="53" t="s">
        <v>261</v>
      </c>
      <c r="K99" s="53" t="s">
        <v>262</v>
      </c>
      <c r="L99" s="53">
        <v>1</v>
      </c>
    </row>
    <row r="100" spans="1:12">
      <c r="A100" s="53" t="s">
        <v>88</v>
      </c>
      <c r="D100" s="53" t="s">
        <v>260</v>
      </c>
      <c r="E100" s="14" t="s">
        <v>351</v>
      </c>
      <c r="F100" s="5">
        <v>41821</v>
      </c>
      <c r="G100" s="5">
        <v>44593</v>
      </c>
      <c r="H100" s="53">
        <v>92</v>
      </c>
      <c r="I100" s="15" t="s">
        <v>259</v>
      </c>
      <c r="J100" s="53" t="s">
        <v>261</v>
      </c>
      <c r="K100" s="53" t="s">
        <v>262</v>
      </c>
      <c r="L100" s="53">
        <v>1</v>
      </c>
    </row>
    <row r="101" spans="1:12">
      <c r="A101" s="53" t="s">
        <v>89</v>
      </c>
      <c r="D101" s="53" t="s">
        <v>260</v>
      </c>
      <c r="E101" s="14" t="s">
        <v>352</v>
      </c>
      <c r="F101" s="5">
        <v>41821</v>
      </c>
      <c r="G101" s="5">
        <v>44593</v>
      </c>
      <c r="H101" s="53">
        <v>92</v>
      </c>
      <c r="I101" s="15" t="s">
        <v>259</v>
      </c>
      <c r="J101" s="53" t="s">
        <v>261</v>
      </c>
      <c r="K101" s="53" t="s">
        <v>262</v>
      </c>
      <c r="L101" s="53">
        <v>1</v>
      </c>
    </row>
    <row r="102" spans="1:12">
      <c r="A102" s="53" t="s">
        <v>90</v>
      </c>
      <c r="D102" s="53" t="s">
        <v>260</v>
      </c>
      <c r="E102" s="14" t="s">
        <v>353</v>
      </c>
      <c r="F102" s="5">
        <v>41821</v>
      </c>
      <c r="G102" s="5">
        <v>44593</v>
      </c>
      <c r="H102" s="53">
        <v>92</v>
      </c>
      <c r="I102" s="15" t="s">
        <v>259</v>
      </c>
      <c r="J102" s="53" t="s">
        <v>261</v>
      </c>
      <c r="K102" s="53" t="s">
        <v>262</v>
      </c>
      <c r="L102" s="53">
        <v>1</v>
      </c>
    </row>
    <row r="103" spans="1:12">
      <c r="A103" s="53" t="s">
        <v>91</v>
      </c>
      <c r="D103" s="53" t="s">
        <v>260</v>
      </c>
      <c r="E103" s="14" t="s">
        <v>354</v>
      </c>
      <c r="F103" s="5">
        <v>41821</v>
      </c>
      <c r="G103" s="5">
        <v>44593</v>
      </c>
      <c r="H103" s="53">
        <v>92</v>
      </c>
      <c r="I103" s="15" t="s">
        <v>259</v>
      </c>
      <c r="J103" s="53" t="s">
        <v>261</v>
      </c>
      <c r="K103" s="53" t="s">
        <v>262</v>
      </c>
      <c r="L103" s="53">
        <v>1</v>
      </c>
    </row>
    <row r="104" spans="1:12">
      <c r="A104" s="53" t="s">
        <v>92</v>
      </c>
      <c r="D104" s="53" t="s">
        <v>260</v>
      </c>
      <c r="E104" s="14" t="s">
        <v>355</v>
      </c>
      <c r="F104" s="5">
        <v>41821</v>
      </c>
      <c r="G104" s="5">
        <v>44593</v>
      </c>
      <c r="H104" s="53">
        <v>92</v>
      </c>
      <c r="I104" s="15" t="s">
        <v>259</v>
      </c>
      <c r="J104" s="53" t="s">
        <v>261</v>
      </c>
      <c r="K104" s="53" t="s">
        <v>262</v>
      </c>
      <c r="L104" s="53">
        <v>1</v>
      </c>
    </row>
    <row r="105" spans="1:12">
      <c r="A105" s="53" t="s">
        <v>93</v>
      </c>
      <c r="D105" s="53" t="s">
        <v>260</v>
      </c>
      <c r="E105" s="14" t="s">
        <v>356</v>
      </c>
      <c r="F105" s="5">
        <v>41821</v>
      </c>
      <c r="G105" s="5">
        <v>44593</v>
      </c>
      <c r="H105" s="53">
        <v>92</v>
      </c>
      <c r="I105" s="15" t="s">
        <v>259</v>
      </c>
      <c r="J105" s="53" t="s">
        <v>261</v>
      </c>
      <c r="K105" s="53" t="s">
        <v>262</v>
      </c>
      <c r="L105" s="53">
        <v>1</v>
      </c>
    </row>
    <row r="106" spans="1:12">
      <c r="A106" s="53" t="s">
        <v>94</v>
      </c>
      <c r="D106" s="53" t="s">
        <v>260</v>
      </c>
      <c r="E106" s="14" t="s">
        <v>357</v>
      </c>
      <c r="F106" s="5">
        <v>41821</v>
      </c>
      <c r="G106" s="5">
        <v>44593</v>
      </c>
      <c r="H106" s="53">
        <v>92</v>
      </c>
      <c r="I106" s="15" t="s">
        <v>259</v>
      </c>
      <c r="J106" s="53" t="s">
        <v>261</v>
      </c>
      <c r="K106" s="53" t="s">
        <v>262</v>
      </c>
      <c r="L106" s="53">
        <v>1</v>
      </c>
    </row>
    <row r="107" spans="1:12">
      <c r="A107" s="53" t="s">
        <v>95</v>
      </c>
      <c r="D107" s="53" t="s">
        <v>260</v>
      </c>
      <c r="E107" s="14" t="s">
        <v>358</v>
      </c>
      <c r="F107" s="5">
        <v>41821</v>
      </c>
      <c r="G107" s="5">
        <v>44593</v>
      </c>
      <c r="H107" s="53">
        <v>92</v>
      </c>
      <c r="I107" s="15" t="s">
        <v>259</v>
      </c>
      <c r="J107" s="53" t="s">
        <v>261</v>
      </c>
      <c r="K107" s="53" t="s">
        <v>262</v>
      </c>
      <c r="L107" s="53">
        <v>1</v>
      </c>
    </row>
    <row r="108" spans="1:12">
      <c r="A108" s="53" t="s">
        <v>96</v>
      </c>
      <c r="D108" s="53" t="s">
        <v>260</v>
      </c>
      <c r="E108" s="14" t="s">
        <v>359</v>
      </c>
      <c r="F108" s="5">
        <v>41821</v>
      </c>
      <c r="G108" s="5">
        <v>44593</v>
      </c>
      <c r="H108" s="53">
        <v>92</v>
      </c>
      <c r="I108" s="15" t="s">
        <v>259</v>
      </c>
      <c r="J108" s="53" t="s">
        <v>261</v>
      </c>
      <c r="K108" s="53" t="s">
        <v>262</v>
      </c>
      <c r="L108" s="53">
        <v>1</v>
      </c>
    </row>
    <row r="109" spans="1:12">
      <c r="A109" s="53" t="s">
        <v>97</v>
      </c>
      <c r="D109" s="53" t="s">
        <v>260</v>
      </c>
      <c r="E109" s="14" t="s">
        <v>360</v>
      </c>
      <c r="F109" s="5">
        <v>41821</v>
      </c>
      <c r="G109" s="5">
        <v>44593</v>
      </c>
      <c r="H109" s="53">
        <v>92</v>
      </c>
      <c r="I109" s="15" t="s">
        <v>259</v>
      </c>
      <c r="J109" s="53" t="s">
        <v>261</v>
      </c>
      <c r="K109" s="53" t="s">
        <v>262</v>
      </c>
      <c r="L109" s="53">
        <v>1</v>
      </c>
    </row>
    <row r="110" spans="1:12">
      <c r="A110" s="53" t="s">
        <v>98</v>
      </c>
      <c r="D110" s="53" t="s">
        <v>260</v>
      </c>
      <c r="E110" s="14" t="s">
        <v>361</v>
      </c>
      <c r="F110" s="5">
        <v>41821</v>
      </c>
      <c r="G110" s="5">
        <v>44593</v>
      </c>
      <c r="H110" s="53">
        <v>92</v>
      </c>
      <c r="I110" s="15" t="s">
        <v>259</v>
      </c>
      <c r="J110" s="53" t="s">
        <v>261</v>
      </c>
      <c r="K110" s="53" t="s">
        <v>262</v>
      </c>
      <c r="L110" s="53">
        <v>1</v>
      </c>
    </row>
    <row r="111" spans="1:12">
      <c r="A111" s="53" t="s">
        <v>99</v>
      </c>
      <c r="D111" s="53" t="s">
        <v>260</v>
      </c>
      <c r="E111" s="14" t="s">
        <v>362</v>
      </c>
      <c r="F111" s="5">
        <v>41821</v>
      </c>
      <c r="G111" s="5">
        <v>44593</v>
      </c>
      <c r="H111" s="53">
        <v>92</v>
      </c>
      <c r="I111" s="15" t="s">
        <v>259</v>
      </c>
      <c r="J111" s="53" t="s">
        <v>261</v>
      </c>
      <c r="K111" s="53" t="s">
        <v>262</v>
      </c>
      <c r="L111" s="53">
        <v>1</v>
      </c>
    </row>
    <row r="112" spans="1:12">
      <c r="A112" s="53" t="s">
        <v>100</v>
      </c>
      <c r="D112" s="53" t="s">
        <v>260</v>
      </c>
      <c r="E112" s="14" t="s">
        <v>363</v>
      </c>
      <c r="F112" s="5">
        <v>41821</v>
      </c>
      <c r="G112" s="5">
        <v>44593</v>
      </c>
      <c r="H112" s="53">
        <v>92</v>
      </c>
      <c r="I112" s="15" t="s">
        <v>259</v>
      </c>
      <c r="J112" s="53" t="s">
        <v>261</v>
      </c>
      <c r="K112" s="53" t="s">
        <v>262</v>
      </c>
      <c r="L112" s="53">
        <v>1</v>
      </c>
    </row>
    <row r="113" spans="1:12">
      <c r="A113" s="53" t="s">
        <v>101</v>
      </c>
      <c r="D113" s="53" t="s">
        <v>260</v>
      </c>
      <c r="E113" s="14" t="s">
        <v>364</v>
      </c>
      <c r="F113" s="5">
        <v>41821</v>
      </c>
      <c r="G113" s="5">
        <v>44593</v>
      </c>
      <c r="H113" s="53">
        <v>92</v>
      </c>
      <c r="I113" s="15" t="s">
        <v>259</v>
      </c>
      <c r="J113" s="53" t="s">
        <v>261</v>
      </c>
      <c r="K113" s="53" t="s">
        <v>262</v>
      </c>
      <c r="L113" s="53">
        <v>1</v>
      </c>
    </row>
    <row r="114" spans="1:12">
      <c r="A114" s="53" t="s">
        <v>102</v>
      </c>
      <c r="D114" s="53" t="s">
        <v>260</v>
      </c>
      <c r="E114" s="14" t="s">
        <v>365</v>
      </c>
      <c r="F114" s="5">
        <v>41821</v>
      </c>
      <c r="G114" s="5">
        <v>44593</v>
      </c>
      <c r="H114" s="53">
        <v>92</v>
      </c>
      <c r="I114" s="15" t="s">
        <v>259</v>
      </c>
      <c r="J114" s="53" t="s">
        <v>261</v>
      </c>
      <c r="K114" s="53" t="s">
        <v>262</v>
      </c>
      <c r="L114" s="53">
        <v>1</v>
      </c>
    </row>
    <row r="115" spans="1:12">
      <c r="A115" s="53" t="s">
        <v>103</v>
      </c>
      <c r="D115" s="53" t="s">
        <v>260</v>
      </c>
      <c r="E115" s="14" t="s">
        <v>366</v>
      </c>
      <c r="F115" s="5">
        <v>41821</v>
      </c>
      <c r="G115" s="5">
        <v>44593</v>
      </c>
      <c r="H115" s="53">
        <v>92</v>
      </c>
      <c r="I115" s="15" t="s">
        <v>259</v>
      </c>
      <c r="J115" s="53" t="s">
        <v>261</v>
      </c>
      <c r="K115" s="53" t="s">
        <v>262</v>
      </c>
      <c r="L115" s="53">
        <v>1</v>
      </c>
    </row>
    <row r="116" spans="1:12">
      <c r="A116" s="53" t="s">
        <v>104</v>
      </c>
      <c r="D116" s="53" t="s">
        <v>260</v>
      </c>
      <c r="E116" s="14" t="s">
        <v>367</v>
      </c>
      <c r="F116" s="5">
        <v>41821</v>
      </c>
      <c r="G116" s="5">
        <v>44593</v>
      </c>
      <c r="H116" s="53">
        <v>92</v>
      </c>
      <c r="I116" s="15" t="s">
        <v>259</v>
      </c>
      <c r="J116" s="53" t="s">
        <v>261</v>
      </c>
      <c r="K116" s="53" t="s">
        <v>262</v>
      </c>
      <c r="L116" s="53">
        <v>1</v>
      </c>
    </row>
    <row r="117" spans="1:12">
      <c r="A117" s="53" t="s">
        <v>105</v>
      </c>
      <c r="D117" s="53" t="s">
        <v>260</v>
      </c>
      <c r="E117" s="14" t="s">
        <v>368</v>
      </c>
      <c r="F117" s="5">
        <v>41821</v>
      </c>
      <c r="G117" s="5">
        <v>44593</v>
      </c>
      <c r="H117" s="53">
        <v>92</v>
      </c>
      <c r="I117" s="15" t="s">
        <v>259</v>
      </c>
      <c r="J117" s="53" t="s">
        <v>261</v>
      </c>
      <c r="K117" s="53" t="s">
        <v>262</v>
      </c>
      <c r="L117" s="53">
        <v>1</v>
      </c>
    </row>
    <row r="118" spans="1:12">
      <c r="A118" s="53" t="s">
        <v>106</v>
      </c>
      <c r="D118" s="53" t="s">
        <v>260</v>
      </c>
      <c r="E118" s="14" t="s">
        <v>369</v>
      </c>
      <c r="F118" s="5">
        <v>41821</v>
      </c>
      <c r="G118" s="5">
        <v>44593</v>
      </c>
      <c r="H118" s="53">
        <v>92</v>
      </c>
      <c r="I118" s="15" t="s">
        <v>259</v>
      </c>
      <c r="J118" s="53" t="s">
        <v>261</v>
      </c>
      <c r="K118" s="53" t="s">
        <v>262</v>
      </c>
      <c r="L118" s="53">
        <v>1</v>
      </c>
    </row>
    <row r="119" spans="1:12">
      <c r="A119" s="53" t="s">
        <v>107</v>
      </c>
      <c r="D119" s="53" t="s">
        <v>260</v>
      </c>
      <c r="E119" s="14" t="s">
        <v>370</v>
      </c>
      <c r="F119" s="5">
        <v>41821</v>
      </c>
      <c r="G119" s="5">
        <v>44593</v>
      </c>
      <c r="H119" s="53">
        <v>92</v>
      </c>
      <c r="I119" s="15" t="s">
        <v>259</v>
      </c>
      <c r="J119" s="53" t="s">
        <v>261</v>
      </c>
      <c r="K119" s="53" t="s">
        <v>262</v>
      </c>
      <c r="L119" s="53">
        <v>1</v>
      </c>
    </row>
    <row r="120" spans="1:12">
      <c r="A120" s="53" t="s">
        <v>108</v>
      </c>
      <c r="D120" s="53" t="s">
        <v>260</v>
      </c>
      <c r="E120" s="14" t="s">
        <v>371</v>
      </c>
      <c r="F120" s="5">
        <v>41821</v>
      </c>
      <c r="G120" s="5">
        <v>44593</v>
      </c>
      <c r="H120" s="53">
        <v>92</v>
      </c>
      <c r="I120" s="15" t="s">
        <v>259</v>
      </c>
      <c r="J120" s="53" t="s">
        <v>261</v>
      </c>
      <c r="K120" s="53" t="s">
        <v>262</v>
      </c>
      <c r="L120" s="53">
        <v>1</v>
      </c>
    </row>
    <row r="121" spans="1:12">
      <c r="A121" s="53" t="s">
        <v>109</v>
      </c>
      <c r="D121" s="53" t="s">
        <v>260</v>
      </c>
      <c r="E121" s="14" t="s">
        <v>372</v>
      </c>
      <c r="F121" s="5">
        <v>41821</v>
      </c>
      <c r="G121" s="5">
        <v>44593</v>
      </c>
      <c r="H121" s="53">
        <v>92</v>
      </c>
      <c r="I121" s="15" t="s">
        <v>259</v>
      </c>
      <c r="J121" s="53" t="s">
        <v>261</v>
      </c>
      <c r="K121" s="53" t="s">
        <v>262</v>
      </c>
      <c r="L121" s="53">
        <v>1</v>
      </c>
    </row>
    <row r="122" spans="1:12">
      <c r="A122" s="53" t="s">
        <v>110</v>
      </c>
      <c r="D122" s="53" t="s">
        <v>260</v>
      </c>
      <c r="E122" s="14" t="s">
        <v>373</v>
      </c>
      <c r="F122" s="5">
        <v>41821</v>
      </c>
      <c r="G122" s="5">
        <v>44593</v>
      </c>
      <c r="H122" s="53">
        <v>92</v>
      </c>
      <c r="I122" s="15" t="s">
        <v>259</v>
      </c>
      <c r="J122" s="53" t="s">
        <v>261</v>
      </c>
      <c r="K122" s="53" t="s">
        <v>262</v>
      </c>
      <c r="L122" s="53">
        <v>1</v>
      </c>
    </row>
    <row r="123" spans="1:12">
      <c r="A123" s="53" t="s">
        <v>111</v>
      </c>
      <c r="D123" s="53" t="s">
        <v>260</v>
      </c>
      <c r="E123" s="14" t="s">
        <v>374</v>
      </c>
      <c r="F123" s="5">
        <v>41821</v>
      </c>
      <c r="G123" s="5">
        <v>44593</v>
      </c>
      <c r="H123" s="53">
        <v>92</v>
      </c>
      <c r="I123" s="15" t="s">
        <v>259</v>
      </c>
      <c r="J123" s="53" t="s">
        <v>261</v>
      </c>
      <c r="K123" s="53" t="s">
        <v>262</v>
      </c>
      <c r="L123" s="53">
        <v>1</v>
      </c>
    </row>
    <row r="124" spans="1:12">
      <c r="A124" s="53" t="s">
        <v>112</v>
      </c>
      <c r="D124" s="53" t="s">
        <v>260</v>
      </c>
      <c r="E124" s="14" t="s">
        <v>375</v>
      </c>
      <c r="F124" s="5">
        <v>41821</v>
      </c>
      <c r="G124" s="5">
        <v>44593</v>
      </c>
      <c r="H124" s="53">
        <v>92</v>
      </c>
      <c r="I124" s="15" t="s">
        <v>259</v>
      </c>
      <c r="J124" s="53" t="s">
        <v>261</v>
      </c>
      <c r="K124" s="53" t="s">
        <v>262</v>
      </c>
      <c r="L124" s="53">
        <v>1</v>
      </c>
    </row>
    <row r="125" spans="1:12">
      <c r="A125" s="53" t="s">
        <v>113</v>
      </c>
      <c r="D125" s="53" t="s">
        <v>260</v>
      </c>
      <c r="E125" s="14" t="s">
        <v>376</v>
      </c>
      <c r="F125" s="5">
        <v>41821</v>
      </c>
      <c r="G125" s="5">
        <v>44593</v>
      </c>
      <c r="H125" s="53">
        <v>92</v>
      </c>
      <c r="I125" s="15" t="s">
        <v>259</v>
      </c>
      <c r="J125" s="53" t="s">
        <v>261</v>
      </c>
      <c r="K125" s="53" t="s">
        <v>262</v>
      </c>
      <c r="L125" s="53">
        <v>1</v>
      </c>
    </row>
    <row r="126" spans="1:12">
      <c r="A126" s="53" t="s">
        <v>114</v>
      </c>
      <c r="D126" s="53" t="s">
        <v>260</v>
      </c>
      <c r="E126" s="14" t="s">
        <v>377</v>
      </c>
      <c r="F126" s="5">
        <v>41821</v>
      </c>
      <c r="G126" s="5">
        <v>44593</v>
      </c>
      <c r="H126" s="53">
        <v>92</v>
      </c>
      <c r="I126" s="15" t="s">
        <v>259</v>
      </c>
      <c r="J126" s="53" t="s">
        <v>261</v>
      </c>
      <c r="K126" s="53" t="s">
        <v>262</v>
      </c>
      <c r="L126" s="53">
        <v>1</v>
      </c>
    </row>
    <row r="127" spans="1:12">
      <c r="A127" s="53" t="s">
        <v>115</v>
      </c>
      <c r="D127" s="53" t="s">
        <v>260</v>
      </c>
      <c r="E127" s="14" t="s">
        <v>378</v>
      </c>
      <c r="F127" s="5">
        <v>41821</v>
      </c>
      <c r="G127" s="5">
        <v>44593</v>
      </c>
      <c r="H127" s="53">
        <v>92</v>
      </c>
      <c r="I127" s="15" t="s">
        <v>259</v>
      </c>
      <c r="J127" s="53" t="s">
        <v>261</v>
      </c>
      <c r="K127" s="53" t="s">
        <v>262</v>
      </c>
      <c r="L127" s="53">
        <v>1</v>
      </c>
    </row>
    <row r="128" spans="1:12">
      <c r="A128" s="53" t="s">
        <v>116</v>
      </c>
      <c r="D128" s="53" t="s">
        <v>260</v>
      </c>
      <c r="E128" s="14" t="s">
        <v>379</v>
      </c>
      <c r="F128" s="5">
        <v>41821</v>
      </c>
      <c r="G128" s="5">
        <v>44593</v>
      </c>
      <c r="H128" s="53">
        <v>92</v>
      </c>
      <c r="I128" s="15" t="s">
        <v>259</v>
      </c>
      <c r="J128" s="53" t="s">
        <v>261</v>
      </c>
      <c r="K128" s="53" t="s">
        <v>262</v>
      </c>
      <c r="L128" s="53">
        <v>1</v>
      </c>
    </row>
    <row r="129" spans="1:12">
      <c r="A129" s="53" t="s">
        <v>117</v>
      </c>
      <c r="D129" s="53" t="s">
        <v>260</v>
      </c>
      <c r="E129" s="14" t="s">
        <v>380</v>
      </c>
      <c r="F129" s="5">
        <v>41821</v>
      </c>
      <c r="G129" s="5">
        <v>44593</v>
      </c>
      <c r="H129" s="53">
        <v>92</v>
      </c>
      <c r="I129" s="15" t="s">
        <v>259</v>
      </c>
      <c r="J129" s="53" t="s">
        <v>261</v>
      </c>
      <c r="K129" s="53" t="s">
        <v>262</v>
      </c>
      <c r="L129" s="53">
        <v>1</v>
      </c>
    </row>
    <row r="130" spans="1:12">
      <c r="A130" s="53" t="s">
        <v>118</v>
      </c>
      <c r="D130" s="53" t="s">
        <v>260</v>
      </c>
      <c r="E130" s="14" t="s">
        <v>381</v>
      </c>
      <c r="F130" s="5">
        <v>41821</v>
      </c>
      <c r="G130" s="5">
        <v>44593</v>
      </c>
      <c r="H130" s="53">
        <v>92</v>
      </c>
      <c r="I130" s="15" t="s">
        <v>259</v>
      </c>
      <c r="J130" s="53" t="s">
        <v>261</v>
      </c>
      <c r="K130" s="53" t="s">
        <v>262</v>
      </c>
      <c r="L130" s="53">
        <v>1</v>
      </c>
    </row>
    <row r="131" spans="1:12">
      <c r="A131" s="53" t="s">
        <v>119</v>
      </c>
      <c r="D131" s="53" t="s">
        <v>260</v>
      </c>
      <c r="E131" s="14" t="s">
        <v>382</v>
      </c>
      <c r="F131" s="5">
        <v>41821</v>
      </c>
      <c r="G131" s="5">
        <v>44593</v>
      </c>
      <c r="H131" s="53">
        <v>92</v>
      </c>
      <c r="I131" s="15" t="s">
        <v>259</v>
      </c>
      <c r="J131" s="53" t="s">
        <v>261</v>
      </c>
      <c r="K131" s="53" t="s">
        <v>262</v>
      </c>
      <c r="L131" s="53">
        <v>1</v>
      </c>
    </row>
    <row r="132" spans="1:12">
      <c r="A132" s="53" t="s">
        <v>120</v>
      </c>
      <c r="D132" s="53" t="s">
        <v>260</v>
      </c>
      <c r="E132" s="14" t="s">
        <v>383</v>
      </c>
      <c r="F132" s="5">
        <v>41821</v>
      </c>
      <c r="G132" s="5">
        <v>44593</v>
      </c>
      <c r="H132" s="53">
        <v>92</v>
      </c>
      <c r="I132" s="15" t="s">
        <v>259</v>
      </c>
      <c r="J132" s="53" t="s">
        <v>261</v>
      </c>
      <c r="K132" s="53" t="s">
        <v>262</v>
      </c>
      <c r="L132" s="53">
        <v>1</v>
      </c>
    </row>
    <row r="133" spans="1:12">
      <c r="A133" s="53" t="s">
        <v>121</v>
      </c>
      <c r="D133" s="53" t="s">
        <v>260</v>
      </c>
      <c r="E133" s="14" t="s">
        <v>384</v>
      </c>
      <c r="F133" s="5">
        <v>41821</v>
      </c>
      <c r="G133" s="5">
        <v>44593</v>
      </c>
      <c r="H133" s="53">
        <v>92</v>
      </c>
      <c r="I133" s="15" t="s">
        <v>259</v>
      </c>
      <c r="J133" s="53" t="s">
        <v>261</v>
      </c>
      <c r="K133" s="53" t="s">
        <v>262</v>
      </c>
      <c r="L133" s="53">
        <v>1</v>
      </c>
    </row>
    <row r="134" spans="1:12">
      <c r="A134" s="53" t="s">
        <v>122</v>
      </c>
      <c r="D134" s="53" t="s">
        <v>260</v>
      </c>
      <c r="E134" s="14" t="s">
        <v>385</v>
      </c>
      <c r="F134" s="5">
        <v>41821</v>
      </c>
      <c r="G134" s="5">
        <v>44593</v>
      </c>
      <c r="H134" s="53">
        <v>92</v>
      </c>
      <c r="I134" s="15" t="s">
        <v>259</v>
      </c>
      <c r="J134" s="53" t="s">
        <v>261</v>
      </c>
      <c r="K134" s="53" t="s">
        <v>262</v>
      </c>
      <c r="L134" s="53">
        <v>1</v>
      </c>
    </row>
    <row r="135" spans="1:12">
      <c r="A135" s="53" t="s">
        <v>123</v>
      </c>
      <c r="D135" s="53" t="s">
        <v>260</v>
      </c>
      <c r="E135" s="14" t="s">
        <v>386</v>
      </c>
      <c r="F135" s="5">
        <v>41821</v>
      </c>
      <c r="G135" s="5">
        <v>44593</v>
      </c>
      <c r="H135" s="53">
        <v>92</v>
      </c>
      <c r="I135" s="15" t="s">
        <v>259</v>
      </c>
      <c r="J135" s="53" t="s">
        <v>261</v>
      </c>
      <c r="K135" s="53" t="s">
        <v>262</v>
      </c>
      <c r="L135" s="53">
        <v>1</v>
      </c>
    </row>
    <row r="136" spans="1:12">
      <c r="A136" s="53" t="s">
        <v>124</v>
      </c>
      <c r="D136" s="53" t="s">
        <v>260</v>
      </c>
      <c r="E136" s="14" t="s">
        <v>387</v>
      </c>
      <c r="F136" s="5">
        <v>41821</v>
      </c>
      <c r="G136" s="5">
        <v>44593</v>
      </c>
      <c r="H136" s="53">
        <v>92</v>
      </c>
      <c r="I136" s="15" t="s">
        <v>259</v>
      </c>
      <c r="J136" s="53" t="s">
        <v>261</v>
      </c>
      <c r="K136" s="53" t="s">
        <v>262</v>
      </c>
      <c r="L136" s="53">
        <v>1</v>
      </c>
    </row>
    <row r="137" spans="1:12">
      <c r="A137" s="53" t="s">
        <v>125</v>
      </c>
      <c r="D137" s="53" t="s">
        <v>260</v>
      </c>
      <c r="E137" s="14" t="s">
        <v>388</v>
      </c>
      <c r="F137" s="5">
        <v>41821</v>
      </c>
      <c r="G137" s="5">
        <v>44593</v>
      </c>
      <c r="H137" s="53">
        <v>92</v>
      </c>
      <c r="I137" s="15" t="s">
        <v>259</v>
      </c>
      <c r="J137" s="53" t="s">
        <v>261</v>
      </c>
      <c r="K137" s="53" t="s">
        <v>262</v>
      </c>
      <c r="L137" s="53">
        <v>1</v>
      </c>
    </row>
    <row r="138" spans="1:12">
      <c r="A138" s="53" t="s">
        <v>126</v>
      </c>
      <c r="D138" s="53" t="s">
        <v>260</v>
      </c>
      <c r="E138" s="14" t="s">
        <v>389</v>
      </c>
      <c r="F138" s="5">
        <v>41821</v>
      </c>
      <c r="G138" s="5">
        <v>44593</v>
      </c>
      <c r="H138" s="53">
        <v>92</v>
      </c>
      <c r="I138" s="15" t="s">
        <v>259</v>
      </c>
      <c r="J138" s="53" t="s">
        <v>261</v>
      </c>
      <c r="K138" s="53" t="s">
        <v>262</v>
      </c>
      <c r="L138" s="53">
        <v>1</v>
      </c>
    </row>
    <row r="139" spans="1:12">
      <c r="A139" s="53" t="s">
        <v>127</v>
      </c>
      <c r="D139" s="53" t="s">
        <v>260</v>
      </c>
      <c r="E139" s="14" t="s">
        <v>390</v>
      </c>
      <c r="F139" s="5">
        <v>41821</v>
      </c>
      <c r="G139" s="5">
        <v>44593</v>
      </c>
      <c r="H139" s="53">
        <v>92</v>
      </c>
      <c r="I139" s="15" t="s">
        <v>259</v>
      </c>
      <c r="J139" s="53" t="s">
        <v>261</v>
      </c>
      <c r="K139" s="53" t="s">
        <v>262</v>
      </c>
      <c r="L139" s="53">
        <v>1</v>
      </c>
    </row>
    <row r="140" spans="1:12">
      <c r="A140" s="53" t="s">
        <v>128</v>
      </c>
      <c r="D140" s="53" t="s">
        <v>260</v>
      </c>
      <c r="E140" s="14" t="s">
        <v>391</v>
      </c>
      <c r="F140" s="5">
        <v>41821</v>
      </c>
      <c r="G140" s="5">
        <v>44593</v>
      </c>
      <c r="H140" s="53">
        <v>92</v>
      </c>
      <c r="I140" s="15" t="s">
        <v>259</v>
      </c>
      <c r="J140" s="53" t="s">
        <v>261</v>
      </c>
      <c r="K140" s="53" t="s">
        <v>262</v>
      </c>
      <c r="L140" s="53">
        <v>1</v>
      </c>
    </row>
    <row r="141" spans="1:12">
      <c r="A141" s="53" t="s">
        <v>129</v>
      </c>
      <c r="D141" s="53" t="s">
        <v>260</v>
      </c>
      <c r="E141" s="14" t="s">
        <v>392</v>
      </c>
      <c r="F141" s="5">
        <v>41821</v>
      </c>
      <c r="G141" s="5">
        <v>44593</v>
      </c>
      <c r="H141" s="53">
        <v>92</v>
      </c>
      <c r="I141" s="15" t="s">
        <v>259</v>
      </c>
      <c r="J141" s="53" t="s">
        <v>261</v>
      </c>
      <c r="K141" s="53" t="s">
        <v>262</v>
      </c>
      <c r="L141" s="53">
        <v>1</v>
      </c>
    </row>
    <row r="142" spans="1:12">
      <c r="A142" s="53" t="s">
        <v>130</v>
      </c>
      <c r="D142" s="53" t="s">
        <v>260</v>
      </c>
      <c r="E142" s="14" t="s">
        <v>393</v>
      </c>
      <c r="F142" s="5">
        <v>41821</v>
      </c>
      <c r="G142" s="5">
        <v>44593</v>
      </c>
      <c r="H142" s="53">
        <v>92</v>
      </c>
      <c r="I142" s="15" t="s">
        <v>259</v>
      </c>
      <c r="J142" s="53" t="s">
        <v>261</v>
      </c>
      <c r="K142" s="53" t="s">
        <v>262</v>
      </c>
      <c r="L142" s="53">
        <v>1</v>
      </c>
    </row>
    <row r="143" spans="1:12">
      <c r="A143" s="53" t="s">
        <v>131</v>
      </c>
      <c r="D143" s="53" t="s">
        <v>260</v>
      </c>
      <c r="E143" s="14" t="s">
        <v>394</v>
      </c>
      <c r="F143" s="5">
        <v>41821</v>
      </c>
      <c r="G143" s="5">
        <v>44593</v>
      </c>
      <c r="H143" s="53">
        <v>92</v>
      </c>
      <c r="I143" s="15" t="s">
        <v>259</v>
      </c>
      <c r="J143" s="53" t="s">
        <v>261</v>
      </c>
      <c r="K143" s="53" t="s">
        <v>262</v>
      </c>
      <c r="L143" s="53">
        <v>1</v>
      </c>
    </row>
    <row r="144" spans="1:12">
      <c r="A144" s="53" t="s">
        <v>132</v>
      </c>
      <c r="D144" s="53" t="s">
        <v>260</v>
      </c>
      <c r="E144" s="14" t="s">
        <v>395</v>
      </c>
      <c r="F144" s="5">
        <v>41821</v>
      </c>
      <c r="G144" s="5">
        <v>44593</v>
      </c>
      <c r="H144" s="53">
        <v>92</v>
      </c>
      <c r="I144" s="15" t="s">
        <v>259</v>
      </c>
      <c r="J144" s="53" t="s">
        <v>261</v>
      </c>
      <c r="K144" s="53" t="s">
        <v>262</v>
      </c>
      <c r="L144" s="53">
        <v>1</v>
      </c>
    </row>
    <row r="145" spans="1:12">
      <c r="A145" s="53" t="s">
        <v>133</v>
      </c>
      <c r="D145" s="53" t="s">
        <v>260</v>
      </c>
      <c r="E145" s="14" t="s">
        <v>396</v>
      </c>
      <c r="F145" s="5">
        <v>41821</v>
      </c>
      <c r="G145" s="5">
        <v>44593</v>
      </c>
      <c r="H145" s="53">
        <v>92</v>
      </c>
      <c r="I145" s="15" t="s">
        <v>259</v>
      </c>
      <c r="J145" s="53" t="s">
        <v>261</v>
      </c>
      <c r="K145" s="53" t="s">
        <v>262</v>
      </c>
      <c r="L145" s="53">
        <v>1</v>
      </c>
    </row>
    <row r="146" spans="1:12">
      <c r="A146" s="53" t="s">
        <v>134</v>
      </c>
      <c r="D146" s="53" t="s">
        <v>260</v>
      </c>
      <c r="E146" s="14" t="s">
        <v>397</v>
      </c>
      <c r="F146" s="5">
        <v>41821</v>
      </c>
      <c r="G146" s="5">
        <v>44593</v>
      </c>
      <c r="H146" s="53">
        <v>92</v>
      </c>
      <c r="I146" s="15" t="s">
        <v>259</v>
      </c>
      <c r="J146" s="53" t="s">
        <v>261</v>
      </c>
      <c r="K146" s="53" t="s">
        <v>262</v>
      </c>
      <c r="L146" s="53">
        <v>1</v>
      </c>
    </row>
    <row r="147" spans="1:12">
      <c r="A147" s="53" t="s">
        <v>135</v>
      </c>
      <c r="D147" s="53" t="s">
        <v>260</v>
      </c>
      <c r="E147" s="14" t="s">
        <v>398</v>
      </c>
      <c r="F147" s="5">
        <v>41821</v>
      </c>
      <c r="G147" s="5">
        <v>44593</v>
      </c>
      <c r="H147" s="53">
        <v>92</v>
      </c>
      <c r="I147" s="15" t="s">
        <v>259</v>
      </c>
      <c r="J147" s="53" t="s">
        <v>261</v>
      </c>
      <c r="K147" s="53" t="s">
        <v>262</v>
      </c>
      <c r="L147" s="53">
        <v>1</v>
      </c>
    </row>
    <row r="148" spans="1:12">
      <c r="A148" s="53" t="s">
        <v>136</v>
      </c>
      <c r="D148" s="53" t="s">
        <v>260</v>
      </c>
      <c r="E148" s="14" t="s">
        <v>399</v>
      </c>
      <c r="F148" s="5">
        <v>41821</v>
      </c>
      <c r="G148" s="5">
        <v>44593</v>
      </c>
      <c r="H148" s="53">
        <v>92</v>
      </c>
      <c r="I148" s="15" t="s">
        <v>259</v>
      </c>
      <c r="J148" s="53" t="s">
        <v>261</v>
      </c>
      <c r="K148" s="53" t="s">
        <v>262</v>
      </c>
      <c r="L148" s="53">
        <v>1</v>
      </c>
    </row>
    <row r="149" spans="1:12">
      <c r="A149" s="53" t="s">
        <v>137</v>
      </c>
      <c r="D149" s="53" t="s">
        <v>260</v>
      </c>
      <c r="E149" s="14" t="s">
        <v>400</v>
      </c>
      <c r="F149" s="5">
        <v>41821</v>
      </c>
      <c r="G149" s="5">
        <v>44593</v>
      </c>
      <c r="H149" s="53">
        <v>92</v>
      </c>
      <c r="I149" s="15" t="s">
        <v>259</v>
      </c>
      <c r="J149" s="53" t="s">
        <v>261</v>
      </c>
      <c r="K149" s="53" t="s">
        <v>262</v>
      </c>
      <c r="L149" s="53">
        <v>1</v>
      </c>
    </row>
    <row r="150" spans="1:12">
      <c r="A150" s="53" t="s">
        <v>138</v>
      </c>
      <c r="D150" s="53" t="s">
        <v>260</v>
      </c>
      <c r="E150" s="14" t="s">
        <v>401</v>
      </c>
      <c r="F150" s="5">
        <v>41821</v>
      </c>
      <c r="G150" s="5">
        <v>44593</v>
      </c>
      <c r="H150" s="53">
        <v>92</v>
      </c>
      <c r="I150" s="15" t="s">
        <v>259</v>
      </c>
      <c r="J150" s="53" t="s">
        <v>261</v>
      </c>
      <c r="K150" s="53" t="s">
        <v>262</v>
      </c>
      <c r="L150" s="53">
        <v>1</v>
      </c>
    </row>
    <row r="151" spans="1:12">
      <c r="A151" s="53" t="s">
        <v>139</v>
      </c>
      <c r="D151" s="53" t="s">
        <v>260</v>
      </c>
      <c r="E151" s="14" t="s">
        <v>402</v>
      </c>
      <c r="F151" s="5">
        <v>41821</v>
      </c>
      <c r="G151" s="5">
        <v>44593</v>
      </c>
      <c r="H151" s="53">
        <v>92</v>
      </c>
      <c r="I151" s="15" t="s">
        <v>259</v>
      </c>
      <c r="J151" s="53" t="s">
        <v>261</v>
      </c>
      <c r="K151" s="53" t="s">
        <v>262</v>
      </c>
      <c r="L151" s="53">
        <v>1</v>
      </c>
    </row>
    <row r="152" spans="1:12">
      <c r="A152" s="53" t="s">
        <v>140</v>
      </c>
      <c r="D152" s="53" t="s">
        <v>260</v>
      </c>
      <c r="E152" s="14" t="s">
        <v>403</v>
      </c>
      <c r="F152" s="5">
        <v>41821</v>
      </c>
      <c r="G152" s="5">
        <v>44593</v>
      </c>
      <c r="H152" s="53">
        <v>92</v>
      </c>
      <c r="I152" s="15" t="s">
        <v>259</v>
      </c>
      <c r="J152" s="53" t="s">
        <v>261</v>
      </c>
      <c r="K152" s="53" t="s">
        <v>262</v>
      </c>
      <c r="L152" s="53">
        <v>1</v>
      </c>
    </row>
    <row r="153" spans="1:12">
      <c r="A153" s="53" t="s">
        <v>141</v>
      </c>
      <c r="D153" s="53" t="s">
        <v>260</v>
      </c>
      <c r="E153" s="14" t="s">
        <v>404</v>
      </c>
      <c r="F153" s="5">
        <v>41821</v>
      </c>
      <c r="G153" s="5">
        <v>44593</v>
      </c>
      <c r="H153" s="53">
        <v>92</v>
      </c>
      <c r="I153" s="15" t="s">
        <v>259</v>
      </c>
      <c r="J153" s="53" t="s">
        <v>261</v>
      </c>
      <c r="K153" s="53" t="s">
        <v>262</v>
      </c>
      <c r="L153" s="53">
        <v>1</v>
      </c>
    </row>
    <row r="154" spans="1:12">
      <c r="A154" s="53" t="s">
        <v>142</v>
      </c>
      <c r="D154" s="53" t="s">
        <v>260</v>
      </c>
      <c r="E154" s="14" t="s">
        <v>405</v>
      </c>
      <c r="F154" s="5">
        <v>41821</v>
      </c>
      <c r="G154" s="5">
        <v>44593</v>
      </c>
      <c r="H154" s="53">
        <v>92</v>
      </c>
      <c r="I154" s="15" t="s">
        <v>259</v>
      </c>
      <c r="J154" s="53" t="s">
        <v>261</v>
      </c>
      <c r="K154" s="53" t="s">
        <v>262</v>
      </c>
      <c r="L154" s="53">
        <v>1</v>
      </c>
    </row>
    <row r="155" spans="1:12">
      <c r="A155" s="53" t="s">
        <v>143</v>
      </c>
      <c r="D155" s="53" t="s">
        <v>260</v>
      </c>
      <c r="E155" s="14" t="s">
        <v>406</v>
      </c>
      <c r="F155" s="5">
        <v>41821</v>
      </c>
      <c r="G155" s="5">
        <v>44593</v>
      </c>
      <c r="H155" s="53">
        <v>92</v>
      </c>
      <c r="I155" s="15" t="s">
        <v>259</v>
      </c>
      <c r="J155" s="53" t="s">
        <v>261</v>
      </c>
      <c r="K155" s="53" t="s">
        <v>262</v>
      </c>
      <c r="L155" s="53">
        <v>1</v>
      </c>
    </row>
    <row r="156" spans="1:12">
      <c r="A156" s="53" t="s">
        <v>144</v>
      </c>
      <c r="D156" s="53" t="s">
        <v>260</v>
      </c>
      <c r="E156" s="14" t="s">
        <v>407</v>
      </c>
      <c r="F156" s="5">
        <v>41821</v>
      </c>
      <c r="G156" s="5">
        <v>44593</v>
      </c>
      <c r="H156" s="53">
        <v>92</v>
      </c>
      <c r="I156" s="15" t="s">
        <v>259</v>
      </c>
      <c r="J156" s="53" t="s">
        <v>261</v>
      </c>
      <c r="K156" s="53" t="s">
        <v>262</v>
      </c>
      <c r="L156" s="53">
        <v>1</v>
      </c>
    </row>
    <row r="157" spans="1:12">
      <c r="A157" s="53" t="s">
        <v>145</v>
      </c>
      <c r="D157" s="53" t="s">
        <v>260</v>
      </c>
      <c r="E157" s="14" t="s">
        <v>408</v>
      </c>
      <c r="F157" s="5">
        <v>41821</v>
      </c>
      <c r="G157" s="5">
        <v>44593</v>
      </c>
      <c r="H157" s="53">
        <v>92</v>
      </c>
      <c r="I157" s="15" t="s">
        <v>259</v>
      </c>
      <c r="J157" s="53" t="s">
        <v>261</v>
      </c>
      <c r="K157" s="53" t="s">
        <v>262</v>
      </c>
      <c r="L157" s="53">
        <v>1</v>
      </c>
    </row>
    <row r="158" spans="1:12">
      <c r="A158" s="53" t="s">
        <v>146</v>
      </c>
      <c r="D158" s="53" t="s">
        <v>260</v>
      </c>
      <c r="E158" s="14" t="s">
        <v>409</v>
      </c>
      <c r="F158" s="5">
        <v>41821</v>
      </c>
      <c r="G158" s="5">
        <v>44593</v>
      </c>
      <c r="H158" s="53">
        <v>92</v>
      </c>
      <c r="I158" s="15" t="s">
        <v>259</v>
      </c>
      <c r="J158" s="53" t="s">
        <v>261</v>
      </c>
      <c r="K158" s="53" t="s">
        <v>262</v>
      </c>
      <c r="L158" s="53">
        <v>1</v>
      </c>
    </row>
    <row r="159" spans="1:12">
      <c r="A159" s="53" t="s">
        <v>147</v>
      </c>
      <c r="D159" s="53" t="s">
        <v>260</v>
      </c>
      <c r="E159" s="14" t="s">
        <v>410</v>
      </c>
      <c r="F159" s="5">
        <v>41821</v>
      </c>
      <c r="G159" s="5">
        <v>44593</v>
      </c>
      <c r="H159" s="53">
        <v>92</v>
      </c>
      <c r="I159" s="15" t="s">
        <v>259</v>
      </c>
      <c r="J159" s="53" t="s">
        <v>261</v>
      </c>
      <c r="K159" s="53" t="s">
        <v>262</v>
      </c>
      <c r="L159" s="53">
        <v>1</v>
      </c>
    </row>
    <row r="160" spans="1:12">
      <c r="A160" s="53" t="s">
        <v>148</v>
      </c>
      <c r="D160" s="53" t="s">
        <v>260</v>
      </c>
      <c r="E160" s="14" t="s">
        <v>411</v>
      </c>
      <c r="F160" s="5">
        <v>41821</v>
      </c>
      <c r="G160" s="5">
        <v>44593</v>
      </c>
      <c r="H160" s="53">
        <v>92</v>
      </c>
      <c r="I160" s="15" t="s">
        <v>259</v>
      </c>
      <c r="J160" s="53" t="s">
        <v>261</v>
      </c>
      <c r="K160" s="53" t="s">
        <v>262</v>
      </c>
      <c r="L160" s="53">
        <v>1</v>
      </c>
    </row>
    <row r="161" spans="1:12">
      <c r="A161" s="53" t="s">
        <v>149</v>
      </c>
      <c r="D161" s="53" t="s">
        <v>260</v>
      </c>
      <c r="E161" s="14" t="s">
        <v>412</v>
      </c>
      <c r="F161" s="5">
        <v>41821</v>
      </c>
      <c r="G161" s="5">
        <v>44593</v>
      </c>
      <c r="H161" s="53">
        <v>92</v>
      </c>
      <c r="I161" s="15" t="s">
        <v>259</v>
      </c>
      <c r="J161" s="53" t="s">
        <v>261</v>
      </c>
      <c r="K161" s="53" t="s">
        <v>262</v>
      </c>
      <c r="L161" s="53">
        <v>1</v>
      </c>
    </row>
    <row r="162" spans="1:12">
      <c r="A162" s="53" t="s">
        <v>150</v>
      </c>
      <c r="D162" s="53" t="s">
        <v>260</v>
      </c>
      <c r="E162" s="14" t="s">
        <v>413</v>
      </c>
      <c r="F162" s="5">
        <v>41821</v>
      </c>
      <c r="G162" s="5">
        <v>44593</v>
      </c>
      <c r="H162" s="53">
        <v>92</v>
      </c>
      <c r="I162" s="15" t="s">
        <v>259</v>
      </c>
      <c r="J162" s="53" t="s">
        <v>261</v>
      </c>
      <c r="K162" s="53" t="s">
        <v>262</v>
      </c>
      <c r="L162" s="53">
        <v>1</v>
      </c>
    </row>
    <row r="163" spans="1:12">
      <c r="A163" s="53" t="s">
        <v>151</v>
      </c>
      <c r="D163" s="53" t="s">
        <v>260</v>
      </c>
      <c r="E163" s="14" t="s">
        <v>414</v>
      </c>
      <c r="F163" s="5">
        <v>41821</v>
      </c>
      <c r="G163" s="5">
        <v>44593</v>
      </c>
      <c r="H163" s="53">
        <v>92</v>
      </c>
      <c r="I163" s="15" t="s">
        <v>259</v>
      </c>
      <c r="J163" s="53" t="s">
        <v>261</v>
      </c>
      <c r="K163" s="53" t="s">
        <v>262</v>
      </c>
      <c r="L163" s="53">
        <v>1</v>
      </c>
    </row>
    <row r="164" spans="1:12">
      <c r="A164" s="53" t="s">
        <v>152</v>
      </c>
      <c r="D164" s="53" t="s">
        <v>260</v>
      </c>
      <c r="E164" s="14" t="s">
        <v>415</v>
      </c>
      <c r="F164" s="5">
        <v>41821</v>
      </c>
      <c r="G164" s="5">
        <v>44593</v>
      </c>
      <c r="H164" s="53">
        <v>92</v>
      </c>
      <c r="I164" s="15" t="s">
        <v>259</v>
      </c>
      <c r="J164" s="53" t="s">
        <v>261</v>
      </c>
      <c r="K164" s="53" t="s">
        <v>262</v>
      </c>
      <c r="L164" s="53">
        <v>1</v>
      </c>
    </row>
    <row r="165" spans="1:12">
      <c r="A165" s="53" t="s">
        <v>153</v>
      </c>
      <c r="D165" s="53" t="s">
        <v>260</v>
      </c>
      <c r="E165" s="14" t="s">
        <v>416</v>
      </c>
      <c r="F165" s="5">
        <v>41821</v>
      </c>
      <c r="G165" s="5">
        <v>44593</v>
      </c>
      <c r="H165" s="53">
        <v>92</v>
      </c>
      <c r="I165" s="15" t="s">
        <v>259</v>
      </c>
      <c r="J165" s="53" t="s">
        <v>261</v>
      </c>
      <c r="K165" s="53" t="s">
        <v>262</v>
      </c>
      <c r="L165" s="53">
        <v>1</v>
      </c>
    </row>
    <row r="166" spans="1:12">
      <c r="A166" s="53" t="s">
        <v>154</v>
      </c>
      <c r="D166" s="53" t="s">
        <v>260</v>
      </c>
      <c r="E166" s="14" t="s">
        <v>417</v>
      </c>
      <c r="F166" s="5">
        <v>41821</v>
      </c>
      <c r="G166" s="5">
        <v>44593</v>
      </c>
      <c r="H166" s="53">
        <v>92</v>
      </c>
      <c r="I166" s="15" t="s">
        <v>259</v>
      </c>
      <c r="J166" s="53" t="s">
        <v>261</v>
      </c>
      <c r="K166" s="53" t="s">
        <v>262</v>
      </c>
      <c r="L166" s="53">
        <v>1</v>
      </c>
    </row>
    <row r="167" spans="1:12">
      <c r="A167" s="53" t="s">
        <v>155</v>
      </c>
      <c r="D167" s="53" t="s">
        <v>260</v>
      </c>
      <c r="E167" s="14" t="s">
        <v>418</v>
      </c>
      <c r="F167" s="5">
        <v>41821</v>
      </c>
      <c r="G167" s="5">
        <v>44593</v>
      </c>
      <c r="H167" s="53">
        <v>92</v>
      </c>
      <c r="I167" s="15" t="s">
        <v>259</v>
      </c>
      <c r="J167" s="53" t="s">
        <v>261</v>
      </c>
      <c r="K167" s="53" t="s">
        <v>262</v>
      </c>
      <c r="L167" s="53">
        <v>1</v>
      </c>
    </row>
    <row r="168" spans="1:12">
      <c r="A168" s="53" t="s">
        <v>156</v>
      </c>
      <c r="D168" s="53" t="s">
        <v>260</v>
      </c>
      <c r="E168" s="14" t="s">
        <v>419</v>
      </c>
      <c r="F168" s="5">
        <v>41821</v>
      </c>
      <c r="G168" s="5">
        <v>44593</v>
      </c>
      <c r="H168" s="53">
        <v>92</v>
      </c>
      <c r="I168" s="15" t="s">
        <v>259</v>
      </c>
      <c r="J168" s="53" t="s">
        <v>261</v>
      </c>
      <c r="K168" s="53" t="s">
        <v>262</v>
      </c>
      <c r="L168" s="53">
        <v>1</v>
      </c>
    </row>
    <row r="169" spans="1:12">
      <c r="A169" s="53" t="s">
        <v>157</v>
      </c>
      <c r="D169" s="53" t="s">
        <v>260</v>
      </c>
      <c r="E169" s="14" t="s">
        <v>420</v>
      </c>
      <c r="F169" s="5">
        <v>41821</v>
      </c>
      <c r="G169" s="5">
        <v>44593</v>
      </c>
      <c r="H169" s="53">
        <v>92</v>
      </c>
      <c r="I169" s="15" t="s">
        <v>259</v>
      </c>
      <c r="J169" s="53" t="s">
        <v>261</v>
      </c>
      <c r="K169" s="53" t="s">
        <v>262</v>
      </c>
      <c r="L169" s="53">
        <v>1</v>
      </c>
    </row>
    <row r="170" spans="1:12">
      <c r="A170" s="53" t="s">
        <v>158</v>
      </c>
      <c r="D170" s="53" t="s">
        <v>260</v>
      </c>
      <c r="E170" s="14" t="s">
        <v>421</v>
      </c>
      <c r="F170" s="5">
        <v>41821</v>
      </c>
      <c r="G170" s="5">
        <v>44593</v>
      </c>
      <c r="H170" s="53">
        <v>92</v>
      </c>
      <c r="I170" s="15" t="s">
        <v>259</v>
      </c>
      <c r="J170" s="53" t="s">
        <v>261</v>
      </c>
      <c r="K170" s="53" t="s">
        <v>262</v>
      </c>
      <c r="L170" s="53">
        <v>1</v>
      </c>
    </row>
    <row r="171" spans="1:12">
      <c r="A171" s="53" t="s">
        <v>159</v>
      </c>
      <c r="D171" s="53" t="s">
        <v>260</v>
      </c>
      <c r="E171" s="14" t="s">
        <v>422</v>
      </c>
      <c r="F171" s="5">
        <v>41821</v>
      </c>
      <c r="G171" s="5">
        <v>44593</v>
      </c>
      <c r="H171" s="53">
        <v>92</v>
      </c>
      <c r="I171" s="15" t="s">
        <v>259</v>
      </c>
      <c r="J171" s="53" t="s">
        <v>261</v>
      </c>
      <c r="K171" s="53" t="s">
        <v>262</v>
      </c>
      <c r="L171" s="53">
        <v>1</v>
      </c>
    </row>
    <row r="172" spans="1:12">
      <c r="A172" s="53" t="s">
        <v>160</v>
      </c>
      <c r="D172" s="53" t="s">
        <v>260</v>
      </c>
      <c r="E172" s="14" t="s">
        <v>423</v>
      </c>
      <c r="F172" s="5">
        <v>41821</v>
      </c>
      <c r="G172" s="5">
        <v>44593</v>
      </c>
      <c r="H172" s="53">
        <v>92</v>
      </c>
      <c r="I172" s="15" t="s">
        <v>259</v>
      </c>
      <c r="J172" s="53" t="s">
        <v>261</v>
      </c>
      <c r="K172" s="53" t="s">
        <v>262</v>
      </c>
      <c r="L172" s="53">
        <v>1</v>
      </c>
    </row>
    <row r="173" spans="1:12">
      <c r="A173" s="53" t="s">
        <v>161</v>
      </c>
      <c r="D173" s="53" t="s">
        <v>260</v>
      </c>
      <c r="E173" s="14" t="s">
        <v>424</v>
      </c>
      <c r="F173" s="5">
        <v>41821</v>
      </c>
      <c r="G173" s="5">
        <v>44593</v>
      </c>
      <c r="H173" s="53">
        <v>92</v>
      </c>
      <c r="I173" s="15" t="s">
        <v>259</v>
      </c>
      <c r="J173" s="53" t="s">
        <v>261</v>
      </c>
      <c r="K173" s="53" t="s">
        <v>262</v>
      </c>
      <c r="L173" s="53">
        <v>1</v>
      </c>
    </row>
    <row r="174" spans="1:12">
      <c r="A174" s="53" t="s">
        <v>162</v>
      </c>
      <c r="D174" s="53" t="s">
        <v>260</v>
      </c>
      <c r="E174" s="14" t="s">
        <v>425</v>
      </c>
      <c r="F174" s="5">
        <v>41821</v>
      </c>
      <c r="G174" s="5">
        <v>44593</v>
      </c>
      <c r="H174" s="53">
        <v>92</v>
      </c>
      <c r="I174" s="15" t="s">
        <v>259</v>
      </c>
      <c r="J174" s="53" t="s">
        <v>261</v>
      </c>
      <c r="K174" s="53" t="s">
        <v>262</v>
      </c>
      <c r="L174" s="53">
        <v>1</v>
      </c>
    </row>
    <row r="175" spans="1:12">
      <c r="A175" s="53" t="s">
        <v>163</v>
      </c>
      <c r="D175" s="53" t="s">
        <v>260</v>
      </c>
      <c r="E175" s="14" t="s">
        <v>426</v>
      </c>
      <c r="F175" s="5">
        <v>41821</v>
      </c>
      <c r="G175" s="5">
        <v>44593</v>
      </c>
      <c r="H175" s="53">
        <v>92</v>
      </c>
      <c r="I175" s="15" t="s">
        <v>259</v>
      </c>
      <c r="J175" s="53" t="s">
        <v>261</v>
      </c>
      <c r="K175" s="53" t="s">
        <v>262</v>
      </c>
      <c r="L175" s="53">
        <v>1</v>
      </c>
    </row>
    <row r="176" spans="1:12">
      <c r="A176" s="53" t="s">
        <v>164</v>
      </c>
      <c r="D176" s="53" t="s">
        <v>260</v>
      </c>
      <c r="E176" s="14" t="s">
        <v>427</v>
      </c>
      <c r="F176" s="5">
        <v>41821</v>
      </c>
      <c r="G176" s="5">
        <v>44593</v>
      </c>
      <c r="H176" s="53">
        <v>92</v>
      </c>
      <c r="I176" s="15" t="s">
        <v>259</v>
      </c>
      <c r="J176" s="53" t="s">
        <v>261</v>
      </c>
      <c r="K176" s="53" t="s">
        <v>262</v>
      </c>
      <c r="L176" s="53">
        <v>1</v>
      </c>
    </row>
    <row r="177" spans="1:12">
      <c r="A177" s="53" t="s">
        <v>165</v>
      </c>
      <c r="D177" s="53" t="s">
        <v>260</v>
      </c>
      <c r="E177" s="14" t="s">
        <v>428</v>
      </c>
      <c r="F177" s="5">
        <v>41821</v>
      </c>
      <c r="G177" s="5">
        <v>44593</v>
      </c>
      <c r="H177" s="53">
        <v>92</v>
      </c>
      <c r="I177" s="15" t="s">
        <v>259</v>
      </c>
      <c r="J177" s="53" t="s">
        <v>261</v>
      </c>
      <c r="K177" s="53" t="s">
        <v>262</v>
      </c>
      <c r="L177" s="53">
        <v>1</v>
      </c>
    </row>
    <row r="178" spans="1:12">
      <c r="A178" s="53" t="s">
        <v>166</v>
      </c>
      <c r="D178" s="53" t="s">
        <v>260</v>
      </c>
      <c r="E178" s="14" t="s">
        <v>429</v>
      </c>
      <c r="F178" s="5">
        <v>41821</v>
      </c>
      <c r="G178" s="5">
        <v>44593</v>
      </c>
      <c r="H178" s="53">
        <v>92</v>
      </c>
      <c r="I178" s="15" t="s">
        <v>259</v>
      </c>
      <c r="J178" s="53" t="s">
        <v>261</v>
      </c>
      <c r="K178" s="53" t="s">
        <v>262</v>
      </c>
      <c r="L178" s="53">
        <v>1</v>
      </c>
    </row>
    <row r="179" spans="1:12">
      <c r="A179" s="53" t="s">
        <v>167</v>
      </c>
      <c r="D179" s="53" t="s">
        <v>260</v>
      </c>
      <c r="E179" s="14" t="s">
        <v>430</v>
      </c>
      <c r="F179" s="5">
        <v>41821</v>
      </c>
      <c r="G179" s="5">
        <v>44593</v>
      </c>
      <c r="H179" s="53">
        <v>92</v>
      </c>
      <c r="I179" s="15" t="s">
        <v>259</v>
      </c>
      <c r="J179" s="53" t="s">
        <v>261</v>
      </c>
      <c r="K179" s="53" t="s">
        <v>262</v>
      </c>
      <c r="L179" s="53">
        <v>1</v>
      </c>
    </row>
    <row r="180" spans="1:12">
      <c r="A180" s="53" t="s">
        <v>168</v>
      </c>
      <c r="D180" s="53" t="s">
        <v>260</v>
      </c>
      <c r="E180" s="14" t="s">
        <v>431</v>
      </c>
      <c r="F180" s="5">
        <v>41821</v>
      </c>
      <c r="G180" s="5">
        <v>44593</v>
      </c>
      <c r="H180" s="53">
        <v>92</v>
      </c>
      <c r="I180" s="15" t="s">
        <v>259</v>
      </c>
      <c r="J180" s="53" t="s">
        <v>261</v>
      </c>
      <c r="K180" s="53" t="s">
        <v>262</v>
      </c>
      <c r="L180" s="53">
        <v>1</v>
      </c>
    </row>
    <row r="181" spans="1:12">
      <c r="A181" s="53" t="s">
        <v>169</v>
      </c>
      <c r="D181" s="53" t="s">
        <v>260</v>
      </c>
      <c r="E181" s="14" t="s">
        <v>432</v>
      </c>
      <c r="F181" s="5">
        <v>41821</v>
      </c>
      <c r="G181" s="5">
        <v>44593</v>
      </c>
      <c r="H181" s="53">
        <v>92</v>
      </c>
      <c r="I181" s="15" t="s">
        <v>259</v>
      </c>
      <c r="J181" s="53" t="s">
        <v>261</v>
      </c>
      <c r="K181" s="53" t="s">
        <v>262</v>
      </c>
      <c r="L181" s="53">
        <v>1</v>
      </c>
    </row>
    <row r="182" spans="1:12">
      <c r="A182" s="53" t="s">
        <v>170</v>
      </c>
      <c r="D182" s="53" t="s">
        <v>260</v>
      </c>
      <c r="E182" s="14" t="s">
        <v>433</v>
      </c>
      <c r="F182" s="5">
        <v>41821</v>
      </c>
      <c r="G182" s="5">
        <v>44593</v>
      </c>
      <c r="H182" s="53">
        <v>92</v>
      </c>
      <c r="I182" s="15" t="s">
        <v>259</v>
      </c>
      <c r="J182" s="53" t="s">
        <v>261</v>
      </c>
      <c r="K182" s="53" t="s">
        <v>262</v>
      </c>
      <c r="L182" s="53">
        <v>1</v>
      </c>
    </row>
    <row r="183" spans="1:12">
      <c r="A183" s="53" t="s">
        <v>171</v>
      </c>
      <c r="D183" s="53" t="s">
        <v>260</v>
      </c>
      <c r="E183" s="14" t="s">
        <v>434</v>
      </c>
      <c r="F183" s="5">
        <v>41821</v>
      </c>
      <c r="G183" s="5">
        <v>44593</v>
      </c>
      <c r="H183" s="53">
        <v>92</v>
      </c>
      <c r="I183" s="15" t="s">
        <v>259</v>
      </c>
      <c r="J183" s="53" t="s">
        <v>261</v>
      </c>
      <c r="K183" s="53" t="s">
        <v>262</v>
      </c>
      <c r="L183" s="53">
        <v>1</v>
      </c>
    </row>
    <row r="184" spans="1:12">
      <c r="A184" s="53" t="s">
        <v>172</v>
      </c>
      <c r="D184" s="53" t="s">
        <v>260</v>
      </c>
      <c r="E184" s="14" t="s">
        <v>435</v>
      </c>
      <c r="F184" s="5">
        <v>41821</v>
      </c>
      <c r="G184" s="5">
        <v>44593</v>
      </c>
      <c r="H184" s="53">
        <v>92</v>
      </c>
      <c r="I184" s="15" t="s">
        <v>259</v>
      </c>
      <c r="J184" s="53" t="s">
        <v>261</v>
      </c>
      <c r="K184" s="53" t="s">
        <v>262</v>
      </c>
      <c r="L184" s="53">
        <v>1</v>
      </c>
    </row>
    <row r="185" spans="1:12">
      <c r="A185" s="53" t="s">
        <v>173</v>
      </c>
      <c r="D185" s="53" t="s">
        <v>260</v>
      </c>
      <c r="E185" s="14" t="s">
        <v>436</v>
      </c>
      <c r="F185" s="5">
        <v>41821</v>
      </c>
      <c r="G185" s="5">
        <v>44593</v>
      </c>
      <c r="H185" s="53">
        <v>92</v>
      </c>
      <c r="I185" s="15" t="s">
        <v>259</v>
      </c>
      <c r="J185" s="53" t="s">
        <v>261</v>
      </c>
      <c r="K185" s="53" t="s">
        <v>262</v>
      </c>
      <c r="L185" s="53">
        <v>1</v>
      </c>
    </row>
    <row r="186" spans="1:12">
      <c r="A186" s="53" t="s">
        <v>174</v>
      </c>
      <c r="D186" s="53" t="s">
        <v>260</v>
      </c>
      <c r="E186" s="14" t="s">
        <v>437</v>
      </c>
      <c r="F186" s="5">
        <v>41821</v>
      </c>
      <c r="G186" s="5">
        <v>44593</v>
      </c>
      <c r="H186" s="53">
        <v>92</v>
      </c>
      <c r="I186" s="15" t="s">
        <v>259</v>
      </c>
      <c r="J186" s="53" t="s">
        <v>261</v>
      </c>
      <c r="K186" s="53" t="s">
        <v>262</v>
      </c>
      <c r="L186" s="53">
        <v>1</v>
      </c>
    </row>
    <row r="187" spans="1:12">
      <c r="A187" s="53" t="s">
        <v>175</v>
      </c>
      <c r="D187" s="53" t="s">
        <v>260</v>
      </c>
      <c r="E187" s="14" t="s">
        <v>438</v>
      </c>
      <c r="F187" s="5">
        <v>41821</v>
      </c>
      <c r="G187" s="5">
        <v>44593</v>
      </c>
      <c r="H187" s="53">
        <v>92</v>
      </c>
      <c r="I187" s="15" t="s">
        <v>259</v>
      </c>
      <c r="J187" s="53" t="s">
        <v>261</v>
      </c>
      <c r="K187" s="53" t="s">
        <v>262</v>
      </c>
      <c r="L187" s="53">
        <v>1</v>
      </c>
    </row>
    <row r="188" spans="1:12">
      <c r="A188" s="53" t="s">
        <v>176</v>
      </c>
      <c r="D188" s="53" t="s">
        <v>260</v>
      </c>
      <c r="E188" s="14" t="s">
        <v>439</v>
      </c>
      <c r="F188" s="5">
        <v>41821</v>
      </c>
      <c r="G188" s="5">
        <v>44593</v>
      </c>
      <c r="H188" s="53">
        <v>92</v>
      </c>
      <c r="I188" s="15" t="s">
        <v>259</v>
      </c>
      <c r="J188" s="53" t="s">
        <v>261</v>
      </c>
      <c r="K188" s="53" t="s">
        <v>262</v>
      </c>
      <c r="L188" s="53">
        <v>1</v>
      </c>
    </row>
    <row r="189" spans="1:12">
      <c r="A189" s="53" t="s">
        <v>177</v>
      </c>
      <c r="D189" s="53" t="s">
        <v>260</v>
      </c>
      <c r="E189" s="14" t="s">
        <v>440</v>
      </c>
      <c r="F189" s="5">
        <v>41821</v>
      </c>
      <c r="G189" s="5">
        <v>44593</v>
      </c>
      <c r="H189" s="53">
        <v>92</v>
      </c>
      <c r="I189" s="15" t="s">
        <v>259</v>
      </c>
      <c r="J189" s="53" t="s">
        <v>261</v>
      </c>
      <c r="K189" s="53" t="s">
        <v>262</v>
      </c>
      <c r="L189" s="53">
        <v>1</v>
      </c>
    </row>
    <row r="190" spans="1:12">
      <c r="A190" s="53" t="s">
        <v>178</v>
      </c>
      <c r="D190" s="53" t="s">
        <v>260</v>
      </c>
      <c r="E190" s="14" t="s">
        <v>441</v>
      </c>
      <c r="F190" s="5">
        <v>41821</v>
      </c>
      <c r="G190" s="5">
        <v>44593</v>
      </c>
      <c r="H190" s="53">
        <v>92</v>
      </c>
      <c r="I190" s="15" t="s">
        <v>259</v>
      </c>
      <c r="J190" s="53" t="s">
        <v>261</v>
      </c>
      <c r="K190" s="53" t="s">
        <v>262</v>
      </c>
      <c r="L190" s="53">
        <v>1</v>
      </c>
    </row>
    <row r="191" spans="1:12">
      <c r="A191" s="53" t="s">
        <v>179</v>
      </c>
      <c r="D191" s="53" t="s">
        <v>260</v>
      </c>
      <c r="E191" s="14" t="s">
        <v>442</v>
      </c>
      <c r="F191" s="5">
        <v>41821</v>
      </c>
      <c r="G191" s="5">
        <v>44593</v>
      </c>
      <c r="H191" s="53">
        <v>92</v>
      </c>
      <c r="I191" s="15" t="s">
        <v>259</v>
      </c>
      <c r="J191" s="53" t="s">
        <v>261</v>
      </c>
      <c r="K191" s="53" t="s">
        <v>262</v>
      </c>
      <c r="L191" s="53">
        <v>1</v>
      </c>
    </row>
    <row r="192" spans="1:12">
      <c r="A192" s="53" t="s">
        <v>180</v>
      </c>
      <c r="D192" s="53" t="s">
        <v>260</v>
      </c>
      <c r="E192" s="14" t="s">
        <v>443</v>
      </c>
      <c r="F192" s="5">
        <v>41821</v>
      </c>
      <c r="G192" s="5">
        <v>44593</v>
      </c>
      <c r="H192" s="53">
        <v>92</v>
      </c>
      <c r="I192" s="15" t="s">
        <v>259</v>
      </c>
      <c r="J192" s="53" t="s">
        <v>261</v>
      </c>
      <c r="K192" s="53" t="s">
        <v>262</v>
      </c>
      <c r="L192" s="53">
        <v>1</v>
      </c>
    </row>
    <row r="193" spans="1:12">
      <c r="A193" s="53" t="s">
        <v>181</v>
      </c>
      <c r="D193" s="53" t="s">
        <v>260</v>
      </c>
      <c r="E193" s="14" t="s">
        <v>444</v>
      </c>
      <c r="F193" s="5">
        <v>41821</v>
      </c>
      <c r="G193" s="5">
        <v>44593</v>
      </c>
      <c r="H193" s="53">
        <v>92</v>
      </c>
      <c r="I193" s="15" t="s">
        <v>259</v>
      </c>
      <c r="J193" s="53" t="s">
        <v>261</v>
      </c>
      <c r="K193" s="53" t="s">
        <v>262</v>
      </c>
      <c r="L193" s="53">
        <v>1</v>
      </c>
    </row>
    <row r="194" spans="1:12">
      <c r="A194" s="53" t="s">
        <v>182</v>
      </c>
      <c r="D194" s="53" t="s">
        <v>260</v>
      </c>
      <c r="E194" s="14" t="s">
        <v>445</v>
      </c>
      <c r="F194" s="5">
        <v>41821</v>
      </c>
      <c r="G194" s="5">
        <v>44593</v>
      </c>
      <c r="H194" s="53">
        <v>92</v>
      </c>
      <c r="I194" s="15" t="s">
        <v>259</v>
      </c>
      <c r="J194" s="53" t="s">
        <v>261</v>
      </c>
      <c r="K194" s="53" t="s">
        <v>262</v>
      </c>
      <c r="L194" s="53">
        <v>1</v>
      </c>
    </row>
    <row r="195" spans="1:12">
      <c r="A195" s="53" t="s">
        <v>183</v>
      </c>
      <c r="D195" s="53" t="s">
        <v>260</v>
      </c>
      <c r="E195" s="14" t="s">
        <v>446</v>
      </c>
      <c r="F195" s="5">
        <v>41821</v>
      </c>
      <c r="G195" s="5">
        <v>44593</v>
      </c>
      <c r="H195" s="53">
        <v>92</v>
      </c>
      <c r="I195" s="15" t="s">
        <v>259</v>
      </c>
      <c r="J195" s="53" t="s">
        <v>261</v>
      </c>
      <c r="K195" s="53" t="s">
        <v>262</v>
      </c>
      <c r="L195" s="53">
        <v>1</v>
      </c>
    </row>
    <row r="196" spans="1:12">
      <c r="A196" s="53" t="s">
        <v>184</v>
      </c>
      <c r="D196" s="53" t="s">
        <v>260</v>
      </c>
      <c r="E196" s="14" t="s">
        <v>447</v>
      </c>
      <c r="F196" s="5">
        <v>41821</v>
      </c>
      <c r="G196" s="5">
        <v>44593</v>
      </c>
      <c r="H196" s="53">
        <v>92</v>
      </c>
      <c r="I196" s="15" t="s">
        <v>259</v>
      </c>
      <c r="J196" s="53" t="s">
        <v>261</v>
      </c>
      <c r="K196" s="53" t="s">
        <v>262</v>
      </c>
      <c r="L196" s="53">
        <v>1</v>
      </c>
    </row>
    <row r="197" spans="1:12">
      <c r="A197" s="53" t="s">
        <v>185</v>
      </c>
      <c r="D197" s="53" t="s">
        <v>260</v>
      </c>
      <c r="E197" s="14" t="s">
        <v>448</v>
      </c>
      <c r="F197" s="5">
        <v>41821</v>
      </c>
      <c r="G197" s="5">
        <v>44593</v>
      </c>
      <c r="H197" s="53">
        <v>92</v>
      </c>
      <c r="I197" s="15" t="s">
        <v>259</v>
      </c>
      <c r="J197" s="53" t="s">
        <v>261</v>
      </c>
      <c r="K197" s="53" t="s">
        <v>262</v>
      </c>
      <c r="L197" s="53">
        <v>1</v>
      </c>
    </row>
    <row r="198" spans="1:12">
      <c r="A198" s="53" t="s">
        <v>186</v>
      </c>
      <c r="D198" s="53" t="s">
        <v>260</v>
      </c>
      <c r="E198" s="14" t="s">
        <v>449</v>
      </c>
      <c r="F198" s="5">
        <v>41821</v>
      </c>
      <c r="G198" s="5">
        <v>44593</v>
      </c>
      <c r="H198" s="53">
        <v>92</v>
      </c>
      <c r="I198" s="15" t="s">
        <v>259</v>
      </c>
      <c r="J198" s="53" t="s">
        <v>261</v>
      </c>
      <c r="K198" s="53" t="s">
        <v>262</v>
      </c>
      <c r="L198" s="53">
        <v>1</v>
      </c>
    </row>
    <row r="199" spans="1:12">
      <c r="A199" s="53" t="s">
        <v>187</v>
      </c>
      <c r="D199" s="53" t="s">
        <v>260</v>
      </c>
      <c r="E199" s="14" t="s">
        <v>450</v>
      </c>
      <c r="F199" s="5">
        <v>41821</v>
      </c>
      <c r="G199" s="5">
        <v>44593</v>
      </c>
      <c r="H199" s="53">
        <v>92</v>
      </c>
      <c r="I199" s="15" t="s">
        <v>259</v>
      </c>
      <c r="J199" s="53" t="s">
        <v>261</v>
      </c>
      <c r="K199" s="53" t="s">
        <v>262</v>
      </c>
      <c r="L199" s="53">
        <v>1</v>
      </c>
    </row>
    <row r="200" spans="1:12">
      <c r="A200" s="53" t="s">
        <v>188</v>
      </c>
      <c r="D200" s="53" t="s">
        <v>260</v>
      </c>
      <c r="E200" s="14" t="s">
        <v>451</v>
      </c>
      <c r="F200" s="5">
        <v>41821</v>
      </c>
      <c r="G200" s="5">
        <v>44593</v>
      </c>
      <c r="H200" s="53">
        <v>92</v>
      </c>
      <c r="I200" s="15" t="s">
        <v>259</v>
      </c>
      <c r="J200" s="53" t="s">
        <v>261</v>
      </c>
      <c r="K200" s="53" t="s">
        <v>262</v>
      </c>
      <c r="L200" s="53">
        <v>1</v>
      </c>
    </row>
    <row r="201" spans="1:12">
      <c r="A201" s="53" t="s">
        <v>189</v>
      </c>
      <c r="D201" s="53" t="s">
        <v>260</v>
      </c>
      <c r="E201" s="14" t="s">
        <v>452</v>
      </c>
      <c r="F201" s="5">
        <v>41821</v>
      </c>
      <c r="G201" s="5">
        <v>44593</v>
      </c>
      <c r="H201" s="53">
        <v>92</v>
      </c>
      <c r="I201" s="15" t="s">
        <v>259</v>
      </c>
      <c r="J201" s="53" t="s">
        <v>261</v>
      </c>
      <c r="K201" s="53" t="s">
        <v>262</v>
      </c>
      <c r="L201" s="53">
        <v>1</v>
      </c>
    </row>
    <row r="202" spans="1:12">
      <c r="A202" s="53" t="s">
        <v>190</v>
      </c>
      <c r="D202" s="53" t="s">
        <v>260</v>
      </c>
      <c r="E202" s="14" t="s">
        <v>453</v>
      </c>
      <c r="F202" s="5">
        <v>41821</v>
      </c>
      <c r="G202" s="5">
        <v>44593</v>
      </c>
      <c r="H202" s="53">
        <v>92</v>
      </c>
      <c r="I202" s="15" t="s">
        <v>259</v>
      </c>
      <c r="J202" s="53" t="s">
        <v>261</v>
      </c>
      <c r="K202" s="53" t="s">
        <v>262</v>
      </c>
      <c r="L202" s="53">
        <v>1</v>
      </c>
    </row>
    <row r="203" spans="1:12">
      <c r="A203" s="53" t="s">
        <v>191</v>
      </c>
      <c r="D203" s="53" t="s">
        <v>260</v>
      </c>
      <c r="E203" s="14" t="s">
        <v>454</v>
      </c>
      <c r="F203" s="5">
        <v>41821</v>
      </c>
      <c r="G203" s="5">
        <v>44593</v>
      </c>
      <c r="H203" s="53">
        <v>92</v>
      </c>
      <c r="I203" s="15" t="s">
        <v>259</v>
      </c>
      <c r="J203" s="53" t="s">
        <v>261</v>
      </c>
      <c r="K203" s="53" t="s">
        <v>262</v>
      </c>
      <c r="L203" s="53">
        <v>1</v>
      </c>
    </row>
    <row r="204" spans="1:12">
      <c r="A204" s="53" t="s">
        <v>192</v>
      </c>
      <c r="D204" s="53" t="s">
        <v>260</v>
      </c>
      <c r="E204" s="14" t="s">
        <v>455</v>
      </c>
      <c r="F204" s="5">
        <v>41821</v>
      </c>
      <c r="G204" s="5">
        <v>44593</v>
      </c>
      <c r="H204" s="53">
        <v>92</v>
      </c>
      <c r="I204" s="15" t="s">
        <v>259</v>
      </c>
      <c r="J204" s="53" t="s">
        <v>261</v>
      </c>
      <c r="K204" s="53" t="s">
        <v>262</v>
      </c>
      <c r="L204" s="53">
        <v>1</v>
      </c>
    </row>
    <row r="205" spans="1:12">
      <c r="A205" s="53" t="s">
        <v>193</v>
      </c>
      <c r="D205" s="53" t="s">
        <v>260</v>
      </c>
      <c r="E205" s="14" t="s">
        <v>456</v>
      </c>
      <c r="F205" s="5">
        <v>41821</v>
      </c>
      <c r="G205" s="5">
        <v>44593</v>
      </c>
      <c r="H205" s="53">
        <v>92</v>
      </c>
      <c r="I205" s="15" t="s">
        <v>259</v>
      </c>
      <c r="J205" s="53" t="s">
        <v>261</v>
      </c>
      <c r="K205" s="53" t="s">
        <v>262</v>
      </c>
      <c r="L205" s="53">
        <v>1</v>
      </c>
    </row>
    <row r="206" spans="1:12">
      <c r="A206" s="53" t="s">
        <v>194</v>
      </c>
      <c r="D206" s="53" t="s">
        <v>260</v>
      </c>
      <c r="E206" s="14" t="s">
        <v>457</v>
      </c>
      <c r="F206" s="5">
        <v>41821</v>
      </c>
      <c r="G206" s="5">
        <v>44593</v>
      </c>
      <c r="H206" s="53">
        <v>92</v>
      </c>
      <c r="I206" s="15" t="s">
        <v>259</v>
      </c>
      <c r="J206" s="53" t="s">
        <v>261</v>
      </c>
      <c r="K206" s="53" t="s">
        <v>262</v>
      </c>
      <c r="L206" s="53">
        <v>1</v>
      </c>
    </row>
    <row r="207" spans="1:12">
      <c r="A207" s="53" t="s">
        <v>195</v>
      </c>
      <c r="D207" s="53" t="s">
        <v>260</v>
      </c>
      <c r="E207" s="14" t="s">
        <v>458</v>
      </c>
      <c r="F207" s="5">
        <v>41821</v>
      </c>
      <c r="G207" s="5">
        <v>44593</v>
      </c>
      <c r="H207" s="53">
        <v>92</v>
      </c>
      <c r="I207" s="15" t="s">
        <v>259</v>
      </c>
      <c r="J207" s="53" t="s">
        <v>261</v>
      </c>
      <c r="K207" s="53" t="s">
        <v>262</v>
      </c>
      <c r="L207" s="53">
        <v>1</v>
      </c>
    </row>
    <row r="208" spans="1:12">
      <c r="A208" s="53" t="s">
        <v>196</v>
      </c>
      <c r="D208" s="53" t="s">
        <v>260</v>
      </c>
      <c r="E208" s="14" t="s">
        <v>459</v>
      </c>
      <c r="F208" s="5">
        <v>41821</v>
      </c>
      <c r="G208" s="5">
        <v>44593</v>
      </c>
      <c r="H208" s="53">
        <v>92</v>
      </c>
      <c r="I208" s="15" t="s">
        <v>259</v>
      </c>
      <c r="J208" s="53" t="s">
        <v>261</v>
      </c>
      <c r="K208" s="53" t="s">
        <v>262</v>
      </c>
      <c r="L208" s="53">
        <v>1</v>
      </c>
    </row>
    <row r="209" spans="1:12">
      <c r="A209" s="53" t="s">
        <v>197</v>
      </c>
      <c r="D209" s="53" t="s">
        <v>260</v>
      </c>
      <c r="E209" s="14" t="s">
        <v>460</v>
      </c>
      <c r="F209" s="5">
        <v>41821</v>
      </c>
      <c r="G209" s="5">
        <v>44593</v>
      </c>
      <c r="H209" s="53">
        <v>92</v>
      </c>
      <c r="I209" s="15" t="s">
        <v>259</v>
      </c>
      <c r="J209" s="53" t="s">
        <v>261</v>
      </c>
      <c r="K209" s="53" t="s">
        <v>262</v>
      </c>
      <c r="L209" s="53">
        <v>1</v>
      </c>
    </row>
    <row r="210" spans="1:12">
      <c r="A210" s="53" t="s">
        <v>198</v>
      </c>
      <c r="D210" s="53" t="s">
        <v>260</v>
      </c>
      <c r="E210" s="14" t="s">
        <v>461</v>
      </c>
      <c r="F210" s="5">
        <v>41821</v>
      </c>
      <c r="G210" s="5">
        <v>44593</v>
      </c>
      <c r="H210" s="53">
        <v>92</v>
      </c>
      <c r="I210" s="15" t="s">
        <v>259</v>
      </c>
      <c r="J210" s="53" t="s">
        <v>261</v>
      </c>
      <c r="K210" s="53" t="s">
        <v>262</v>
      </c>
      <c r="L210" s="53">
        <v>1</v>
      </c>
    </row>
    <row r="211" spans="1:12">
      <c r="A211" s="53" t="s">
        <v>199</v>
      </c>
      <c r="D211" s="53" t="s">
        <v>260</v>
      </c>
      <c r="E211" s="14" t="s">
        <v>462</v>
      </c>
      <c r="F211" s="5">
        <v>41821</v>
      </c>
      <c r="G211" s="5">
        <v>44593</v>
      </c>
      <c r="H211" s="53">
        <v>92</v>
      </c>
      <c r="I211" s="15" t="s">
        <v>259</v>
      </c>
      <c r="J211" s="53" t="s">
        <v>261</v>
      </c>
      <c r="K211" s="53" t="s">
        <v>262</v>
      </c>
      <c r="L211" s="53">
        <v>1</v>
      </c>
    </row>
    <row r="212" spans="1:12">
      <c r="A212" s="53" t="s">
        <v>200</v>
      </c>
      <c r="D212" s="53" t="s">
        <v>260</v>
      </c>
      <c r="E212" s="14" t="s">
        <v>463</v>
      </c>
      <c r="F212" s="5">
        <v>41821</v>
      </c>
      <c r="G212" s="5">
        <v>44593</v>
      </c>
      <c r="H212" s="53">
        <v>92</v>
      </c>
      <c r="I212" s="15" t="s">
        <v>259</v>
      </c>
      <c r="J212" s="53" t="s">
        <v>261</v>
      </c>
      <c r="K212" s="53" t="s">
        <v>262</v>
      </c>
      <c r="L212" s="53">
        <v>1</v>
      </c>
    </row>
    <row r="213" spans="1:12">
      <c r="A213" s="53" t="s">
        <v>201</v>
      </c>
      <c r="D213" s="53" t="s">
        <v>260</v>
      </c>
      <c r="E213" s="14" t="s">
        <v>464</v>
      </c>
      <c r="F213" s="5">
        <v>41821</v>
      </c>
      <c r="G213" s="5">
        <v>44593</v>
      </c>
      <c r="H213" s="53">
        <v>92</v>
      </c>
      <c r="I213" s="15" t="s">
        <v>259</v>
      </c>
      <c r="J213" s="53" t="s">
        <v>261</v>
      </c>
      <c r="K213" s="53" t="s">
        <v>262</v>
      </c>
      <c r="L213" s="53">
        <v>1</v>
      </c>
    </row>
    <row r="214" spans="1:12">
      <c r="A214" s="53" t="s">
        <v>202</v>
      </c>
      <c r="D214" s="53" t="s">
        <v>260</v>
      </c>
      <c r="E214" s="14" t="s">
        <v>465</v>
      </c>
      <c r="F214" s="5">
        <v>41821</v>
      </c>
      <c r="G214" s="5">
        <v>44593</v>
      </c>
      <c r="H214" s="53">
        <v>92</v>
      </c>
      <c r="I214" s="15" t="s">
        <v>259</v>
      </c>
      <c r="J214" s="53" t="s">
        <v>261</v>
      </c>
      <c r="K214" s="53" t="s">
        <v>262</v>
      </c>
      <c r="L214" s="53">
        <v>1</v>
      </c>
    </row>
    <row r="215" spans="1:12">
      <c r="A215" s="53" t="s">
        <v>203</v>
      </c>
      <c r="D215" s="53" t="s">
        <v>260</v>
      </c>
      <c r="E215" s="14" t="s">
        <v>466</v>
      </c>
      <c r="F215" s="5">
        <v>41821</v>
      </c>
      <c r="G215" s="5">
        <v>44593</v>
      </c>
      <c r="H215" s="53">
        <v>92</v>
      </c>
      <c r="I215" s="15" t="s">
        <v>259</v>
      </c>
      <c r="J215" s="53" t="s">
        <v>261</v>
      </c>
      <c r="K215" s="53" t="s">
        <v>262</v>
      </c>
      <c r="L215" s="53">
        <v>1</v>
      </c>
    </row>
    <row r="216" spans="1:12">
      <c r="A216" s="53" t="s">
        <v>204</v>
      </c>
      <c r="D216" s="53" t="s">
        <v>260</v>
      </c>
      <c r="E216" s="14" t="s">
        <v>467</v>
      </c>
      <c r="F216" s="5">
        <v>41821</v>
      </c>
      <c r="G216" s="5">
        <v>44593</v>
      </c>
      <c r="H216" s="53">
        <v>92</v>
      </c>
      <c r="I216" s="15" t="s">
        <v>259</v>
      </c>
      <c r="J216" s="53" t="s">
        <v>261</v>
      </c>
      <c r="K216" s="53" t="s">
        <v>262</v>
      </c>
      <c r="L216" s="53">
        <v>1</v>
      </c>
    </row>
    <row r="217" spans="1:12">
      <c r="A217" s="53" t="s">
        <v>205</v>
      </c>
      <c r="D217" s="53" t="s">
        <v>260</v>
      </c>
      <c r="E217" s="14" t="s">
        <v>468</v>
      </c>
      <c r="F217" s="5">
        <v>41821</v>
      </c>
      <c r="G217" s="5">
        <v>44593</v>
      </c>
      <c r="H217" s="53">
        <v>92</v>
      </c>
      <c r="I217" s="15" t="s">
        <v>259</v>
      </c>
      <c r="J217" s="53" t="s">
        <v>261</v>
      </c>
      <c r="K217" s="53" t="s">
        <v>262</v>
      </c>
      <c r="L217" s="53">
        <v>1</v>
      </c>
    </row>
    <row r="218" spans="1:12">
      <c r="A218" s="53" t="s">
        <v>206</v>
      </c>
      <c r="D218" s="53" t="s">
        <v>260</v>
      </c>
      <c r="E218" s="14" t="s">
        <v>469</v>
      </c>
      <c r="F218" s="5">
        <v>41821</v>
      </c>
      <c r="G218" s="5">
        <v>44593</v>
      </c>
      <c r="H218" s="53">
        <v>92</v>
      </c>
      <c r="I218" s="15" t="s">
        <v>259</v>
      </c>
      <c r="J218" s="53" t="s">
        <v>261</v>
      </c>
      <c r="K218" s="53" t="s">
        <v>262</v>
      </c>
      <c r="L218" s="53">
        <v>1</v>
      </c>
    </row>
    <row r="219" spans="1:12">
      <c r="A219" s="53" t="s">
        <v>207</v>
      </c>
      <c r="D219" s="53" t="s">
        <v>260</v>
      </c>
      <c r="E219" s="14" t="s">
        <v>470</v>
      </c>
      <c r="F219" s="5">
        <v>41821</v>
      </c>
      <c r="G219" s="5">
        <v>44593</v>
      </c>
      <c r="H219" s="53">
        <v>92</v>
      </c>
      <c r="I219" s="15" t="s">
        <v>259</v>
      </c>
      <c r="J219" s="53" t="s">
        <v>261</v>
      </c>
      <c r="K219" s="53" t="s">
        <v>262</v>
      </c>
      <c r="L219" s="53">
        <v>1</v>
      </c>
    </row>
    <row r="220" spans="1:12">
      <c r="A220" s="53" t="s">
        <v>208</v>
      </c>
      <c r="D220" s="53" t="s">
        <v>260</v>
      </c>
      <c r="E220" s="14" t="s">
        <v>471</v>
      </c>
      <c r="F220" s="5">
        <v>41821</v>
      </c>
      <c r="G220" s="5">
        <v>44593</v>
      </c>
      <c r="H220" s="53">
        <v>92</v>
      </c>
      <c r="I220" s="15" t="s">
        <v>259</v>
      </c>
      <c r="J220" s="53" t="s">
        <v>261</v>
      </c>
      <c r="K220" s="53" t="s">
        <v>262</v>
      </c>
      <c r="L220" s="53">
        <v>1</v>
      </c>
    </row>
    <row r="221" spans="1:12">
      <c r="A221" s="53" t="s">
        <v>209</v>
      </c>
      <c r="D221" s="53" t="s">
        <v>260</v>
      </c>
      <c r="E221" s="14" t="s">
        <v>472</v>
      </c>
      <c r="F221" s="5">
        <v>41821</v>
      </c>
      <c r="G221" s="5">
        <v>44593</v>
      </c>
      <c r="H221" s="53">
        <v>92</v>
      </c>
      <c r="I221" s="15" t="s">
        <v>259</v>
      </c>
      <c r="J221" s="53" t="s">
        <v>261</v>
      </c>
      <c r="K221" s="53" t="s">
        <v>262</v>
      </c>
      <c r="L221" s="53">
        <v>1</v>
      </c>
    </row>
    <row r="222" spans="1:12">
      <c r="A222" s="53" t="s">
        <v>210</v>
      </c>
      <c r="D222" s="53" t="s">
        <v>260</v>
      </c>
      <c r="E222" s="14" t="s">
        <v>473</v>
      </c>
      <c r="F222" s="5">
        <v>41821</v>
      </c>
      <c r="G222" s="5">
        <v>44593</v>
      </c>
      <c r="H222" s="53">
        <v>92</v>
      </c>
      <c r="I222" s="15" t="s">
        <v>259</v>
      </c>
      <c r="J222" s="53" t="s">
        <v>261</v>
      </c>
      <c r="K222" s="53" t="s">
        <v>262</v>
      </c>
      <c r="L222" s="53">
        <v>1</v>
      </c>
    </row>
    <row r="223" spans="1:12">
      <c r="A223" s="53" t="s">
        <v>211</v>
      </c>
      <c r="D223" s="53" t="s">
        <v>260</v>
      </c>
      <c r="E223" s="14" t="s">
        <v>474</v>
      </c>
      <c r="F223" s="5">
        <v>41821</v>
      </c>
      <c r="G223" s="5">
        <v>44593</v>
      </c>
      <c r="H223" s="53">
        <v>92</v>
      </c>
      <c r="I223" s="15" t="s">
        <v>259</v>
      </c>
      <c r="J223" s="53" t="s">
        <v>261</v>
      </c>
      <c r="K223" s="53" t="s">
        <v>262</v>
      </c>
      <c r="L223" s="53">
        <v>1</v>
      </c>
    </row>
    <row r="224" spans="1:12">
      <c r="A224" s="53" t="s">
        <v>212</v>
      </c>
      <c r="D224" s="53" t="s">
        <v>260</v>
      </c>
      <c r="E224" s="14" t="s">
        <v>475</v>
      </c>
      <c r="F224" s="5">
        <v>41821</v>
      </c>
      <c r="G224" s="5">
        <v>44593</v>
      </c>
      <c r="H224" s="53">
        <v>92</v>
      </c>
      <c r="I224" s="15" t="s">
        <v>259</v>
      </c>
      <c r="J224" s="53" t="s">
        <v>261</v>
      </c>
      <c r="K224" s="53" t="s">
        <v>262</v>
      </c>
      <c r="L224" s="53">
        <v>1</v>
      </c>
    </row>
    <row r="225" spans="1:12">
      <c r="A225" s="53" t="s">
        <v>213</v>
      </c>
      <c r="D225" s="53" t="s">
        <v>260</v>
      </c>
      <c r="E225" s="14" t="s">
        <v>476</v>
      </c>
      <c r="F225" s="5">
        <v>41821</v>
      </c>
      <c r="G225" s="5">
        <v>44593</v>
      </c>
      <c r="H225" s="53">
        <v>92</v>
      </c>
      <c r="I225" s="15" t="s">
        <v>259</v>
      </c>
      <c r="J225" s="53" t="s">
        <v>261</v>
      </c>
      <c r="K225" s="53" t="s">
        <v>262</v>
      </c>
      <c r="L225" s="53">
        <v>1</v>
      </c>
    </row>
    <row r="226" spans="1:12">
      <c r="A226" s="53" t="s">
        <v>214</v>
      </c>
      <c r="D226" s="53" t="s">
        <v>260</v>
      </c>
      <c r="E226" s="14" t="s">
        <v>477</v>
      </c>
      <c r="F226" s="5">
        <v>41821</v>
      </c>
      <c r="G226" s="5">
        <v>44593</v>
      </c>
      <c r="H226" s="53">
        <v>92</v>
      </c>
      <c r="I226" s="15" t="s">
        <v>259</v>
      </c>
      <c r="J226" s="53" t="s">
        <v>261</v>
      </c>
      <c r="K226" s="53" t="s">
        <v>262</v>
      </c>
      <c r="L226" s="53">
        <v>1</v>
      </c>
    </row>
    <row r="227" spans="1:12">
      <c r="A227" s="53" t="s">
        <v>215</v>
      </c>
      <c r="D227" s="53" t="s">
        <v>260</v>
      </c>
      <c r="E227" s="14" t="s">
        <v>478</v>
      </c>
      <c r="F227" s="5">
        <v>41821</v>
      </c>
      <c r="G227" s="5">
        <v>44593</v>
      </c>
      <c r="H227" s="53">
        <v>92</v>
      </c>
      <c r="I227" s="15" t="s">
        <v>259</v>
      </c>
      <c r="J227" s="53" t="s">
        <v>261</v>
      </c>
      <c r="K227" s="53" t="s">
        <v>262</v>
      </c>
      <c r="L227" s="53">
        <v>1</v>
      </c>
    </row>
    <row r="228" spans="1:12">
      <c r="A228" s="53" t="s">
        <v>216</v>
      </c>
      <c r="D228" s="53" t="s">
        <v>260</v>
      </c>
      <c r="E228" s="14" t="s">
        <v>479</v>
      </c>
      <c r="F228" s="5">
        <v>41821</v>
      </c>
      <c r="G228" s="5">
        <v>44593</v>
      </c>
      <c r="H228" s="53">
        <v>92</v>
      </c>
      <c r="I228" s="15" t="s">
        <v>259</v>
      </c>
      <c r="J228" s="53" t="s">
        <v>261</v>
      </c>
      <c r="K228" s="53" t="s">
        <v>262</v>
      </c>
      <c r="L228" s="53">
        <v>1</v>
      </c>
    </row>
    <row r="229" spans="1:12">
      <c r="A229" s="53" t="s">
        <v>217</v>
      </c>
      <c r="D229" s="53" t="s">
        <v>260</v>
      </c>
      <c r="E229" s="14" t="s">
        <v>480</v>
      </c>
      <c r="F229" s="5">
        <v>41821</v>
      </c>
      <c r="G229" s="5">
        <v>44593</v>
      </c>
      <c r="H229" s="53">
        <v>92</v>
      </c>
      <c r="I229" s="15" t="s">
        <v>259</v>
      </c>
      <c r="J229" s="53" t="s">
        <v>261</v>
      </c>
      <c r="K229" s="53" t="s">
        <v>262</v>
      </c>
      <c r="L229" s="53">
        <v>1</v>
      </c>
    </row>
    <row r="230" spans="1:12">
      <c r="A230" s="53" t="s">
        <v>218</v>
      </c>
      <c r="D230" s="53" t="s">
        <v>260</v>
      </c>
      <c r="E230" s="14" t="s">
        <v>481</v>
      </c>
      <c r="F230" s="5">
        <v>41821</v>
      </c>
      <c r="G230" s="5">
        <v>44593</v>
      </c>
      <c r="H230" s="53">
        <v>92</v>
      </c>
      <c r="I230" s="15" t="s">
        <v>259</v>
      </c>
      <c r="J230" s="53" t="s">
        <v>261</v>
      </c>
      <c r="K230" s="53" t="s">
        <v>262</v>
      </c>
      <c r="L230" s="53">
        <v>1</v>
      </c>
    </row>
    <row r="231" spans="1:12">
      <c r="A231" s="53" t="s">
        <v>219</v>
      </c>
      <c r="D231" s="53" t="s">
        <v>260</v>
      </c>
      <c r="E231" s="14" t="s">
        <v>482</v>
      </c>
      <c r="F231" s="5">
        <v>41821</v>
      </c>
      <c r="G231" s="5">
        <v>44593</v>
      </c>
      <c r="H231" s="53">
        <v>92</v>
      </c>
      <c r="I231" s="15" t="s">
        <v>259</v>
      </c>
      <c r="J231" s="53" t="s">
        <v>261</v>
      </c>
      <c r="K231" s="53" t="s">
        <v>262</v>
      </c>
      <c r="L231" s="53">
        <v>1</v>
      </c>
    </row>
    <row r="232" spans="1:12">
      <c r="A232" s="53" t="s">
        <v>220</v>
      </c>
      <c r="D232" s="53" t="s">
        <v>260</v>
      </c>
      <c r="E232" s="14" t="s">
        <v>483</v>
      </c>
      <c r="F232" s="5">
        <v>41821</v>
      </c>
      <c r="G232" s="5">
        <v>44593</v>
      </c>
      <c r="H232" s="53">
        <v>92</v>
      </c>
      <c r="I232" s="15" t="s">
        <v>259</v>
      </c>
      <c r="J232" s="53" t="s">
        <v>261</v>
      </c>
      <c r="K232" s="53" t="s">
        <v>262</v>
      </c>
      <c r="L232" s="53">
        <v>1</v>
      </c>
    </row>
    <row r="233" spans="1:12">
      <c r="A233" s="53" t="s">
        <v>221</v>
      </c>
      <c r="D233" s="53" t="s">
        <v>260</v>
      </c>
      <c r="E233" s="14" t="s">
        <v>484</v>
      </c>
      <c r="F233" s="5">
        <v>41821</v>
      </c>
      <c r="G233" s="5">
        <v>44593</v>
      </c>
      <c r="H233" s="53">
        <v>92</v>
      </c>
      <c r="I233" s="15" t="s">
        <v>259</v>
      </c>
      <c r="J233" s="53" t="s">
        <v>261</v>
      </c>
      <c r="K233" s="53" t="s">
        <v>262</v>
      </c>
      <c r="L233" s="53">
        <v>1</v>
      </c>
    </row>
    <row r="234" spans="1:12">
      <c r="A234" s="53" t="s">
        <v>222</v>
      </c>
      <c r="D234" s="53" t="s">
        <v>260</v>
      </c>
      <c r="E234" s="14" t="s">
        <v>485</v>
      </c>
      <c r="F234" s="5">
        <v>41821</v>
      </c>
      <c r="G234" s="5">
        <v>44593</v>
      </c>
      <c r="H234" s="53">
        <v>92</v>
      </c>
      <c r="I234" s="15" t="s">
        <v>259</v>
      </c>
      <c r="J234" s="53" t="s">
        <v>261</v>
      </c>
      <c r="K234" s="53" t="s">
        <v>262</v>
      </c>
      <c r="L234" s="53">
        <v>1</v>
      </c>
    </row>
    <row r="235" spans="1:12">
      <c r="A235" s="53" t="s">
        <v>223</v>
      </c>
      <c r="D235" s="53" t="s">
        <v>260</v>
      </c>
      <c r="E235" s="14" t="s">
        <v>486</v>
      </c>
      <c r="F235" s="5">
        <v>41821</v>
      </c>
      <c r="G235" s="5">
        <v>44593</v>
      </c>
      <c r="H235" s="53">
        <v>92</v>
      </c>
      <c r="I235" s="15" t="s">
        <v>259</v>
      </c>
      <c r="J235" s="53" t="s">
        <v>261</v>
      </c>
      <c r="K235" s="53" t="s">
        <v>262</v>
      </c>
      <c r="L235" s="53">
        <v>1</v>
      </c>
    </row>
    <row r="236" spans="1:12">
      <c r="A236" s="53" t="s">
        <v>224</v>
      </c>
      <c r="D236" s="53" t="s">
        <v>260</v>
      </c>
      <c r="E236" s="14" t="s">
        <v>487</v>
      </c>
      <c r="F236" s="5">
        <v>41821</v>
      </c>
      <c r="G236" s="5">
        <v>44593</v>
      </c>
      <c r="H236" s="53">
        <v>92</v>
      </c>
      <c r="I236" s="15" t="s">
        <v>259</v>
      </c>
      <c r="J236" s="53" t="s">
        <v>261</v>
      </c>
      <c r="K236" s="53" t="s">
        <v>262</v>
      </c>
      <c r="L236" s="53">
        <v>1</v>
      </c>
    </row>
    <row r="237" spans="1:12">
      <c r="A237" s="53" t="s">
        <v>225</v>
      </c>
      <c r="D237" s="53" t="s">
        <v>260</v>
      </c>
      <c r="E237" s="14" t="s">
        <v>488</v>
      </c>
      <c r="F237" s="5">
        <v>41821</v>
      </c>
      <c r="G237" s="5">
        <v>44593</v>
      </c>
      <c r="H237" s="53">
        <v>92</v>
      </c>
      <c r="I237" s="15" t="s">
        <v>259</v>
      </c>
      <c r="J237" s="53" t="s">
        <v>261</v>
      </c>
      <c r="K237" s="53" t="s">
        <v>262</v>
      </c>
      <c r="L237" s="53">
        <v>1</v>
      </c>
    </row>
    <row r="238" spans="1:12">
      <c r="A238" s="53" t="s">
        <v>226</v>
      </c>
      <c r="D238" s="53" t="s">
        <v>260</v>
      </c>
      <c r="E238" s="14" t="s">
        <v>489</v>
      </c>
      <c r="F238" s="5">
        <v>41821</v>
      </c>
      <c r="G238" s="5">
        <v>44593</v>
      </c>
      <c r="H238" s="53">
        <v>92</v>
      </c>
      <c r="I238" s="15" t="s">
        <v>259</v>
      </c>
      <c r="J238" s="53" t="s">
        <v>261</v>
      </c>
      <c r="K238" s="53" t="s">
        <v>262</v>
      </c>
      <c r="L238" s="53">
        <v>1</v>
      </c>
    </row>
    <row r="239" spans="1:12">
      <c r="A239" s="53" t="s">
        <v>227</v>
      </c>
      <c r="D239" s="53" t="s">
        <v>260</v>
      </c>
      <c r="E239" s="14" t="s">
        <v>490</v>
      </c>
      <c r="F239" s="5">
        <v>41821</v>
      </c>
      <c r="G239" s="5">
        <v>44593</v>
      </c>
      <c r="H239" s="53">
        <v>92</v>
      </c>
      <c r="I239" s="15" t="s">
        <v>259</v>
      </c>
      <c r="J239" s="53" t="s">
        <v>261</v>
      </c>
      <c r="K239" s="53" t="s">
        <v>262</v>
      </c>
      <c r="L239" s="53">
        <v>1</v>
      </c>
    </row>
    <row r="240" spans="1:12">
      <c r="A240" s="53" t="s">
        <v>228</v>
      </c>
      <c r="D240" s="53" t="s">
        <v>260</v>
      </c>
      <c r="E240" s="14" t="s">
        <v>491</v>
      </c>
      <c r="F240" s="5">
        <v>41821</v>
      </c>
      <c r="G240" s="5">
        <v>44593</v>
      </c>
      <c r="H240" s="53">
        <v>92</v>
      </c>
      <c r="I240" s="15" t="s">
        <v>259</v>
      </c>
      <c r="J240" s="53" t="s">
        <v>261</v>
      </c>
      <c r="K240" s="53" t="s">
        <v>262</v>
      </c>
      <c r="L240" s="53">
        <v>1</v>
      </c>
    </row>
    <row r="241" spans="1:12">
      <c r="A241" s="53" t="s">
        <v>229</v>
      </c>
      <c r="D241" s="53" t="s">
        <v>260</v>
      </c>
      <c r="E241" s="14" t="s">
        <v>492</v>
      </c>
      <c r="F241" s="5">
        <v>41821</v>
      </c>
      <c r="G241" s="5">
        <v>44593</v>
      </c>
      <c r="H241" s="53">
        <v>92</v>
      </c>
      <c r="I241" s="15" t="s">
        <v>259</v>
      </c>
      <c r="J241" s="53" t="s">
        <v>261</v>
      </c>
      <c r="K241" s="53" t="s">
        <v>262</v>
      </c>
      <c r="L241" s="53">
        <v>1</v>
      </c>
    </row>
    <row r="242" spans="1:12">
      <c r="A242" s="53" t="s">
        <v>230</v>
      </c>
      <c r="D242" s="53" t="s">
        <v>260</v>
      </c>
      <c r="E242" s="14" t="s">
        <v>493</v>
      </c>
      <c r="F242" s="5">
        <v>41821</v>
      </c>
      <c r="G242" s="5">
        <v>44593</v>
      </c>
      <c r="H242" s="53">
        <v>92</v>
      </c>
      <c r="I242" s="15" t="s">
        <v>259</v>
      </c>
      <c r="J242" s="53" t="s">
        <v>261</v>
      </c>
      <c r="K242" s="53" t="s">
        <v>262</v>
      </c>
      <c r="L242" s="53">
        <v>1</v>
      </c>
    </row>
    <row r="243" spans="1:12">
      <c r="A243" s="53" t="s">
        <v>231</v>
      </c>
      <c r="D243" s="53" t="s">
        <v>260</v>
      </c>
      <c r="E243" s="14" t="s">
        <v>494</v>
      </c>
      <c r="F243" s="5">
        <v>41821</v>
      </c>
      <c r="G243" s="5">
        <v>44593</v>
      </c>
      <c r="H243" s="53">
        <v>92</v>
      </c>
      <c r="I243" s="15" t="s">
        <v>259</v>
      </c>
      <c r="J243" s="53" t="s">
        <v>261</v>
      </c>
      <c r="K243" s="53" t="s">
        <v>262</v>
      </c>
      <c r="L243" s="53">
        <v>1</v>
      </c>
    </row>
    <row r="244" spans="1:12">
      <c r="A244" s="53" t="s">
        <v>232</v>
      </c>
      <c r="D244" s="53" t="s">
        <v>260</v>
      </c>
      <c r="E244" s="14" t="s">
        <v>495</v>
      </c>
      <c r="F244" s="5">
        <v>41821</v>
      </c>
      <c r="G244" s="5">
        <v>44593</v>
      </c>
      <c r="H244" s="53">
        <v>92</v>
      </c>
      <c r="I244" s="15" t="s">
        <v>259</v>
      </c>
      <c r="J244" s="53" t="s">
        <v>261</v>
      </c>
      <c r="K244" s="53" t="s">
        <v>262</v>
      </c>
      <c r="L244" s="53">
        <v>1</v>
      </c>
    </row>
    <row r="245" spans="1:12">
      <c r="A245" s="53" t="s">
        <v>233</v>
      </c>
      <c r="D245" s="53" t="s">
        <v>260</v>
      </c>
      <c r="E245" s="14" t="s">
        <v>496</v>
      </c>
      <c r="F245" s="5">
        <v>41821</v>
      </c>
      <c r="G245" s="5">
        <v>44593</v>
      </c>
      <c r="H245" s="53">
        <v>92</v>
      </c>
      <c r="I245" s="15" t="s">
        <v>259</v>
      </c>
      <c r="J245" s="53" t="s">
        <v>261</v>
      </c>
      <c r="K245" s="53" t="s">
        <v>262</v>
      </c>
      <c r="L245" s="53">
        <v>1</v>
      </c>
    </row>
    <row r="246" spans="1:12">
      <c r="A246" s="53" t="s">
        <v>234</v>
      </c>
      <c r="D246" s="53" t="s">
        <v>260</v>
      </c>
      <c r="E246" s="14" t="s">
        <v>497</v>
      </c>
      <c r="F246" s="5">
        <v>41821</v>
      </c>
      <c r="G246" s="5">
        <v>44593</v>
      </c>
      <c r="H246" s="53">
        <v>92</v>
      </c>
      <c r="I246" s="15" t="s">
        <v>259</v>
      </c>
      <c r="J246" s="53" t="s">
        <v>261</v>
      </c>
      <c r="K246" s="53" t="s">
        <v>262</v>
      </c>
      <c r="L246" s="53">
        <v>1</v>
      </c>
    </row>
    <row r="247" spans="1:12">
      <c r="A247" s="53" t="s">
        <v>235</v>
      </c>
      <c r="D247" s="53" t="s">
        <v>260</v>
      </c>
      <c r="E247" s="14" t="s">
        <v>498</v>
      </c>
      <c r="F247" s="5">
        <v>41821</v>
      </c>
      <c r="G247" s="5">
        <v>44593</v>
      </c>
      <c r="H247" s="53">
        <v>92</v>
      </c>
      <c r="I247" s="15" t="s">
        <v>259</v>
      </c>
      <c r="J247" s="53" t="s">
        <v>261</v>
      </c>
      <c r="K247" s="53" t="s">
        <v>262</v>
      </c>
      <c r="L247" s="53">
        <v>1</v>
      </c>
    </row>
    <row r="248" spans="1:12">
      <c r="A248" s="53" t="s">
        <v>236</v>
      </c>
      <c r="D248" s="53" t="s">
        <v>260</v>
      </c>
      <c r="E248" s="14" t="s">
        <v>499</v>
      </c>
      <c r="F248" s="5">
        <v>41821</v>
      </c>
      <c r="G248" s="5">
        <v>44593</v>
      </c>
      <c r="H248" s="53">
        <v>92</v>
      </c>
      <c r="I248" s="15" t="s">
        <v>259</v>
      </c>
      <c r="J248" s="53" t="s">
        <v>261</v>
      </c>
      <c r="K248" s="53" t="s">
        <v>262</v>
      </c>
      <c r="L248" s="53">
        <v>1</v>
      </c>
    </row>
    <row r="249" spans="1:12">
      <c r="A249" s="53" t="s">
        <v>237</v>
      </c>
      <c r="D249" s="53" t="s">
        <v>260</v>
      </c>
      <c r="E249" s="14" t="s">
        <v>500</v>
      </c>
      <c r="F249" s="5">
        <v>41821</v>
      </c>
      <c r="G249" s="5">
        <v>44593</v>
      </c>
      <c r="H249" s="53">
        <v>92</v>
      </c>
      <c r="I249" s="15" t="s">
        <v>259</v>
      </c>
      <c r="J249" s="53" t="s">
        <v>261</v>
      </c>
      <c r="K249" s="53" t="s">
        <v>262</v>
      </c>
      <c r="L249" s="53">
        <v>1</v>
      </c>
    </row>
    <row r="250" spans="1:12">
      <c r="A250" s="53" t="s">
        <v>238</v>
      </c>
      <c r="D250" s="53" t="s">
        <v>260</v>
      </c>
      <c r="E250" s="14" t="s">
        <v>501</v>
      </c>
      <c r="F250" s="5">
        <v>41821</v>
      </c>
      <c r="G250" s="5">
        <v>44593</v>
      </c>
      <c r="H250" s="53">
        <v>92</v>
      </c>
      <c r="I250" s="15" t="s">
        <v>259</v>
      </c>
      <c r="J250" s="53" t="s">
        <v>261</v>
      </c>
      <c r="K250" s="53" t="s">
        <v>262</v>
      </c>
      <c r="L250" s="53">
        <v>1</v>
      </c>
    </row>
    <row r="251" spans="1:12">
      <c r="A251" s="53" t="s">
        <v>239</v>
      </c>
      <c r="D251" s="53" t="s">
        <v>260</v>
      </c>
      <c r="E251" s="14" t="s">
        <v>502</v>
      </c>
      <c r="F251" s="5">
        <v>41821</v>
      </c>
      <c r="G251" s="5">
        <v>44593</v>
      </c>
      <c r="H251" s="53">
        <v>92</v>
      </c>
      <c r="I251" s="15" t="s">
        <v>259</v>
      </c>
      <c r="J251" s="53" t="s">
        <v>261</v>
      </c>
      <c r="K251" s="53" t="s">
        <v>262</v>
      </c>
      <c r="L251" s="53">
        <v>1</v>
      </c>
    </row>
    <row r="252" spans="1:12">
      <c r="A252" s="53" t="s">
        <v>240</v>
      </c>
      <c r="D252" s="53" t="s">
        <v>260</v>
      </c>
      <c r="E252" s="14" t="s">
        <v>503</v>
      </c>
      <c r="F252" s="5">
        <v>41821</v>
      </c>
      <c r="G252" s="5">
        <v>44593</v>
      </c>
      <c r="H252" s="53">
        <v>92</v>
      </c>
      <c r="I252" s="15" t="s">
        <v>259</v>
      </c>
      <c r="J252" s="53" t="s">
        <v>261</v>
      </c>
      <c r="K252" s="53" t="s">
        <v>262</v>
      </c>
      <c r="L252" s="53">
        <v>1</v>
      </c>
    </row>
    <row r="253" spans="1:12">
      <c r="A253" s="53" t="s">
        <v>241</v>
      </c>
      <c r="D253" s="53" t="s">
        <v>260</v>
      </c>
      <c r="E253" s="14" t="s">
        <v>504</v>
      </c>
      <c r="F253" s="5">
        <v>41821</v>
      </c>
      <c r="G253" s="5">
        <v>44593</v>
      </c>
      <c r="H253" s="53">
        <v>92</v>
      </c>
      <c r="I253" s="15" t="s">
        <v>259</v>
      </c>
      <c r="J253" s="53" t="s">
        <v>261</v>
      </c>
      <c r="K253" s="53" t="s">
        <v>262</v>
      </c>
      <c r="L253" s="53">
        <v>1</v>
      </c>
    </row>
    <row r="254" spans="1:12">
      <c r="A254" s="53" t="s">
        <v>242</v>
      </c>
      <c r="D254" s="53" t="s">
        <v>260</v>
      </c>
      <c r="E254" s="14" t="s">
        <v>505</v>
      </c>
      <c r="F254" s="5">
        <v>41821</v>
      </c>
      <c r="G254" s="5">
        <v>44593</v>
      </c>
      <c r="H254" s="53">
        <v>92</v>
      </c>
      <c r="I254" s="15" t="s">
        <v>259</v>
      </c>
      <c r="J254" s="53" t="s">
        <v>261</v>
      </c>
      <c r="K254" s="53" t="s">
        <v>262</v>
      </c>
      <c r="L254" s="53">
        <v>1</v>
      </c>
    </row>
    <row r="255" spans="1:12">
      <c r="A255" s="53" t="s">
        <v>243</v>
      </c>
      <c r="D255" s="53" t="s">
        <v>260</v>
      </c>
      <c r="E255" s="14" t="s">
        <v>506</v>
      </c>
      <c r="F255" s="5">
        <v>41821</v>
      </c>
      <c r="G255" s="5">
        <v>44593</v>
      </c>
      <c r="H255" s="53">
        <v>92</v>
      </c>
      <c r="I255" s="15" t="s">
        <v>259</v>
      </c>
      <c r="J255" s="53" t="s">
        <v>261</v>
      </c>
      <c r="K255" s="53" t="s">
        <v>262</v>
      </c>
      <c r="L255" s="53">
        <v>1</v>
      </c>
    </row>
    <row r="256" spans="1:12">
      <c r="A256" s="53" t="s">
        <v>244</v>
      </c>
      <c r="D256" s="53" t="s">
        <v>260</v>
      </c>
      <c r="E256" s="14" t="s">
        <v>507</v>
      </c>
      <c r="F256" s="5">
        <v>41821</v>
      </c>
      <c r="G256" s="5">
        <v>44593</v>
      </c>
      <c r="H256" s="53">
        <v>92</v>
      </c>
      <c r="I256" s="15" t="s">
        <v>259</v>
      </c>
      <c r="J256" s="53" t="s">
        <v>261</v>
      </c>
      <c r="K256" s="53" t="s">
        <v>262</v>
      </c>
      <c r="L256" s="53">
        <v>1</v>
      </c>
    </row>
    <row r="257" spans="1:12">
      <c r="A257" s="53" t="s">
        <v>245</v>
      </c>
      <c r="D257" s="53" t="s">
        <v>260</v>
      </c>
      <c r="E257" s="14" t="s">
        <v>508</v>
      </c>
      <c r="F257" s="5">
        <v>41821</v>
      </c>
      <c r="G257" s="5">
        <v>44593</v>
      </c>
      <c r="H257" s="53">
        <v>92</v>
      </c>
      <c r="I257" s="15" t="s">
        <v>259</v>
      </c>
      <c r="J257" s="53" t="s">
        <v>261</v>
      </c>
      <c r="K257" s="53" t="s">
        <v>262</v>
      </c>
      <c r="L257" s="53">
        <v>1</v>
      </c>
    </row>
    <row r="258" spans="1:12">
      <c r="A258" s="53" t="s">
        <v>246</v>
      </c>
      <c r="D258" s="53" t="s">
        <v>260</v>
      </c>
      <c r="E258" s="14" t="s">
        <v>509</v>
      </c>
      <c r="F258" s="5">
        <v>41821</v>
      </c>
      <c r="G258" s="5">
        <v>44593</v>
      </c>
      <c r="H258" s="53">
        <v>92</v>
      </c>
      <c r="I258" s="15" t="s">
        <v>259</v>
      </c>
      <c r="J258" s="53" t="s">
        <v>261</v>
      </c>
      <c r="K258" s="53" t="s">
        <v>262</v>
      </c>
      <c r="L258" s="53">
        <v>1</v>
      </c>
    </row>
    <row r="259" spans="1:12">
      <c r="A259" s="53" t="s">
        <v>247</v>
      </c>
      <c r="D259" s="53" t="s">
        <v>260</v>
      </c>
      <c r="E259" s="14" t="s">
        <v>510</v>
      </c>
      <c r="F259" s="5">
        <v>41821</v>
      </c>
      <c r="G259" s="5">
        <v>44593</v>
      </c>
      <c r="H259" s="53">
        <v>92</v>
      </c>
      <c r="I259" s="15" t="s">
        <v>259</v>
      </c>
      <c r="J259" s="53" t="s">
        <v>261</v>
      </c>
      <c r="K259" s="53" t="s">
        <v>262</v>
      </c>
      <c r="L259" s="53">
        <v>1</v>
      </c>
    </row>
    <row r="260" spans="1:12">
      <c r="A260" s="53" t="s">
        <v>248</v>
      </c>
      <c r="D260" s="53" t="s">
        <v>260</v>
      </c>
      <c r="E260" s="14" t="s">
        <v>511</v>
      </c>
      <c r="F260" s="5">
        <v>41821</v>
      </c>
      <c r="G260" s="5">
        <v>44593</v>
      </c>
      <c r="H260" s="53">
        <v>92</v>
      </c>
      <c r="I260" s="15" t="s">
        <v>259</v>
      </c>
      <c r="J260" s="53" t="s">
        <v>261</v>
      </c>
      <c r="K260" s="53" t="s">
        <v>262</v>
      </c>
      <c r="L260" s="53">
        <v>1</v>
      </c>
    </row>
    <row r="261" spans="1:12">
      <c r="A261" s="53" t="s">
        <v>249</v>
      </c>
      <c r="D261" s="53" t="s">
        <v>260</v>
      </c>
      <c r="E261" s="14" t="s">
        <v>512</v>
      </c>
      <c r="F261" s="5">
        <v>41821</v>
      </c>
      <c r="G261" s="5">
        <v>44593</v>
      </c>
      <c r="H261" s="53">
        <v>92</v>
      </c>
      <c r="I261" s="15" t="s">
        <v>259</v>
      </c>
      <c r="J261" s="53" t="s">
        <v>261</v>
      </c>
      <c r="K261" s="53" t="s">
        <v>262</v>
      </c>
      <c r="L261" s="53">
        <v>1</v>
      </c>
    </row>
    <row r="262" spans="1:12">
      <c r="A262" s="53" t="s">
        <v>513</v>
      </c>
      <c r="D262" s="53" t="s">
        <v>260</v>
      </c>
      <c r="E262" s="14" t="s">
        <v>763</v>
      </c>
      <c r="F262" s="5">
        <v>41821</v>
      </c>
      <c r="G262" s="5">
        <v>44593</v>
      </c>
      <c r="H262" s="53">
        <v>92</v>
      </c>
      <c r="I262" s="15" t="s">
        <v>259</v>
      </c>
      <c r="J262" s="53" t="s">
        <v>261</v>
      </c>
      <c r="K262" s="53" t="s">
        <v>262</v>
      </c>
      <c r="L262" s="53">
        <v>1</v>
      </c>
    </row>
    <row r="263" spans="1:12">
      <c r="A263" s="53" t="s">
        <v>514</v>
      </c>
      <c r="D263" s="53" t="s">
        <v>260</v>
      </c>
      <c r="E263" s="14" t="s">
        <v>764</v>
      </c>
      <c r="F263" s="5">
        <v>41821</v>
      </c>
      <c r="G263" s="5">
        <v>44593</v>
      </c>
      <c r="H263" s="53">
        <v>92</v>
      </c>
      <c r="I263" s="15" t="s">
        <v>259</v>
      </c>
      <c r="J263" s="53" t="s">
        <v>261</v>
      </c>
      <c r="K263" s="53" t="s">
        <v>262</v>
      </c>
      <c r="L263" s="53">
        <v>1</v>
      </c>
    </row>
    <row r="264" spans="1:12">
      <c r="A264" s="53" t="s">
        <v>515</v>
      </c>
      <c r="D264" s="53" t="s">
        <v>260</v>
      </c>
      <c r="E264" s="14" t="s">
        <v>765</v>
      </c>
      <c r="F264" s="5">
        <v>41821</v>
      </c>
      <c r="G264" s="5">
        <v>44593</v>
      </c>
      <c r="H264" s="53">
        <v>92</v>
      </c>
      <c r="I264" s="15" t="s">
        <v>259</v>
      </c>
      <c r="J264" s="53" t="s">
        <v>261</v>
      </c>
      <c r="K264" s="53" t="s">
        <v>262</v>
      </c>
      <c r="L264" s="53">
        <v>1</v>
      </c>
    </row>
    <row r="265" spans="1:12">
      <c r="A265" s="53" t="s">
        <v>516</v>
      </c>
      <c r="D265" s="53" t="s">
        <v>260</v>
      </c>
      <c r="E265" s="14" t="s">
        <v>766</v>
      </c>
      <c r="F265" s="5">
        <v>41821</v>
      </c>
      <c r="G265" s="5">
        <v>44593</v>
      </c>
      <c r="H265" s="53">
        <v>92</v>
      </c>
      <c r="I265" s="15" t="s">
        <v>259</v>
      </c>
      <c r="J265" s="53" t="s">
        <v>261</v>
      </c>
      <c r="K265" s="53" t="s">
        <v>262</v>
      </c>
      <c r="L265" s="53">
        <v>1</v>
      </c>
    </row>
    <row r="266" spans="1:12">
      <c r="A266" s="53" t="s">
        <v>517</v>
      </c>
      <c r="D266" s="53" t="s">
        <v>260</v>
      </c>
      <c r="E266" s="14" t="s">
        <v>767</v>
      </c>
      <c r="F266" s="5">
        <v>41821</v>
      </c>
      <c r="G266" s="5">
        <v>44593</v>
      </c>
      <c r="H266" s="53">
        <v>92</v>
      </c>
      <c r="I266" s="15" t="s">
        <v>259</v>
      </c>
      <c r="J266" s="53" t="s">
        <v>261</v>
      </c>
      <c r="K266" s="53" t="s">
        <v>262</v>
      </c>
      <c r="L266" s="53">
        <v>1</v>
      </c>
    </row>
    <row r="267" spans="1:12">
      <c r="A267" s="53" t="s">
        <v>518</v>
      </c>
      <c r="D267" s="53" t="s">
        <v>260</v>
      </c>
      <c r="E267" s="14" t="s">
        <v>768</v>
      </c>
      <c r="F267" s="5">
        <v>41821</v>
      </c>
      <c r="G267" s="5">
        <v>44593</v>
      </c>
      <c r="H267" s="53">
        <v>92</v>
      </c>
      <c r="I267" s="15" t="s">
        <v>259</v>
      </c>
      <c r="J267" s="53" t="s">
        <v>261</v>
      </c>
      <c r="K267" s="53" t="s">
        <v>262</v>
      </c>
      <c r="L267" s="53">
        <v>1</v>
      </c>
    </row>
    <row r="268" spans="1:12">
      <c r="A268" s="53" t="s">
        <v>519</v>
      </c>
      <c r="D268" s="53" t="s">
        <v>260</v>
      </c>
      <c r="E268" s="14" t="s">
        <v>769</v>
      </c>
      <c r="F268" s="5">
        <v>41821</v>
      </c>
      <c r="G268" s="5">
        <v>44593</v>
      </c>
      <c r="H268" s="53">
        <v>92</v>
      </c>
      <c r="I268" s="15" t="s">
        <v>259</v>
      </c>
      <c r="J268" s="53" t="s">
        <v>261</v>
      </c>
      <c r="K268" s="53" t="s">
        <v>262</v>
      </c>
      <c r="L268" s="53">
        <v>1</v>
      </c>
    </row>
    <row r="269" spans="1:12">
      <c r="A269" s="53" t="s">
        <v>520</v>
      </c>
      <c r="D269" s="53" t="s">
        <v>260</v>
      </c>
      <c r="E269" s="14" t="s">
        <v>770</v>
      </c>
      <c r="F269" s="5">
        <v>41821</v>
      </c>
      <c r="G269" s="5">
        <v>44593</v>
      </c>
      <c r="H269" s="53">
        <v>92</v>
      </c>
      <c r="I269" s="15" t="s">
        <v>259</v>
      </c>
      <c r="J269" s="53" t="s">
        <v>261</v>
      </c>
      <c r="K269" s="53" t="s">
        <v>262</v>
      </c>
      <c r="L269" s="53">
        <v>1</v>
      </c>
    </row>
    <row r="270" spans="1:12">
      <c r="A270" s="53" t="s">
        <v>521</v>
      </c>
      <c r="D270" s="53" t="s">
        <v>260</v>
      </c>
      <c r="E270" s="14" t="s">
        <v>771</v>
      </c>
      <c r="F270" s="5">
        <v>41821</v>
      </c>
      <c r="G270" s="5">
        <v>44593</v>
      </c>
      <c r="H270" s="53">
        <v>92</v>
      </c>
      <c r="I270" s="15" t="s">
        <v>259</v>
      </c>
      <c r="J270" s="53" t="s">
        <v>261</v>
      </c>
      <c r="K270" s="53" t="s">
        <v>262</v>
      </c>
      <c r="L270" s="53">
        <v>1</v>
      </c>
    </row>
    <row r="271" spans="1:12">
      <c r="A271" s="53" t="s">
        <v>522</v>
      </c>
      <c r="D271" s="53" t="s">
        <v>260</v>
      </c>
      <c r="E271" s="14" t="s">
        <v>772</v>
      </c>
      <c r="F271" s="5">
        <v>41821</v>
      </c>
      <c r="G271" s="5">
        <v>44593</v>
      </c>
      <c r="H271" s="53">
        <v>92</v>
      </c>
      <c r="I271" s="15" t="s">
        <v>259</v>
      </c>
      <c r="J271" s="53" t="s">
        <v>261</v>
      </c>
      <c r="K271" s="53" t="s">
        <v>262</v>
      </c>
      <c r="L271" s="53">
        <v>1</v>
      </c>
    </row>
    <row r="272" spans="1:12">
      <c r="A272" s="53" t="s">
        <v>523</v>
      </c>
      <c r="D272" s="53" t="s">
        <v>260</v>
      </c>
      <c r="E272" s="14" t="s">
        <v>773</v>
      </c>
      <c r="F272" s="5">
        <v>41821</v>
      </c>
      <c r="G272" s="5">
        <v>44593</v>
      </c>
      <c r="H272" s="53">
        <v>92</v>
      </c>
      <c r="I272" s="15" t="s">
        <v>259</v>
      </c>
      <c r="J272" s="53" t="s">
        <v>261</v>
      </c>
      <c r="K272" s="53" t="s">
        <v>262</v>
      </c>
      <c r="L272" s="53">
        <v>1</v>
      </c>
    </row>
    <row r="273" spans="1:12">
      <c r="A273" s="53" t="s">
        <v>524</v>
      </c>
      <c r="D273" s="53" t="s">
        <v>260</v>
      </c>
      <c r="E273" s="14" t="s">
        <v>774</v>
      </c>
      <c r="F273" s="5">
        <v>41821</v>
      </c>
      <c r="G273" s="5">
        <v>44593</v>
      </c>
      <c r="H273" s="53">
        <v>92</v>
      </c>
      <c r="I273" s="15" t="s">
        <v>259</v>
      </c>
      <c r="J273" s="53" t="s">
        <v>261</v>
      </c>
      <c r="K273" s="53" t="s">
        <v>262</v>
      </c>
      <c r="L273" s="53">
        <v>1</v>
      </c>
    </row>
    <row r="274" spans="1:12">
      <c r="A274" s="53" t="s">
        <v>525</v>
      </c>
      <c r="D274" s="53" t="s">
        <v>260</v>
      </c>
      <c r="E274" s="14" t="s">
        <v>775</v>
      </c>
      <c r="F274" s="5">
        <v>41821</v>
      </c>
      <c r="G274" s="5">
        <v>44593</v>
      </c>
      <c r="H274" s="53">
        <v>92</v>
      </c>
      <c r="I274" s="15" t="s">
        <v>259</v>
      </c>
      <c r="J274" s="53" t="s">
        <v>261</v>
      </c>
      <c r="K274" s="53" t="s">
        <v>262</v>
      </c>
      <c r="L274" s="53">
        <v>1</v>
      </c>
    </row>
    <row r="275" spans="1:12">
      <c r="A275" s="53" t="s">
        <v>526</v>
      </c>
      <c r="D275" s="53" t="s">
        <v>260</v>
      </c>
      <c r="E275" s="14" t="s">
        <v>776</v>
      </c>
      <c r="F275" s="5">
        <v>41821</v>
      </c>
      <c r="G275" s="5">
        <v>44593</v>
      </c>
      <c r="H275" s="53">
        <v>92</v>
      </c>
      <c r="I275" s="15" t="s">
        <v>259</v>
      </c>
      <c r="J275" s="53" t="s">
        <v>261</v>
      </c>
      <c r="K275" s="53" t="s">
        <v>262</v>
      </c>
      <c r="L275" s="53">
        <v>1</v>
      </c>
    </row>
    <row r="276" spans="1:12">
      <c r="A276" s="53" t="s">
        <v>527</v>
      </c>
      <c r="D276" s="53" t="s">
        <v>260</v>
      </c>
      <c r="E276" s="14" t="s">
        <v>777</v>
      </c>
      <c r="F276" s="5">
        <v>41821</v>
      </c>
      <c r="G276" s="5">
        <v>44593</v>
      </c>
      <c r="H276" s="53">
        <v>92</v>
      </c>
      <c r="I276" s="15" t="s">
        <v>259</v>
      </c>
      <c r="J276" s="53" t="s">
        <v>261</v>
      </c>
      <c r="K276" s="53" t="s">
        <v>262</v>
      </c>
      <c r="L276" s="53">
        <v>1</v>
      </c>
    </row>
    <row r="277" spans="1:12">
      <c r="A277" s="53" t="s">
        <v>528</v>
      </c>
      <c r="D277" s="53" t="s">
        <v>260</v>
      </c>
      <c r="E277" s="14" t="s">
        <v>778</v>
      </c>
      <c r="F277" s="5">
        <v>41821</v>
      </c>
      <c r="G277" s="5">
        <v>44593</v>
      </c>
      <c r="H277" s="53">
        <v>92</v>
      </c>
      <c r="I277" s="15" t="s">
        <v>259</v>
      </c>
      <c r="J277" s="53" t="s">
        <v>261</v>
      </c>
      <c r="K277" s="53" t="s">
        <v>262</v>
      </c>
      <c r="L277" s="53">
        <v>1</v>
      </c>
    </row>
    <row r="278" spans="1:12">
      <c r="A278" s="53" t="s">
        <v>529</v>
      </c>
      <c r="D278" s="53" t="s">
        <v>260</v>
      </c>
      <c r="E278" s="14" t="s">
        <v>779</v>
      </c>
      <c r="F278" s="5">
        <v>41821</v>
      </c>
      <c r="G278" s="5">
        <v>44593</v>
      </c>
      <c r="H278" s="53">
        <v>92</v>
      </c>
      <c r="I278" s="15" t="s">
        <v>259</v>
      </c>
      <c r="J278" s="53" t="s">
        <v>261</v>
      </c>
      <c r="K278" s="53" t="s">
        <v>262</v>
      </c>
      <c r="L278" s="53">
        <v>1</v>
      </c>
    </row>
    <row r="279" spans="1:12">
      <c r="A279" s="53" t="s">
        <v>530</v>
      </c>
      <c r="D279" s="53" t="s">
        <v>260</v>
      </c>
      <c r="E279" s="14" t="s">
        <v>780</v>
      </c>
      <c r="F279" s="5">
        <v>41821</v>
      </c>
      <c r="G279" s="5">
        <v>44593</v>
      </c>
      <c r="H279" s="53">
        <v>92</v>
      </c>
      <c r="I279" s="15" t="s">
        <v>259</v>
      </c>
      <c r="J279" s="53" t="s">
        <v>261</v>
      </c>
      <c r="K279" s="53" t="s">
        <v>262</v>
      </c>
      <c r="L279" s="53">
        <v>1</v>
      </c>
    </row>
    <row r="280" spans="1:12">
      <c r="A280" s="53" t="s">
        <v>531</v>
      </c>
      <c r="D280" s="53" t="s">
        <v>260</v>
      </c>
      <c r="E280" s="14" t="s">
        <v>781</v>
      </c>
      <c r="F280" s="5">
        <v>41821</v>
      </c>
      <c r="G280" s="5">
        <v>44593</v>
      </c>
      <c r="H280" s="53">
        <v>92</v>
      </c>
      <c r="I280" s="15" t="s">
        <v>259</v>
      </c>
      <c r="J280" s="53" t="s">
        <v>261</v>
      </c>
      <c r="K280" s="53" t="s">
        <v>262</v>
      </c>
      <c r="L280" s="53">
        <v>1</v>
      </c>
    </row>
    <row r="281" spans="1:12">
      <c r="A281" s="53" t="s">
        <v>532</v>
      </c>
      <c r="D281" s="53" t="s">
        <v>260</v>
      </c>
      <c r="E281" s="14" t="s">
        <v>782</v>
      </c>
      <c r="F281" s="5">
        <v>41821</v>
      </c>
      <c r="G281" s="5">
        <v>44593</v>
      </c>
      <c r="H281" s="53">
        <v>92</v>
      </c>
      <c r="I281" s="15" t="s">
        <v>259</v>
      </c>
      <c r="J281" s="53" t="s">
        <v>261</v>
      </c>
      <c r="K281" s="53" t="s">
        <v>262</v>
      </c>
      <c r="L281" s="53">
        <v>1</v>
      </c>
    </row>
    <row r="282" spans="1:12">
      <c r="A282" s="53" t="s">
        <v>533</v>
      </c>
      <c r="D282" s="53" t="s">
        <v>260</v>
      </c>
      <c r="E282" s="14" t="s">
        <v>783</v>
      </c>
      <c r="F282" s="5">
        <v>41821</v>
      </c>
      <c r="G282" s="5">
        <v>44593</v>
      </c>
      <c r="H282" s="53">
        <v>92</v>
      </c>
      <c r="I282" s="15" t="s">
        <v>259</v>
      </c>
      <c r="J282" s="53" t="s">
        <v>261</v>
      </c>
      <c r="K282" s="53" t="s">
        <v>262</v>
      </c>
      <c r="L282" s="53">
        <v>1</v>
      </c>
    </row>
    <row r="283" spans="1:12">
      <c r="A283" s="53" t="s">
        <v>534</v>
      </c>
      <c r="D283" s="53" t="s">
        <v>260</v>
      </c>
      <c r="E283" s="14" t="s">
        <v>784</v>
      </c>
      <c r="F283" s="5">
        <v>41821</v>
      </c>
      <c r="G283" s="5">
        <v>44593</v>
      </c>
      <c r="H283" s="53">
        <v>92</v>
      </c>
      <c r="I283" s="15" t="s">
        <v>259</v>
      </c>
      <c r="J283" s="53" t="s">
        <v>261</v>
      </c>
      <c r="K283" s="53" t="s">
        <v>262</v>
      </c>
      <c r="L283" s="53">
        <v>1</v>
      </c>
    </row>
    <row r="284" spans="1:12">
      <c r="A284" s="53" t="s">
        <v>535</v>
      </c>
      <c r="D284" s="53" t="s">
        <v>260</v>
      </c>
      <c r="E284" s="14" t="s">
        <v>785</v>
      </c>
      <c r="F284" s="5">
        <v>41821</v>
      </c>
      <c r="G284" s="5">
        <v>44593</v>
      </c>
      <c r="H284" s="53">
        <v>92</v>
      </c>
      <c r="I284" s="15" t="s">
        <v>259</v>
      </c>
      <c r="J284" s="53" t="s">
        <v>261</v>
      </c>
      <c r="K284" s="53" t="s">
        <v>262</v>
      </c>
      <c r="L284" s="53">
        <v>1</v>
      </c>
    </row>
    <row r="285" spans="1:12">
      <c r="A285" s="53" t="s">
        <v>536</v>
      </c>
      <c r="D285" s="53" t="s">
        <v>260</v>
      </c>
      <c r="E285" s="14" t="s">
        <v>786</v>
      </c>
      <c r="F285" s="5">
        <v>41821</v>
      </c>
      <c r="G285" s="5">
        <v>44593</v>
      </c>
      <c r="H285" s="53">
        <v>92</v>
      </c>
      <c r="I285" s="15" t="s">
        <v>259</v>
      </c>
      <c r="J285" s="53" t="s">
        <v>261</v>
      </c>
      <c r="K285" s="53" t="s">
        <v>262</v>
      </c>
      <c r="L285" s="53">
        <v>1</v>
      </c>
    </row>
    <row r="286" spans="1:12">
      <c r="A286" s="53" t="s">
        <v>537</v>
      </c>
      <c r="D286" s="53" t="s">
        <v>260</v>
      </c>
      <c r="E286" s="14" t="s">
        <v>787</v>
      </c>
      <c r="F286" s="5">
        <v>41821</v>
      </c>
      <c r="G286" s="5">
        <v>44593</v>
      </c>
      <c r="H286" s="53">
        <v>92</v>
      </c>
      <c r="I286" s="15" t="s">
        <v>259</v>
      </c>
      <c r="J286" s="53" t="s">
        <v>261</v>
      </c>
      <c r="K286" s="53" t="s">
        <v>262</v>
      </c>
      <c r="L286" s="53">
        <v>1</v>
      </c>
    </row>
    <row r="287" spans="1:12">
      <c r="A287" s="53" t="s">
        <v>538</v>
      </c>
      <c r="D287" s="53" t="s">
        <v>260</v>
      </c>
      <c r="E287" s="14" t="s">
        <v>788</v>
      </c>
      <c r="F287" s="5">
        <v>41821</v>
      </c>
      <c r="G287" s="5">
        <v>44593</v>
      </c>
      <c r="H287" s="53">
        <v>92</v>
      </c>
      <c r="I287" s="15" t="s">
        <v>259</v>
      </c>
      <c r="J287" s="53" t="s">
        <v>261</v>
      </c>
      <c r="K287" s="53" t="s">
        <v>262</v>
      </c>
      <c r="L287" s="53">
        <v>1</v>
      </c>
    </row>
    <row r="288" spans="1:12">
      <c r="A288" s="53" t="s">
        <v>539</v>
      </c>
      <c r="D288" s="53" t="s">
        <v>260</v>
      </c>
      <c r="E288" s="14" t="s">
        <v>789</v>
      </c>
      <c r="F288" s="5">
        <v>41821</v>
      </c>
      <c r="G288" s="5">
        <v>44593</v>
      </c>
      <c r="H288" s="53">
        <v>92</v>
      </c>
      <c r="I288" s="15" t="s">
        <v>259</v>
      </c>
      <c r="J288" s="53" t="s">
        <v>261</v>
      </c>
      <c r="K288" s="53" t="s">
        <v>262</v>
      </c>
      <c r="L288" s="53">
        <v>1</v>
      </c>
    </row>
    <row r="289" spans="1:12">
      <c r="A289" s="53" t="s">
        <v>540</v>
      </c>
      <c r="D289" s="53" t="s">
        <v>260</v>
      </c>
      <c r="E289" s="14" t="s">
        <v>790</v>
      </c>
      <c r="F289" s="5">
        <v>41821</v>
      </c>
      <c r="G289" s="5">
        <v>44593</v>
      </c>
      <c r="H289" s="53">
        <v>92</v>
      </c>
      <c r="I289" s="15" t="s">
        <v>259</v>
      </c>
      <c r="J289" s="53" t="s">
        <v>261</v>
      </c>
      <c r="K289" s="53" t="s">
        <v>262</v>
      </c>
      <c r="L289" s="53">
        <v>1</v>
      </c>
    </row>
    <row r="290" spans="1:12">
      <c r="A290" s="53" t="s">
        <v>541</v>
      </c>
      <c r="D290" s="53" t="s">
        <v>260</v>
      </c>
      <c r="E290" s="14" t="s">
        <v>791</v>
      </c>
      <c r="F290" s="5">
        <v>41821</v>
      </c>
      <c r="G290" s="5">
        <v>44593</v>
      </c>
      <c r="H290" s="53">
        <v>92</v>
      </c>
      <c r="I290" s="15" t="s">
        <v>259</v>
      </c>
      <c r="J290" s="53" t="s">
        <v>261</v>
      </c>
      <c r="K290" s="53" t="s">
        <v>262</v>
      </c>
      <c r="L290" s="53">
        <v>1</v>
      </c>
    </row>
    <row r="291" spans="1:12">
      <c r="A291" s="53" t="s">
        <v>542</v>
      </c>
      <c r="D291" s="53" t="s">
        <v>260</v>
      </c>
      <c r="E291" s="14" t="s">
        <v>792</v>
      </c>
      <c r="F291" s="5">
        <v>41821</v>
      </c>
      <c r="G291" s="5">
        <v>44593</v>
      </c>
      <c r="H291" s="53">
        <v>92</v>
      </c>
      <c r="I291" s="15" t="s">
        <v>259</v>
      </c>
      <c r="J291" s="53" t="s">
        <v>261</v>
      </c>
      <c r="K291" s="53" t="s">
        <v>262</v>
      </c>
      <c r="L291" s="53">
        <v>1</v>
      </c>
    </row>
    <row r="292" spans="1:12">
      <c r="A292" s="53" t="s">
        <v>543</v>
      </c>
      <c r="D292" s="53" t="s">
        <v>260</v>
      </c>
      <c r="E292" s="14" t="s">
        <v>793</v>
      </c>
      <c r="F292" s="5">
        <v>41821</v>
      </c>
      <c r="G292" s="5">
        <v>44593</v>
      </c>
      <c r="H292" s="53">
        <v>92</v>
      </c>
      <c r="I292" s="15" t="s">
        <v>259</v>
      </c>
      <c r="J292" s="53" t="s">
        <v>261</v>
      </c>
      <c r="K292" s="53" t="s">
        <v>262</v>
      </c>
      <c r="L292" s="53">
        <v>1</v>
      </c>
    </row>
    <row r="293" spans="1:12">
      <c r="A293" s="53" t="s">
        <v>544</v>
      </c>
      <c r="D293" s="53" t="s">
        <v>260</v>
      </c>
      <c r="E293" s="14" t="s">
        <v>794</v>
      </c>
      <c r="F293" s="5">
        <v>41821</v>
      </c>
      <c r="G293" s="5">
        <v>44593</v>
      </c>
      <c r="H293" s="53">
        <v>92</v>
      </c>
      <c r="I293" s="15" t="s">
        <v>259</v>
      </c>
      <c r="J293" s="53" t="s">
        <v>261</v>
      </c>
      <c r="K293" s="53" t="s">
        <v>262</v>
      </c>
      <c r="L293" s="53">
        <v>1</v>
      </c>
    </row>
    <row r="294" spans="1:12">
      <c r="A294" s="53" t="s">
        <v>545</v>
      </c>
      <c r="D294" s="53" t="s">
        <v>260</v>
      </c>
      <c r="E294" s="14" t="s">
        <v>795</v>
      </c>
      <c r="F294" s="5">
        <v>41821</v>
      </c>
      <c r="G294" s="5">
        <v>44593</v>
      </c>
      <c r="H294" s="53">
        <v>92</v>
      </c>
      <c r="I294" s="15" t="s">
        <v>259</v>
      </c>
      <c r="J294" s="53" t="s">
        <v>261</v>
      </c>
      <c r="K294" s="53" t="s">
        <v>262</v>
      </c>
      <c r="L294" s="53">
        <v>1</v>
      </c>
    </row>
    <row r="295" spans="1:12">
      <c r="A295" s="53" t="s">
        <v>546</v>
      </c>
      <c r="D295" s="53" t="s">
        <v>260</v>
      </c>
      <c r="E295" s="14" t="s">
        <v>796</v>
      </c>
      <c r="F295" s="5">
        <v>41821</v>
      </c>
      <c r="G295" s="5">
        <v>44593</v>
      </c>
      <c r="H295" s="53">
        <v>92</v>
      </c>
      <c r="I295" s="15" t="s">
        <v>259</v>
      </c>
      <c r="J295" s="53" t="s">
        <v>261</v>
      </c>
      <c r="K295" s="53" t="s">
        <v>262</v>
      </c>
      <c r="L295" s="53">
        <v>1</v>
      </c>
    </row>
    <row r="296" spans="1:12">
      <c r="A296" s="53" t="s">
        <v>547</v>
      </c>
      <c r="D296" s="53" t="s">
        <v>260</v>
      </c>
      <c r="E296" s="14" t="s">
        <v>797</v>
      </c>
      <c r="F296" s="5">
        <v>41821</v>
      </c>
      <c r="G296" s="5">
        <v>44593</v>
      </c>
      <c r="H296" s="53">
        <v>92</v>
      </c>
      <c r="I296" s="15" t="s">
        <v>259</v>
      </c>
      <c r="J296" s="53" t="s">
        <v>261</v>
      </c>
      <c r="K296" s="53" t="s">
        <v>262</v>
      </c>
      <c r="L296" s="53">
        <v>1</v>
      </c>
    </row>
    <row r="297" spans="1:12">
      <c r="A297" s="53" t="s">
        <v>548</v>
      </c>
      <c r="D297" s="53" t="s">
        <v>260</v>
      </c>
      <c r="E297" s="14" t="s">
        <v>798</v>
      </c>
      <c r="F297" s="5">
        <v>41821</v>
      </c>
      <c r="G297" s="5">
        <v>44593</v>
      </c>
      <c r="H297" s="53">
        <v>92</v>
      </c>
      <c r="I297" s="15" t="s">
        <v>259</v>
      </c>
      <c r="J297" s="53" t="s">
        <v>261</v>
      </c>
      <c r="K297" s="53" t="s">
        <v>262</v>
      </c>
      <c r="L297" s="53">
        <v>1</v>
      </c>
    </row>
    <row r="298" spans="1:12">
      <c r="A298" s="53" t="s">
        <v>549</v>
      </c>
      <c r="D298" s="53" t="s">
        <v>260</v>
      </c>
      <c r="E298" s="14" t="s">
        <v>799</v>
      </c>
      <c r="F298" s="5">
        <v>41821</v>
      </c>
      <c r="G298" s="5">
        <v>44593</v>
      </c>
      <c r="H298" s="53">
        <v>92</v>
      </c>
      <c r="I298" s="15" t="s">
        <v>259</v>
      </c>
      <c r="J298" s="53" t="s">
        <v>261</v>
      </c>
      <c r="K298" s="53" t="s">
        <v>262</v>
      </c>
      <c r="L298" s="53">
        <v>1</v>
      </c>
    </row>
    <row r="299" spans="1:12">
      <c r="A299" s="53" t="s">
        <v>550</v>
      </c>
      <c r="D299" s="53" t="s">
        <v>260</v>
      </c>
      <c r="E299" s="14" t="s">
        <v>800</v>
      </c>
      <c r="F299" s="5">
        <v>41821</v>
      </c>
      <c r="G299" s="5">
        <v>44593</v>
      </c>
      <c r="H299" s="53">
        <v>92</v>
      </c>
      <c r="I299" s="15" t="s">
        <v>259</v>
      </c>
      <c r="J299" s="53" t="s">
        <v>261</v>
      </c>
      <c r="K299" s="53" t="s">
        <v>262</v>
      </c>
      <c r="L299" s="53">
        <v>1</v>
      </c>
    </row>
    <row r="300" spans="1:12">
      <c r="A300" s="53" t="s">
        <v>551</v>
      </c>
      <c r="D300" s="53" t="s">
        <v>260</v>
      </c>
      <c r="E300" s="14" t="s">
        <v>801</v>
      </c>
      <c r="F300" s="5">
        <v>41821</v>
      </c>
      <c r="G300" s="5">
        <v>44593</v>
      </c>
      <c r="H300" s="53">
        <v>92</v>
      </c>
      <c r="I300" s="15" t="s">
        <v>259</v>
      </c>
      <c r="J300" s="53" t="s">
        <v>261</v>
      </c>
      <c r="K300" s="53" t="s">
        <v>262</v>
      </c>
      <c r="L300" s="53">
        <v>1</v>
      </c>
    </row>
    <row r="301" spans="1:12">
      <c r="A301" s="53" t="s">
        <v>552</v>
      </c>
      <c r="D301" s="53" t="s">
        <v>260</v>
      </c>
      <c r="E301" s="14" t="s">
        <v>802</v>
      </c>
      <c r="F301" s="5">
        <v>41821</v>
      </c>
      <c r="G301" s="5">
        <v>44593</v>
      </c>
      <c r="H301" s="53">
        <v>92</v>
      </c>
      <c r="I301" s="15" t="s">
        <v>259</v>
      </c>
      <c r="J301" s="53" t="s">
        <v>261</v>
      </c>
      <c r="K301" s="53" t="s">
        <v>262</v>
      </c>
      <c r="L301" s="53">
        <v>1</v>
      </c>
    </row>
    <row r="302" spans="1:12">
      <c r="A302" s="53" t="s">
        <v>553</v>
      </c>
      <c r="D302" s="53" t="s">
        <v>260</v>
      </c>
      <c r="E302" s="14" t="s">
        <v>803</v>
      </c>
      <c r="F302" s="5">
        <v>41821</v>
      </c>
      <c r="G302" s="5">
        <v>44593</v>
      </c>
      <c r="H302" s="53">
        <v>92</v>
      </c>
      <c r="I302" s="15" t="s">
        <v>259</v>
      </c>
      <c r="J302" s="53" t="s">
        <v>261</v>
      </c>
      <c r="K302" s="53" t="s">
        <v>262</v>
      </c>
      <c r="L302" s="53">
        <v>1</v>
      </c>
    </row>
    <row r="303" spans="1:12">
      <c r="A303" s="53" t="s">
        <v>554</v>
      </c>
      <c r="D303" s="53" t="s">
        <v>260</v>
      </c>
      <c r="E303" s="14" t="s">
        <v>804</v>
      </c>
      <c r="F303" s="5">
        <v>41821</v>
      </c>
      <c r="G303" s="5">
        <v>44593</v>
      </c>
      <c r="H303" s="53">
        <v>92</v>
      </c>
      <c r="I303" s="15" t="s">
        <v>259</v>
      </c>
      <c r="J303" s="53" t="s">
        <v>261</v>
      </c>
      <c r="K303" s="53" t="s">
        <v>262</v>
      </c>
      <c r="L303" s="53">
        <v>1</v>
      </c>
    </row>
    <row r="304" spans="1:12">
      <c r="A304" s="53" t="s">
        <v>555</v>
      </c>
      <c r="D304" s="53" t="s">
        <v>260</v>
      </c>
      <c r="E304" s="14" t="s">
        <v>805</v>
      </c>
      <c r="F304" s="5">
        <v>41821</v>
      </c>
      <c r="G304" s="5">
        <v>44593</v>
      </c>
      <c r="H304" s="53">
        <v>92</v>
      </c>
      <c r="I304" s="15" t="s">
        <v>259</v>
      </c>
      <c r="J304" s="53" t="s">
        <v>261</v>
      </c>
      <c r="K304" s="53" t="s">
        <v>262</v>
      </c>
      <c r="L304" s="53">
        <v>1</v>
      </c>
    </row>
    <row r="305" spans="1:12">
      <c r="A305" s="53" t="s">
        <v>556</v>
      </c>
      <c r="D305" s="53" t="s">
        <v>260</v>
      </c>
      <c r="E305" s="14" t="s">
        <v>806</v>
      </c>
      <c r="F305" s="5">
        <v>41821</v>
      </c>
      <c r="G305" s="5">
        <v>44593</v>
      </c>
      <c r="H305" s="53">
        <v>92</v>
      </c>
      <c r="I305" s="15" t="s">
        <v>259</v>
      </c>
      <c r="J305" s="53" t="s">
        <v>261</v>
      </c>
      <c r="K305" s="53" t="s">
        <v>262</v>
      </c>
      <c r="L305" s="53">
        <v>1</v>
      </c>
    </row>
    <row r="306" spans="1:12">
      <c r="A306" s="53" t="s">
        <v>557</v>
      </c>
      <c r="D306" s="53" t="s">
        <v>260</v>
      </c>
      <c r="E306" s="14" t="s">
        <v>807</v>
      </c>
      <c r="F306" s="5">
        <v>41821</v>
      </c>
      <c r="G306" s="5">
        <v>44593</v>
      </c>
      <c r="H306" s="53">
        <v>92</v>
      </c>
      <c r="I306" s="15" t="s">
        <v>259</v>
      </c>
      <c r="J306" s="53" t="s">
        <v>261</v>
      </c>
      <c r="K306" s="53" t="s">
        <v>262</v>
      </c>
      <c r="L306" s="53">
        <v>1</v>
      </c>
    </row>
    <row r="307" spans="1:12">
      <c r="A307" s="53" t="s">
        <v>558</v>
      </c>
      <c r="D307" s="53" t="s">
        <v>260</v>
      </c>
      <c r="E307" s="14" t="s">
        <v>808</v>
      </c>
      <c r="F307" s="5">
        <v>41821</v>
      </c>
      <c r="G307" s="5">
        <v>44593</v>
      </c>
      <c r="H307" s="53">
        <v>92</v>
      </c>
      <c r="I307" s="15" t="s">
        <v>259</v>
      </c>
      <c r="J307" s="53" t="s">
        <v>261</v>
      </c>
      <c r="K307" s="53" t="s">
        <v>262</v>
      </c>
      <c r="L307" s="53">
        <v>1</v>
      </c>
    </row>
    <row r="308" spans="1:12">
      <c r="A308" s="53" t="s">
        <v>559</v>
      </c>
      <c r="D308" s="53" t="s">
        <v>260</v>
      </c>
      <c r="E308" s="14" t="s">
        <v>809</v>
      </c>
      <c r="F308" s="5">
        <v>41821</v>
      </c>
      <c r="G308" s="5">
        <v>44593</v>
      </c>
      <c r="H308" s="53">
        <v>92</v>
      </c>
      <c r="I308" s="15" t="s">
        <v>259</v>
      </c>
      <c r="J308" s="53" t="s">
        <v>261</v>
      </c>
      <c r="K308" s="53" t="s">
        <v>262</v>
      </c>
      <c r="L308" s="53">
        <v>1</v>
      </c>
    </row>
    <row r="309" spans="1:12">
      <c r="A309" s="53" t="s">
        <v>560</v>
      </c>
      <c r="D309" s="53" t="s">
        <v>260</v>
      </c>
      <c r="E309" s="14" t="s">
        <v>810</v>
      </c>
      <c r="F309" s="5">
        <v>41821</v>
      </c>
      <c r="G309" s="5">
        <v>44593</v>
      </c>
      <c r="H309" s="53">
        <v>92</v>
      </c>
      <c r="I309" s="15" t="s">
        <v>259</v>
      </c>
      <c r="J309" s="53" t="s">
        <v>261</v>
      </c>
      <c r="K309" s="53" t="s">
        <v>262</v>
      </c>
      <c r="L309" s="53">
        <v>1</v>
      </c>
    </row>
    <row r="310" spans="1:12">
      <c r="A310" s="53" t="s">
        <v>561</v>
      </c>
      <c r="D310" s="53" t="s">
        <v>260</v>
      </c>
      <c r="E310" s="14" t="s">
        <v>811</v>
      </c>
      <c r="F310" s="5">
        <v>41821</v>
      </c>
      <c r="G310" s="5">
        <v>44593</v>
      </c>
      <c r="H310" s="53">
        <v>92</v>
      </c>
      <c r="I310" s="15" t="s">
        <v>259</v>
      </c>
      <c r="J310" s="53" t="s">
        <v>261</v>
      </c>
      <c r="K310" s="53" t="s">
        <v>262</v>
      </c>
      <c r="L310" s="53">
        <v>1</v>
      </c>
    </row>
    <row r="311" spans="1:12">
      <c r="A311" s="53" t="s">
        <v>562</v>
      </c>
      <c r="D311" s="53" t="s">
        <v>260</v>
      </c>
      <c r="E311" s="14" t="s">
        <v>812</v>
      </c>
      <c r="F311" s="5">
        <v>41821</v>
      </c>
      <c r="G311" s="5">
        <v>44593</v>
      </c>
      <c r="H311" s="53">
        <v>92</v>
      </c>
      <c r="I311" s="15" t="s">
        <v>259</v>
      </c>
      <c r="J311" s="53" t="s">
        <v>261</v>
      </c>
      <c r="K311" s="53" t="s">
        <v>262</v>
      </c>
      <c r="L311" s="53">
        <v>1</v>
      </c>
    </row>
    <row r="312" spans="1:12">
      <c r="A312" s="53" t="s">
        <v>563</v>
      </c>
      <c r="D312" s="53" t="s">
        <v>260</v>
      </c>
      <c r="E312" s="14" t="s">
        <v>813</v>
      </c>
      <c r="F312" s="5">
        <v>41821</v>
      </c>
      <c r="G312" s="5">
        <v>44593</v>
      </c>
      <c r="H312" s="53">
        <v>92</v>
      </c>
      <c r="I312" s="15" t="s">
        <v>259</v>
      </c>
      <c r="J312" s="53" t="s">
        <v>261</v>
      </c>
      <c r="K312" s="53" t="s">
        <v>262</v>
      </c>
      <c r="L312" s="53">
        <v>1</v>
      </c>
    </row>
    <row r="313" spans="1:12">
      <c r="A313" s="53" t="s">
        <v>564</v>
      </c>
      <c r="D313" s="53" t="s">
        <v>260</v>
      </c>
      <c r="E313" s="14" t="s">
        <v>814</v>
      </c>
      <c r="F313" s="5">
        <v>41821</v>
      </c>
      <c r="G313" s="5">
        <v>44593</v>
      </c>
      <c r="H313" s="53">
        <v>92</v>
      </c>
      <c r="I313" s="15" t="s">
        <v>259</v>
      </c>
      <c r="J313" s="53" t="s">
        <v>261</v>
      </c>
      <c r="K313" s="53" t="s">
        <v>262</v>
      </c>
      <c r="L313" s="53">
        <v>1</v>
      </c>
    </row>
    <row r="314" spans="1:12">
      <c r="A314" s="53" t="s">
        <v>565</v>
      </c>
      <c r="D314" s="53" t="s">
        <v>260</v>
      </c>
      <c r="E314" s="14" t="s">
        <v>815</v>
      </c>
      <c r="F314" s="5">
        <v>41821</v>
      </c>
      <c r="G314" s="5">
        <v>44593</v>
      </c>
      <c r="H314" s="53">
        <v>92</v>
      </c>
      <c r="I314" s="15" t="s">
        <v>259</v>
      </c>
      <c r="J314" s="53" t="s">
        <v>261</v>
      </c>
      <c r="K314" s="53" t="s">
        <v>262</v>
      </c>
      <c r="L314" s="53">
        <v>1</v>
      </c>
    </row>
    <row r="315" spans="1:12">
      <c r="A315" s="53" t="s">
        <v>566</v>
      </c>
      <c r="D315" s="53" t="s">
        <v>260</v>
      </c>
      <c r="E315" s="14" t="s">
        <v>816</v>
      </c>
      <c r="F315" s="5">
        <v>41821</v>
      </c>
      <c r="G315" s="5">
        <v>44593</v>
      </c>
      <c r="H315" s="53">
        <v>92</v>
      </c>
      <c r="I315" s="15" t="s">
        <v>259</v>
      </c>
      <c r="J315" s="53" t="s">
        <v>261</v>
      </c>
      <c r="K315" s="53" t="s">
        <v>262</v>
      </c>
      <c r="L315" s="53">
        <v>1</v>
      </c>
    </row>
    <row r="316" spans="1:12">
      <c r="A316" s="53" t="s">
        <v>567</v>
      </c>
      <c r="D316" s="53" t="s">
        <v>260</v>
      </c>
      <c r="E316" s="14" t="s">
        <v>817</v>
      </c>
      <c r="F316" s="5">
        <v>41821</v>
      </c>
      <c r="G316" s="5">
        <v>44593</v>
      </c>
      <c r="H316" s="53">
        <v>92</v>
      </c>
      <c r="I316" s="15" t="s">
        <v>259</v>
      </c>
      <c r="J316" s="53" t="s">
        <v>261</v>
      </c>
      <c r="K316" s="53" t="s">
        <v>262</v>
      </c>
      <c r="L316" s="53">
        <v>1</v>
      </c>
    </row>
    <row r="317" spans="1:12">
      <c r="A317" s="53" t="s">
        <v>568</v>
      </c>
      <c r="D317" s="53" t="s">
        <v>260</v>
      </c>
      <c r="E317" s="14" t="s">
        <v>818</v>
      </c>
      <c r="F317" s="5">
        <v>41821</v>
      </c>
      <c r="G317" s="5">
        <v>44593</v>
      </c>
      <c r="H317" s="53">
        <v>92</v>
      </c>
      <c r="I317" s="15" t="s">
        <v>259</v>
      </c>
      <c r="J317" s="53" t="s">
        <v>261</v>
      </c>
      <c r="K317" s="53" t="s">
        <v>262</v>
      </c>
      <c r="L317" s="53">
        <v>1</v>
      </c>
    </row>
    <row r="318" spans="1:12">
      <c r="A318" s="53" t="s">
        <v>569</v>
      </c>
      <c r="D318" s="53" t="s">
        <v>260</v>
      </c>
      <c r="E318" s="14" t="s">
        <v>819</v>
      </c>
      <c r="F318" s="5">
        <v>41821</v>
      </c>
      <c r="G318" s="5">
        <v>44593</v>
      </c>
      <c r="H318" s="53">
        <v>92</v>
      </c>
      <c r="I318" s="15" t="s">
        <v>259</v>
      </c>
      <c r="J318" s="53" t="s">
        <v>261</v>
      </c>
      <c r="K318" s="53" t="s">
        <v>262</v>
      </c>
      <c r="L318" s="53">
        <v>1</v>
      </c>
    </row>
    <row r="319" spans="1:12">
      <c r="A319" s="53" t="s">
        <v>570</v>
      </c>
      <c r="D319" s="53" t="s">
        <v>260</v>
      </c>
      <c r="E319" s="14" t="s">
        <v>820</v>
      </c>
      <c r="F319" s="5">
        <v>41821</v>
      </c>
      <c r="G319" s="5">
        <v>44593</v>
      </c>
      <c r="H319" s="53">
        <v>92</v>
      </c>
      <c r="I319" s="15" t="s">
        <v>259</v>
      </c>
      <c r="J319" s="53" t="s">
        <v>261</v>
      </c>
      <c r="K319" s="53" t="s">
        <v>262</v>
      </c>
      <c r="L319" s="53">
        <v>1</v>
      </c>
    </row>
    <row r="320" spans="1:12">
      <c r="A320" s="53" t="s">
        <v>571</v>
      </c>
      <c r="D320" s="53" t="s">
        <v>260</v>
      </c>
      <c r="E320" s="14" t="s">
        <v>821</v>
      </c>
      <c r="F320" s="5">
        <v>41821</v>
      </c>
      <c r="G320" s="5">
        <v>44593</v>
      </c>
      <c r="H320" s="53">
        <v>92</v>
      </c>
      <c r="I320" s="15" t="s">
        <v>259</v>
      </c>
      <c r="J320" s="53" t="s">
        <v>261</v>
      </c>
      <c r="K320" s="53" t="s">
        <v>262</v>
      </c>
      <c r="L320" s="53">
        <v>1</v>
      </c>
    </row>
    <row r="321" spans="1:12">
      <c r="A321" s="53" t="s">
        <v>572</v>
      </c>
      <c r="D321" s="53" t="s">
        <v>260</v>
      </c>
      <c r="E321" s="14" t="s">
        <v>822</v>
      </c>
      <c r="F321" s="5">
        <v>41821</v>
      </c>
      <c r="G321" s="5">
        <v>44593</v>
      </c>
      <c r="H321" s="53">
        <v>92</v>
      </c>
      <c r="I321" s="15" t="s">
        <v>259</v>
      </c>
      <c r="J321" s="53" t="s">
        <v>261</v>
      </c>
      <c r="K321" s="53" t="s">
        <v>262</v>
      </c>
      <c r="L321" s="53">
        <v>1</v>
      </c>
    </row>
    <row r="322" spans="1:12">
      <c r="A322" s="53" t="s">
        <v>573</v>
      </c>
      <c r="D322" s="53" t="s">
        <v>260</v>
      </c>
      <c r="E322" s="14" t="s">
        <v>823</v>
      </c>
      <c r="F322" s="5">
        <v>41821</v>
      </c>
      <c r="G322" s="5">
        <v>44593</v>
      </c>
      <c r="H322" s="53">
        <v>92</v>
      </c>
      <c r="I322" s="15" t="s">
        <v>259</v>
      </c>
      <c r="J322" s="53" t="s">
        <v>261</v>
      </c>
      <c r="K322" s="53" t="s">
        <v>262</v>
      </c>
      <c r="L322" s="53">
        <v>1</v>
      </c>
    </row>
    <row r="323" spans="1:12">
      <c r="A323" s="53" t="s">
        <v>574</v>
      </c>
      <c r="D323" s="53" t="s">
        <v>260</v>
      </c>
      <c r="E323" s="14" t="s">
        <v>824</v>
      </c>
      <c r="F323" s="5">
        <v>41821</v>
      </c>
      <c r="G323" s="5">
        <v>44593</v>
      </c>
      <c r="H323" s="53">
        <v>92</v>
      </c>
      <c r="I323" s="15" t="s">
        <v>259</v>
      </c>
      <c r="J323" s="53" t="s">
        <v>261</v>
      </c>
      <c r="K323" s="53" t="s">
        <v>262</v>
      </c>
      <c r="L323" s="53">
        <v>1</v>
      </c>
    </row>
    <row r="324" spans="1:12">
      <c r="A324" s="53" t="s">
        <v>575</v>
      </c>
      <c r="D324" s="53" t="s">
        <v>260</v>
      </c>
      <c r="E324" s="14" t="s">
        <v>825</v>
      </c>
      <c r="F324" s="5">
        <v>41821</v>
      </c>
      <c r="G324" s="5">
        <v>44593</v>
      </c>
      <c r="H324" s="53">
        <v>92</v>
      </c>
      <c r="I324" s="15" t="s">
        <v>259</v>
      </c>
      <c r="J324" s="53" t="s">
        <v>261</v>
      </c>
      <c r="K324" s="53" t="s">
        <v>262</v>
      </c>
      <c r="L324" s="53">
        <v>1</v>
      </c>
    </row>
    <row r="325" spans="1:12">
      <c r="A325" s="53" t="s">
        <v>576</v>
      </c>
      <c r="D325" s="53" t="s">
        <v>260</v>
      </c>
      <c r="E325" s="14" t="s">
        <v>826</v>
      </c>
      <c r="F325" s="5">
        <v>41821</v>
      </c>
      <c r="G325" s="5">
        <v>44593</v>
      </c>
      <c r="H325" s="53">
        <v>92</v>
      </c>
      <c r="I325" s="15" t="s">
        <v>259</v>
      </c>
      <c r="J325" s="53" t="s">
        <v>261</v>
      </c>
      <c r="K325" s="53" t="s">
        <v>262</v>
      </c>
      <c r="L325" s="53">
        <v>1</v>
      </c>
    </row>
    <row r="326" spans="1:12">
      <c r="A326" s="53" t="s">
        <v>577</v>
      </c>
      <c r="D326" s="53" t="s">
        <v>260</v>
      </c>
      <c r="E326" s="14" t="s">
        <v>827</v>
      </c>
      <c r="F326" s="5">
        <v>41821</v>
      </c>
      <c r="G326" s="5">
        <v>44593</v>
      </c>
      <c r="H326" s="53">
        <v>92</v>
      </c>
      <c r="I326" s="15" t="s">
        <v>259</v>
      </c>
      <c r="J326" s="53" t="s">
        <v>261</v>
      </c>
      <c r="K326" s="53" t="s">
        <v>262</v>
      </c>
      <c r="L326" s="53">
        <v>1</v>
      </c>
    </row>
    <row r="327" spans="1:12">
      <c r="A327" s="53" t="s">
        <v>578</v>
      </c>
      <c r="D327" s="53" t="s">
        <v>260</v>
      </c>
      <c r="E327" s="14" t="s">
        <v>828</v>
      </c>
      <c r="F327" s="5">
        <v>41821</v>
      </c>
      <c r="G327" s="5">
        <v>44593</v>
      </c>
      <c r="H327" s="53">
        <v>92</v>
      </c>
      <c r="I327" s="15" t="s">
        <v>259</v>
      </c>
      <c r="J327" s="53" t="s">
        <v>261</v>
      </c>
      <c r="K327" s="53" t="s">
        <v>262</v>
      </c>
      <c r="L327" s="53">
        <v>1</v>
      </c>
    </row>
    <row r="328" spans="1:12">
      <c r="A328" s="53" t="s">
        <v>579</v>
      </c>
      <c r="D328" s="53" t="s">
        <v>260</v>
      </c>
      <c r="E328" s="14" t="s">
        <v>829</v>
      </c>
      <c r="F328" s="5">
        <v>41821</v>
      </c>
      <c r="G328" s="5">
        <v>44593</v>
      </c>
      <c r="H328" s="53">
        <v>92</v>
      </c>
      <c r="I328" s="15" t="s">
        <v>259</v>
      </c>
      <c r="J328" s="53" t="s">
        <v>261</v>
      </c>
      <c r="K328" s="53" t="s">
        <v>262</v>
      </c>
      <c r="L328" s="53">
        <v>1</v>
      </c>
    </row>
    <row r="329" spans="1:12">
      <c r="A329" s="53" t="s">
        <v>580</v>
      </c>
      <c r="D329" s="53" t="s">
        <v>260</v>
      </c>
      <c r="E329" s="14" t="s">
        <v>830</v>
      </c>
      <c r="F329" s="5">
        <v>41821</v>
      </c>
      <c r="G329" s="5">
        <v>44593</v>
      </c>
      <c r="H329" s="53">
        <v>92</v>
      </c>
      <c r="I329" s="15" t="s">
        <v>259</v>
      </c>
      <c r="J329" s="53" t="s">
        <v>261</v>
      </c>
      <c r="K329" s="53" t="s">
        <v>262</v>
      </c>
      <c r="L329" s="53">
        <v>1</v>
      </c>
    </row>
    <row r="330" spans="1:12">
      <c r="A330" s="53" t="s">
        <v>581</v>
      </c>
      <c r="D330" s="53" t="s">
        <v>260</v>
      </c>
      <c r="E330" s="14" t="s">
        <v>831</v>
      </c>
      <c r="F330" s="5">
        <v>41821</v>
      </c>
      <c r="G330" s="5">
        <v>44593</v>
      </c>
      <c r="H330" s="53">
        <v>92</v>
      </c>
      <c r="I330" s="15" t="s">
        <v>259</v>
      </c>
      <c r="J330" s="53" t="s">
        <v>261</v>
      </c>
      <c r="K330" s="53" t="s">
        <v>262</v>
      </c>
      <c r="L330" s="53">
        <v>1</v>
      </c>
    </row>
    <row r="331" spans="1:12">
      <c r="A331" s="53" t="s">
        <v>582</v>
      </c>
      <c r="D331" s="53" t="s">
        <v>260</v>
      </c>
      <c r="E331" s="14" t="s">
        <v>832</v>
      </c>
      <c r="F331" s="5">
        <v>41821</v>
      </c>
      <c r="G331" s="5">
        <v>44593</v>
      </c>
      <c r="H331" s="53">
        <v>92</v>
      </c>
      <c r="I331" s="15" t="s">
        <v>259</v>
      </c>
      <c r="J331" s="53" t="s">
        <v>261</v>
      </c>
      <c r="K331" s="53" t="s">
        <v>262</v>
      </c>
      <c r="L331" s="53">
        <v>1</v>
      </c>
    </row>
    <row r="332" spans="1:12">
      <c r="A332" s="53" t="s">
        <v>583</v>
      </c>
      <c r="D332" s="53" t="s">
        <v>260</v>
      </c>
      <c r="E332" s="14" t="s">
        <v>833</v>
      </c>
      <c r="F332" s="5">
        <v>41821</v>
      </c>
      <c r="G332" s="5">
        <v>44593</v>
      </c>
      <c r="H332" s="53">
        <v>92</v>
      </c>
      <c r="I332" s="15" t="s">
        <v>259</v>
      </c>
      <c r="J332" s="53" t="s">
        <v>261</v>
      </c>
      <c r="K332" s="53" t="s">
        <v>262</v>
      </c>
      <c r="L332" s="53">
        <v>1</v>
      </c>
    </row>
    <row r="333" spans="1:12">
      <c r="A333" s="53" t="s">
        <v>584</v>
      </c>
      <c r="D333" s="53" t="s">
        <v>260</v>
      </c>
      <c r="E333" s="14" t="s">
        <v>834</v>
      </c>
      <c r="F333" s="5">
        <v>41821</v>
      </c>
      <c r="G333" s="5">
        <v>44593</v>
      </c>
      <c r="H333" s="53">
        <v>92</v>
      </c>
      <c r="I333" s="15" t="s">
        <v>259</v>
      </c>
      <c r="J333" s="53" t="s">
        <v>261</v>
      </c>
      <c r="K333" s="53" t="s">
        <v>262</v>
      </c>
      <c r="L333" s="53">
        <v>1</v>
      </c>
    </row>
    <row r="334" spans="1:12">
      <c r="A334" s="53" t="s">
        <v>585</v>
      </c>
      <c r="D334" s="53" t="s">
        <v>260</v>
      </c>
      <c r="E334" s="14" t="s">
        <v>835</v>
      </c>
      <c r="F334" s="5">
        <v>41821</v>
      </c>
      <c r="G334" s="5">
        <v>44593</v>
      </c>
      <c r="H334" s="53">
        <v>92</v>
      </c>
      <c r="I334" s="15" t="s">
        <v>259</v>
      </c>
      <c r="J334" s="53" t="s">
        <v>261</v>
      </c>
      <c r="K334" s="53" t="s">
        <v>262</v>
      </c>
      <c r="L334" s="53">
        <v>1</v>
      </c>
    </row>
    <row r="335" spans="1:12">
      <c r="A335" s="53" t="s">
        <v>586</v>
      </c>
      <c r="D335" s="53" t="s">
        <v>260</v>
      </c>
      <c r="E335" s="14" t="s">
        <v>836</v>
      </c>
      <c r="F335" s="5">
        <v>41821</v>
      </c>
      <c r="G335" s="5">
        <v>44593</v>
      </c>
      <c r="H335" s="53">
        <v>92</v>
      </c>
      <c r="I335" s="15" t="s">
        <v>259</v>
      </c>
      <c r="J335" s="53" t="s">
        <v>261</v>
      </c>
      <c r="K335" s="53" t="s">
        <v>262</v>
      </c>
      <c r="L335" s="53">
        <v>1</v>
      </c>
    </row>
    <row r="336" spans="1:12">
      <c r="A336" s="53" t="s">
        <v>587</v>
      </c>
      <c r="D336" s="53" t="s">
        <v>260</v>
      </c>
      <c r="E336" s="14" t="s">
        <v>837</v>
      </c>
      <c r="F336" s="5">
        <v>41821</v>
      </c>
      <c r="G336" s="5">
        <v>44593</v>
      </c>
      <c r="H336" s="53">
        <v>92</v>
      </c>
      <c r="I336" s="15" t="s">
        <v>259</v>
      </c>
      <c r="J336" s="53" t="s">
        <v>261</v>
      </c>
      <c r="K336" s="53" t="s">
        <v>262</v>
      </c>
      <c r="L336" s="53">
        <v>1</v>
      </c>
    </row>
    <row r="337" spans="1:12">
      <c r="A337" s="53" t="s">
        <v>588</v>
      </c>
      <c r="D337" s="53" t="s">
        <v>260</v>
      </c>
      <c r="E337" s="14" t="s">
        <v>838</v>
      </c>
      <c r="F337" s="5">
        <v>41821</v>
      </c>
      <c r="G337" s="5">
        <v>44593</v>
      </c>
      <c r="H337" s="53">
        <v>92</v>
      </c>
      <c r="I337" s="15" t="s">
        <v>259</v>
      </c>
      <c r="J337" s="53" t="s">
        <v>261</v>
      </c>
      <c r="K337" s="53" t="s">
        <v>262</v>
      </c>
      <c r="L337" s="53">
        <v>1</v>
      </c>
    </row>
    <row r="338" spans="1:12">
      <c r="A338" s="53" t="s">
        <v>589</v>
      </c>
      <c r="D338" s="53" t="s">
        <v>260</v>
      </c>
      <c r="E338" s="14" t="s">
        <v>839</v>
      </c>
      <c r="F338" s="5">
        <v>41821</v>
      </c>
      <c r="G338" s="5">
        <v>44593</v>
      </c>
      <c r="H338" s="53">
        <v>92</v>
      </c>
      <c r="I338" s="15" t="s">
        <v>259</v>
      </c>
      <c r="J338" s="53" t="s">
        <v>261</v>
      </c>
      <c r="K338" s="53" t="s">
        <v>262</v>
      </c>
      <c r="L338" s="53">
        <v>1</v>
      </c>
    </row>
    <row r="339" spans="1:12">
      <c r="A339" s="53" t="s">
        <v>590</v>
      </c>
      <c r="D339" s="53" t="s">
        <v>260</v>
      </c>
      <c r="E339" s="14" t="s">
        <v>840</v>
      </c>
      <c r="F339" s="5">
        <v>41821</v>
      </c>
      <c r="G339" s="5">
        <v>44593</v>
      </c>
      <c r="H339" s="53">
        <v>92</v>
      </c>
      <c r="I339" s="15" t="s">
        <v>259</v>
      </c>
      <c r="J339" s="53" t="s">
        <v>261</v>
      </c>
      <c r="K339" s="53" t="s">
        <v>262</v>
      </c>
      <c r="L339" s="53">
        <v>1</v>
      </c>
    </row>
    <row r="340" spans="1:12">
      <c r="A340" s="53" t="s">
        <v>591</v>
      </c>
      <c r="D340" s="53" t="s">
        <v>260</v>
      </c>
      <c r="E340" s="14" t="s">
        <v>841</v>
      </c>
      <c r="F340" s="5">
        <v>41821</v>
      </c>
      <c r="G340" s="5">
        <v>44593</v>
      </c>
      <c r="H340" s="53">
        <v>92</v>
      </c>
      <c r="I340" s="15" t="s">
        <v>259</v>
      </c>
      <c r="J340" s="53" t="s">
        <v>261</v>
      </c>
      <c r="K340" s="53" t="s">
        <v>262</v>
      </c>
      <c r="L340" s="53">
        <v>1</v>
      </c>
    </row>
    <row r="341" spans="1:12">
      <c r="A341" s="53" t="s">
        <v>592</v>
      </c>
      <c r="D341" s="53" t="s">
        <v>260</v>
      </c>
      <c r="E341" s="14" t="s">
        <v>842</v>
      </c>
      <c r="F341" s="5">
        <v>41821</v>
      </c>
      <c r="G341" s="5">
        <v>44593</v>
      </c>
      <c r="H341" s="53">
        <v>92</v>
      </c>
      <c r="I341" s="15" t="s">
        <v>259</v>
      </c>
      <c r="J341" s="53" t="s">
        <v>261</v>
      </c>
      <c r="K341" s="53" t="s">
        <v>262</v>
      </c>
      <c r="L341" s="53">
        <v>1</v>
      </c>
    </row>
    <row r="342" spans="1:12">
      <c r="A342" s="53" t="s">
        <v>593</v>
      </c>
      <c r="D342" s="53" t="s">
        <v>260</v>
      </c>
      <c r="E342" s="14" t="s">
        <v>843</v>
      </c>
      <c r="F342" s="5">
        <v>41821</v>
      </c>
      <c r="G342" s="5">
        <v>44593</v>
      </c>
      <c r="H342" s="53">
        <v>92</v>
      </c>
      <c r="I342" s="15" t="s">
        <v>259</v>
      </c>
      <c r="J342" s="53" t="s">
        <v>261</v>
      </c>
      <c r="K342" s="53" t="s">
        <v>262</v>
      </c>
      <c r="L342" s="53">
        <v>1</v>
      </c>
    </row>
    <row r="343" spans="1:12">
      <c r="A343" s="53" t="s">
        <v>594</v>
      </c>
      <c r="D343" s="53" t="s">
        <v>260</v>
      </c>
      <c r="E343" s="14" t="s">
        <v>844</v>
      </c>
      <c r="F343" s="5">
        <v>41821</v>
      </c>
      <c r="G343" s="5">
        <v>44593</v>
      </c>
      <c r="H343" s="53">
        <v>92</v>
      </c>
      <c r="I343" s="15" t="s">
        <v>259</v>
      </c>
      <c r="J343" s="53" t="s">
        <v>261</v>
      </c>
      <c r="K343" s="53" t="s">
        <v>262</v>
      </c>
      <c r="L343" s="53">
        <v>1</v>
      </c>
    </row>
    <row r="344" spans="1:12">
      <c r="A344" s="53" t="s">
        <v>595</v>
      </c>
      <c r="D344" s="53" t="s">
        <v>260</v>
      </c>
      <c r="E344" s="14" t="s">
        <v>845</v>
      </c>
      <c r="F344" s="5">
        <v>41821</v>
      </c>
      <c r="G344" s="5">
        <v>44593</v>
      </c>
      <c r="H344" s="53">
        <v>92</v>
      </c>
      <c r="I344" s="15" t="s">
        <v>259</v>
      </c>
      <c r="J344" s="53" t="s">
        <v>261</v>
      </c>
      <c r="K344" s="53" t="s">
        <v>262</v>
      </c>
      <c r="L344" s="53">
        <v>1</v>
      </c>
    </row>
    <row r="345" spans="1:12">
      <c r="A345" s="53" t="s">
        <v>596</v>
      </c>
      <c r="D345" s="53" t="s">
        <v>260</v>
      </c>
      <c r="E345" s="14" t="s">
        <v>846</v>
      </c>
      <c r="F345" s="5">
        <v>41821</v>
      </c>
      <c r="G345" s="5">
        <v>44593</v>
      </c>
      <c r="H345" s="53">
        <v>92</v>
      </c>
      <c r="I345" s="15" t="s">
        <v>259</v>
      </c>
      <c r="J345" s="53" t="s">
        <v>261</v>
      </c>
      <c r="K345" s="53" t="s">
        <v>262</v>
      </c>
      <c r="L345" s="53">
        <v>1</v>
      </c>
    </row>
    <row r="346" spans="1:12">
      <c r="A346" s="53" t="s">
        <v>597</v>
      </c>
      <c r="D346" s="53" t="s">
        <v>260</v>
      </c>
      <c r="E346" s="14" t="s">
        <v>847</v>
      </c>
      <c r="F346" s="5">
        <v>41821</v>
      </c>
      <c r="G346" s="5">
        <v>44593</v>
      </c>
      <c r="H346" s="53">
        <v>92</v>
      </c>
      <c r="I346" s="15" t="s">
        <v>259</v>
      </c>
      <c r="J346" s="53" t="s">
        <v>261</v>
      </c>
      <c r="K346" s="53" t="s">
        <v>262</v>
      </c>
      <c r="L346" s="53">
        <v>1</v>
      </c>
    </row>
    <row r="347" spans="1:12">
      <c r="A347" s="53" t="s">
        <v>598</v>
      </c>
      <c r="D347" s="53" t="s">
        <v>260</v>
      </c>
      <c r="E347" s="14" t="s">
        <v>848</v>
      </c>
      <c r="F347" s="5">
        <v>41821</v>
      </c>
      <c r="G347" s="5">
        <v>44593</v>
      </c>
      <c r="H347" s="53">
        <v>92</v>
      </c>
      <c r="I347" s="15" t="s">
        <v>259</v>
      </c>
      <c r="J347" s="53" t="s">
        <v>261</v>
      </c>
      <c r="K347" s="53" t="s">
        <v>262</v>
      </c>
      <c r="L347" s="53">
        <v>1</v>
      </c>
    </row>
    <row r="348" spans="1:12">
      <c r="A348" s="53" t="s">
        <v>599</v>
      </c>
      <c r="D348" s="53" t="s">
        <v>260</v>
      </c>
      <c r="E348" s="14" t="s">
        <v>849</v>
      </c>
      <c r="F348" s="5">
        <v>41821</v>
      </c>
      <c r="G348" s="5">
        <v>44593</v>
      </c>
      <c r="H348" s="53">
        <v>92</v>
      </c>
      <c r="I348" s="15" t="s">
        <v>259</v>
      </c>
      <c r="J348" s="53" t="s">
        <v>261</v>
      </c>
      <c r="K348" s="53" t="s">
        <v>262</v>
      </c>
      <c r="L348" s="53">
        <v>1</v>
      </c>
    </row>
    <row r="349" spans="1:12">
      <c r="A349" s="53" t="s">
        <v>600</v>
      </c>
      <c r="D349" s="53" t="s">
        <v>260</v>
      </c>
      <c r="E349" s="14" t="s">
        <v>850</v>
      </c>
      <c r="F349" s="5">
        <v>41821</v>
      </c>
      <c r="G349" s="5">
        <v>44593</v>
      </c>
      <c r="H349" s="53">
        <v>92</v>
      </c>
      <c r="I349" s="15" t="s">
        <v>259</v>
      </c>
      <c r="J349" s="53" t="s">
        <v>261</v>
      </c>
      <c r="K349" s="53" t="s">
        <v>262</v>
      </c>
      <c r="L349" s="53">
        <v>1</v>
      </c>
    </row>
    <row r="350" spans="1:12">
      <c r="A350" s="53" t="s">
        <v>601</v>
      </c>
      <c r="D350" s="53" t="s">
        <v>260</v>
      </c>
      <c r="E350" s="14" t="s">
        <v>851</v>
      </c>
      <c r="F350" s="5">
        <v>41821</v>
      </c>
      <c r="G350" s="5">
        <v>44593</v>
      </c>
      <c r="H350" s="53">
        <v>92</v>
      </c>
      <c r="I350" s="15" t="s">
        <v>259</v>
      </c>
      <c r="J350" s="53" t="s">
        <v>261</v>
      </c>
      <c r="K350" s="53" t="s">
        <v>262</v>
      </c>
      <c r="L350" s="53">
        <v>1</v>
      </c>
    </row>
    <row r="351" spans="1:12">
      <c r="A351" s="53" t="s">
        <v>602</v>
      </c>
      <c r="D351" s="53" t="s">
        <v>260</v>
      </c>
      <c r="E351" s="14" t="s">
        <v>852</v>
      </c>
      <c r="F351" s="5">
        <v>41821</v>
      </c>
      <c r="G351" s="5">
        <v>44593</v>
      </c>
      <c r="H351" s="53">
        <v>92</v>
      </c>
      <c r="I351" s="15" t="s">
        <v>259</v>
      </c>
      <c r="J351" s="53" t="s">
        <v>261</v>
      </c>
      <c r="K351" s="53" t="s">
        <v>262</v>
      </c>
      <c r="L351" s="53">
        <v>1</v>
      </c>
    </row>
    <row r="352" spans="1:12">
      <c r="A352" s="53" t="s">
        <v>603</v>
      </c>
      <c r="D352" s="53" t="s">
        <v>260</v>
      </c>
      <c r="E352" s="14" t="s">
        <v>853</v>
      </c>
      <c r="F352" s="5">
        <v>41821</v>
      </c>
      <c r="G352" s="5">
        <v>44593</v>
      </c>
      <c r="H352" s="53">
        <v>92</v>
      </c>
      <c r="I352" s="15" t="s">
        <v>259</v>
      </c>
      <c r="J352" s="53" t="s">
        <v>261</v>
      </c>
      <c r="K352" s="53" t="s">
        <v>262</v>
      </c>
      <c r="L352" s="53">
        <v>1</v>
      </c>
    </row>
    <row r="353" spans="1:12">
      <c r="A353" s="53" t="s">
        <v>604</v>
      </c>
      <c r="D353" s="53" t="s">
        <v>260</v>
      </c>
      <c r="E353" s="14" t="s">
        <v>854</v>
      </c>
      <c r="F353" s="5">
        <v>41821</v>
      </c>
      <c r="G353" s="5">
        <v>44593</v>
      </c>
      <c r="H353" s="53">
        <v>92</v>
      </c>
      <c r="I353" s="15" t="s">
        <v>259</v>
      </c>
      <c r="J353" s="53" t="s">
        <v>261</v>
      </c>
      <c r="K353" s="53" t="s">
        <v>262</v>
      </c>
      <c r="L353" s="53">
        <v>1</v>
      </c>
    </row>
    <row r="354" spans="1:12">
      <c r="A354" s="53" t="s">
        <v>605</v>
      </c>
      <c r="D354" s="53" t="s">
        <v>260</v>
      </c>
      <c r="E354" s="14" t="s">
        <v>855</v>
      </c>
      <c r="F354" s="5">
        <v>41821</v>
      </c>
      <c r="G354" s="5">
        <v>44593</v>
      </c>
      <c r="H354" s="53">
        <v>92</v>
      </c>
      <c r="I354" s="15" t="s">
        <v>259</v>
      </c>
      <c r="J354" s="53" t="s">
        <v>261</v>
      </c>
      <c r="K354" s="53" t="s">
        <v>262</v>
      </c>
      <c r="L354" s="53">
        <v>1</v>
      </c>
    </row>
    <row r="355" spans="1:12">
      <c r="A355" s="53" t="s">
        <v>606</v>
      </c>
      <c r="D355" s="53" t="s">
        <v>260</v>
      </c>
      <c r="E355" s="14" t="s">
        <v>856</v>
      </c>
      <c r="F355" s="5">
        <v>41821</v>
      </c>
      <c r="G355" s="5">
        <v>44593</v>
      </c>
      <c r="H355" s="53">
        <v>92</v>
      </c>
      <c r="I355" s="15" t="s">
        <v>259</v>
      </c>
      <c r="J355" s="53" t="s">
        <v>261</v>
      </c>
      <c r="K355" s="53" t="s">
        <v>262</v>
      </c>
      <c r="L355" s="53">
        <v>1</v>
      </c>
    </row>
    <row r="356" spans="1:12">
      <c r="A356" s="53" t="s">
        <v>607</v>
      </c>
      <c r="D356" s="53" t="s">
        <v>260</v>
      </c>
      <c r="E356" s="14" t="s">
        <v>857</v>
      </c>
      <c r="F356" s="5">
        <v>41821</v>
      </c>
      <c r="G356" s="5">
        <v>44593</v>
      </c>
      <c r="H356" s="53">
        <v>92</v>
      </c>
      <c r="I356" s="15" t="s">
        <v>259</v>
      </c>
      <c r="J356" s="53" t="s">
        <v>261</v>
      </c>
      <c r="K356" s="53" t="s">
        <v>262</v>
      </c>
      <c r="L356" s="53">
        <v>1</v>
      </c>
    </row>
    <row r="357" spans="1:12">
      <c r="A357" s="53" t="s">
        <v>608</v>
      </c>
      <c r="D357" s="53" t="s">
        <v>260</v>
      </c>
      <c r="E357" s="14" t="s">
        <v>858</v>
      </c>
      <c r="F357" s="5">
        <v>41821</v>
      </c>
      <c r="G357" s="5">
        <v>44593</v>
      </c>
      <c r="H357" s="53">
        <v>92</v>
      </c>
      <c r="I357" s="15" t="s">
        <v>259</v>
      </c>
      <c r="J357" s="53" t="s">
        <v>261</v>
      </c>
      <c r="K357" s="53" t="s">
        <v>262</v>
      </c>
      <c r="L357" s="53">
        <v>1</v>
      </c>
    </row>
    <row r="358" spans="1:12">
      <c r="A358" s="53" t="s">
        <v>609</v>
      </c>
      <c r="D358" s="53" t="s">
        <v>260</v>
      </c>
      <c r="E358" s="14" t="s">
        <v>859</v>
      </c>
      <c r="F358" s="5">
        <v>41821</v>
      </c>
      <c r="G358" s="5">
        <v>44593</v>
      </c>
      <c r="H358" s="53">
        <v>92</v>
      </c>
      <c r="I358" s="15" t="s">
        <v>259</v>
      </c>
      <c r="J358" s="53" t="s">
        <v>261</v>
      </c>
      <c r="K358" s="53" t="s">
        <v>262</v>
      </c>
      <c r="L358" s="53">
        <v>1</v>
      </c>
    </row>
    <row r="359" spans="1:12">
      <c r="A359" s="53" t="s">
        <v>610</v>
      </c>
      <c r="D359" s="53" t="s">
        <v>260</v>
      </c>
      <c r="E359" s="14" t="s">
        <v>860</v>
      </c>
      <c r="F359" s="5">
        <v>41821</v>
      </c>
      <c r="G359" s="5">
        <v>44593</v>
      </c>
      <c r="H359" s="53">
        <v>92</v>
      </c>
      <c r="I359" s="15" t="s">
        <v>259</v>
      </c>
      <c r="J359" s="53" t="s">
        <v>261</v>
      </c>
      <c r="K359" s="53" t="s">
        <v>262</v>
      </c>
      <c r="L359" s="53">
        <v>1</v>
      </c>
    </row>
    <row r="360" spans="1:12">
      <c r="A360" s="53" t="s">
        <v>611</v>
      </c>
      <c r="D360" s="53" t="s">
        <v>260</v>
      </c>
      <c r="E360" s="14" t="s">
        <v>861</v>
      </c>
      <c r="F360" s="5">
        <v>41821</v>
      </c>
      <c r="G360" s="5">
        <v>44593</v>
      </c>
      <c r="H360" s="53">
        <v>92</v>
      </c>
      <c r="I360" s="15" t="s">
        <v>259</v>
      </c>
      <c r="J360" s="53" t="s">
        <v>261</v>
      </c>
      <c r="K360" s="53" t="s">
        <v>262</v>
      </c>
      <c r="L360" s="53">
        <v>1</v>
      </c>
    </row>
    <row r="361" spans="1:12">
      <c r="A361" s="53" t="s">
        <v>612</v>
      </c>
      <c r="D361" s="53" t="s">
        <v>260</v>
      </c>
      <c r="E361" s="14" t="s">
        <v>862</v>
      </c>
      <c r="F361" s="5">
        <v>41821</v>
      </c>
      <c r="G361" s="5">
        <v>44593</v>
      </c>
      <c r="H361" s="53">
        <v>92</v>
      </c>
      <c r="I361" s="15" t="s">
        <v>259</v>
      </c>
      <c r="J361" s="53" t="s">
        <v>261</v>
      </c>
      <c r="K361" s="53" t="s">
        <v>262</v>
      </c>
      <c r="L361" s="53">
        <v>1</v>
      </c>
    </row>
    <row r="362" spans="1:12">
      <c r="A362" s="53" t="s">
        <v>613</v>
      </c>
      <c r="D362" s="53" t="s">
        <v>260</v>
      </c>
      <c r="E362" s="14" t="s">
        <v>863</v>
      </c>
      <c r="F362" s="5">
        <v>41821</v>
      </c>
      <c r="G362" s="5">
        <v>44593</v>
      </c>
      <c r="H362" s="53">
        <v>92</v>
      </c>
      <c r="I362" s="15" t="s">
        <v>259</v>
      </c>
      <c r="J362" s="53" t="s">
        <v>261</v>
      </c>
      <c r="K362" s="53" t="s">
        <v>262</v>
      </c>
      <c r="L362" s="53">
        <v>1</v>
      </c>
    </row>
    <row r="363" spans="1:12">
      <c r="A363" s="53" t="s">
        <v>614</v>
      </c>
      <c r="D363" s="53" t="s">
        <v>260</v>
      </c>
      <c r="E363" s="14" t="s">
        <v>864</v>
      </c>
      <c r="F363" s="5">
        <v>41821</v>
      </c>
      <c r="G363" s="5">
        <v>44593</v>
      </c>
      <c r="H363" s="53">
        <v>92</v>
      </c>
      <c r="I363" s="15" t="s">
        <v>259</v>
      </c>
      <c r="J363" s="53" t="s">
        <v>261</v>
      </c>
      <c r="K363" s="53" t="s">
        <v>262</v>
      </c>
      <c r="L363" s="53">
        <v>1</v>
      </c>
    </row>
    <row r="364" spans="1:12">
      <c r="A364" s="53" t="s">
        <v>615</v>
      </c>
      <c r="D364" s="53" t="s">
        <v>260</v>
      </c>
      <c r="E364" s="14" t="s">
        <v>865</v>
      </c>
      <c r="F364" s="5">
        <v>41821</v>
      </c>
      <c r="G364" s="5">
        <v>44593</v>
      </c>
      <c r="H364" s="53">
        <v>92</v>
      </c>
      <c r="I364" s="15" t="s">
        <v>259</v>
      </c>
      <c r="J364" s="53" t="s">
        <v>261</v>
      </c>
      <c r="K364" s="53" t="s">
        <v>262</v>
      </c>
      <c r="L364" s="53">
        <v>1</v>
      </c>
    </row>
    <row r="365" spans="1:12">
      <c r="A365" s="53" t="s">
        <v>616</v>
      </c>
      <c r="D365" s="53" t="s">
        <v>260</v>
      </c>
      <c r="E365" s="14" t="s">
        <v>866</v>
      </c>
      <c r="F365" s="5">
        <v>41821</v>
      </c>
      <c r="G365" s="5">
        <v>44593</v>
      </c>
      <c r="H365" s="53">
        <v>92</v>
      </c>
      <c r="I365" s="15" t="s">
        <v>259</v>
      </c>
      <c r="J365" s="53" t="s">
        <v>261</v>
      </c>
      <c r="K365" s="53" t="s">
        <v>262</v>
      </c>
      <c r="L365" s="53">
        <v>1</v>
      </c>
    </row>
    <row r="366" spans="1:12">
      <c r="A366" s="53" t="s">
        <v>617</v>
      </c>
      <c r="D366" s="53" t="s">
        <v>260</v>
      </c>
      <c r="E366" s="14" t="s">
        <v>867</v>
      </c>
      <c r="F366" s="5">
        <v>41821</v>
      </c>
      <c r="G366" s="5">
        <v>44593</v>
      </c>
      <c r="H366" s="53">
        <v>92</v>
      </c>
      <c r="I366" s="15" t="s">
        <v>259</v>
      </c>
      <c r="J366" s="53" t="s">
        <v>261</v>
      </c>
      <c r="K366" s="53" t="s">
        <v>262</v>
      </c>
      <c r="L366" s="53">
        <v>1</v>
      </c>
    </row>
    <row r="367" spans="1:12">
      <c r="A367" s="53" t="s">
        <v>618</v>
      </c>
      <c r="D367" s="53" t="s">
        <v>260</v>
      </c>
      <c r="E367" s="14" t="s">
        <v>868</v>
      </c>
      <c r="F367" s="5">
        <v>41821</v>
      </c>
      <c r="G367" s="5">
        <v>44593</v>
      </c>
      <c r="H367" s="53">
        <v>92</v>
      </c>
      <c r="I367" s="15" t="s">
        <v>259</v>
      </c>
      <c r="J367" s="53" t="s">
        <v>261</v>
      </c>
      <c r="K367" s="53" t="s">
        <v>262</v>
      </c>
      <c r="L367" s="53">
        <v>1</v>
      </c>
    </row>
    <row r="368" spans="1:12">
      <c r="A368" s="53" t="s">
        <v>619</v>
      </c>
      <c r="D368" s="53" t="s">
        <v>260</v>
      </c>
      <c r="E368" s="14" t="s">
        <v>869</v>
      </c>
      <c r="F368" s="5">
        <v>41821</v>
      </c>
      <c r="G368" s="5">
        <v>44593</v>
      </c>
      <c r="H368" s="53">
        <v>92</v>
      </c>
      <c r="I368" s="15" t="s">
        <v>259</v>
      </c>
      <c r="J368" s="53" t="s">
        <v>261</v>
      </c>
      <c r="K368" s="53" t="s">
        <v>262</v>
      </c>
      <c r="L368" s="53">
        <v>1</v>
      </c>
    </row>
    <row r="369" spans="1:12">
      <c r="A369" s="53" t="s">
        <v>620</v>
      </c>
      <c r="D369" s="53" t="s">
        <v>260</v>
      </c>
      <c r="E369" s="14" t="s">
        <v>870</v>
      </c>
      <c r="F369" s="5">
        <v>41821</v>
      </c>
      <c r="G369" s="5">
        <v>44593</v>
      </c>
      <c r="H369" s="53">
        <v>92</v>
      </c>
      <c r="I369" s="15" t="s">
        <v>259</v>
      </c>
      <c r="J369" s="53" t="s">
        <v>261</v>
      </c>
      <c r="K369" s="53" t="s">
        <v>262</v>
      </c>
      <c r="L369" s="53">
        <v>1</v>
      </c>
    </row>
    <row r="370" spans="1:12">
      <c r="A370" s="53" t="s">
        <v>621</v>
      </c>
      <c r="D370" s="53" t="s">
        <v>260</v>
      </c>
      <c r="E370" s="14" t="s">
        <v>871</v>
      </c>
      <c r="F370" s="5">
        <v>41821</v>
      </c>
      <c r="G370" s="5">
        <v>44593</v>
      </c>
      <c r="H370" s="53">
        <v>92</v>
      </c>
      <c r="I370" s="15" t="s">
        <v>259</v>
      </c>
      <c r="J370" s="53" t="s">
        <v>261</v>
      </c>
      <c r="K370" s="53" t="s">
        <v>262</v>
      </c>
      <c r="L370" s="53">
        <v>1</v>
      </c>
    </row>
    <row r="371" spans="1:12">
      <c r="A371" s="53" t="s">
        <v>622</v>
      </c>
      <c r="D371" s="53" t="s">
        <v>260</v>
      </c>
      <c r="E371" s="14" t="s">
        <v>872</v>
      </c>
      <c r="F371" s="5">
        <v>41821</v>
      </c>
      <c r="G371" s="5">
        <v>44593</v>
      </c>
      <c r="H371" s="53">
        <v>92</v>
      </c>
      <c r="I371" s="15" t="s">
        <v>259</v>
      </c>
      <c r="J371" s="53" t="s">
        <v>261</v>
      </c>
      <c r="K371" s="53" t="s">
        <v>262</v>
      </c>
      <c r="L371" s="53">
        <v>1</v>
      </c>
    </row>
    <row r="372" spans="1:12">
      <c r="A372" s="53" t="s">
        <v>623</v>
      </c>
      <c r="D372" s="53" t="s">
        <v>260</v>
      </c>
      <c r="E372" s="14" t="s">
        <v>873</v>
      </c>
      <c r="F372" s="5">
        <v>41821</v>
      </c>
      <c r="G372" s="5">
        <v>44593</v>
      </c>
      <c r="H372" s="53">
        <v>92</v>
      </c>
      <c r="I372" s="15" t="s">
        <v>259</v>
      </c>
      <c r="J372" s="53" t="s">
        <v>261</v>
      </c>
      <c r="K372" s="53" t="s">
        <v>262</v>
      </c>
      <c r="L372" s="53">
        <v>1</v>
      </c>
    </row>
    <row r="373" spans="1:12">
      <c r="A373" s="53" t="s">
        <v>624</v>
      </c>
      <c r="D373" s="53" t="s">
        <v>260</v>
      </c>
      <c r="E373" s="14" t="s">
        <v>874</v>
      </c>
      <c r="F373" s="5">
        <v>41821</v>
      </c>
      <c r="G373" s="5">
        <v>44593</v>
      </c>
      <c r="H373" s="53">
        <v>92</v>
      </c>
      <c r="I373" s="15" t="s">
        <v>259</v>
      </c>
      <c r="J373" s="53" t="s">
        <v>261</v>
      </c>
      <c r="K373" s="53" t="s">
        <v>262</v>
      </c>
      <c r="L373" s="53">
        <v>1</v>
      </c>
    </row>
    <row r="374" spans="1:12">
      <c r="A374" s="53" t="s">
        <v>625</v>
      </c>
      <c r="D374" s="53" t="s">
        <v>260</v>
      </c>
      <c r="E374" s="14" t="s">
        <v>875</v>
      </c>
      <c r="F374" s="5">
        <v>41821</v>
      </c>
      <c r="G374" s="5">
        <v>44593</v>
      </c>
      <c r="H374" s="53">
        <v>92</v>
      </c>
      <c r="I374" s="15" t="s">
        <v>259</v>
      </c>
      <c r="J374" s="53" t="s">
        <v>261</v>
      </c>
      <c r="K374" s="53" t="s">
        <v>262</v>
      </c>
      <c r="L374" s="53">
        <v>1</v>
      </c>
    </row>
    <row r="375" spans="1:12">
      <c r="A375" s="53" t="s">
        <v>626</v>
      </c>
      <c r="D375" s="53" t="s">
        <v>260</v>
      </c>
      <c r="E375" s="14" t="s">
        <v>876</v>
      </c>
      <c r="F375" s="5">
        <v>41821</v>
      </c>
      <c r="G375" s="5">
        <v>44593</v>
      </c>
      <c r="H375" s="53">
        <v>92</v>
      </c>
      <c r="I375" s="15" t="s">
        <v>259</v>
      </c>
      <c r="J375" s="53" t="s">
        <v>261</v>
      </c>
      <c r="K375" s="53" t="s">
        <v>262</v>
      </c>
      <c r="L375" s="53">
        <v>1</v>
      </c>
    </row>
    <row r="376" spans="1:12">
      <c r="A376" s="53" t="s">
        <v>627</v>
      </c>
      <c r="D376" s="53" t="s">
        <v>260</v>
      </c>
      <c r="E376" s="14" t="s">
        <v>877</v>
      </c>
      <c r="F376" s="5">
        <v>41821</v>
      </c>
      <c r="G376" s="5">
        <v>44593</v>
      </c>
      <c r="H376" s="53">
        <v>92</v>
      </c>
      <c r="I376" s="15" t="s">
        <v>259</v>
      </c>
      <c r="J376" s="53" t="s">
        <v>261</v>
      </c>
      <c r="K376" s="53" t="s">
        <v>262</v>
      </c>
      <c r="L376" s="53">
        <v>1</v>
      </c>
    </row>
    <row r="377" spans="1:12">
      <c r="A377" s="53" t="s">
        <v>628</v>
      </c>
      <c r="D377" s="53" t="s">
        <v>260</v>
      </c>
      <c r="E377" s="14" t="s">
        <v>878</v>
      </c>
      <c r="F377" s="5">
        <v>41821</v>
      </c>
      <c r="G377" s="5">
        <v>44593</v>
      </c>
      <c r="H377" s="53">
        <v>92</v>
      </c>
      <c r="I377" s="15" t="s">
        <v>259</v>
      </c>
      <c r="J377" s="53" t="s">
        <v>261</v>
      </c>
      <c r="K377" s="53" t="s">
        <v>262</v>
      </c>
      <c r="L377" s="53">
        <v>1</v>
      </c>
    </row>
    <row r="378" spans="1:12">
      <c r="A378" s="53" t="s">
        <v>629</v>
      </c>
      <c r="D378" s="53" t="s">
        <v>260</v>
      </c>
      <c r="E378" s="14" t="s">
        <v>879</v>
      </c>
      <c r="F378" s="5">
        <v>41821</v>
      </c>
      <c r="G378" s="5">
        <v>44593</v>
      </c>
      <c r="H378" s="53">
        <v>92</v>
      </c>
      <c r="I378" s="15" t="s">
        <v>259</v>
      </c>
      <c r="J378" s="53" t="s">
        <v>261</v>
      </c>
      <c r="K378" s="53" t="s">
        <v>262</v>
      </c>
      <c r="L378" s="53">
        <v>1</v>
      </c>
    </row>
    <row r="379" spans="1:12">
      <c r="A379" s="53" t="s">
        <v>630</v>
      </c>
      <c r="D379" s="53" t="s">
        <v>260</v>
      </c>
      <c r="E379" s="14" t="s">
        <v>880</v>
      </c>
      <c r="F379" s="5">
        <v>41821</v>
      </c>
      <c r="G379" s="5">
        <v>44593</v>
      </c>
      <c r="H379" s="53">
        <v>92</v>
      </c>
      <c r="I379" s="15" t="s">
        <v>259</v>
      </c>
      <c r="J379" s="53" t="s">
        <v>261</v>
      </c>
      <c r="K379" s="53" t="s">
        <v>262</v>
      </c>
      <c r="L379" s="53">
        <v>1</v>
      </c>
    </row>
    <row r="380" spans="1:12">
      <c r="A380" s="53" t="s">
        <v>631</v>
      </c>
      <c r="D380" s="53" t="s">
        <v>260</v>
      </c>
      <c r="E380" s="14" t="s">
        <v>881</v>
      </c>
      <c r="F380" s="5">
        <v>41821</v>
      </c>
      <c r="G380" s="5">
        <v>44593</v>
      </c>
      <c r="H380" s="53">
        <v>92</v>
      </c>
      <c r="I380" s="15" t="s">
        <v>259</v>
      </c>
      <c r="J380" s="53" t="s">
        <v>261</v>
      </c>
      <c r="K380" s="53" t="s">
        <v>262</v>
      </c>
      <c r="L380" s="53">
        <v>1</v>
      </c>
    </row>
    <row r="381" spans="1:12">
      <c r="A381" s="53" t="s">
        <v>632</v>
      </c>
      <c r="D381" s="53" t="s">
        <v>260</v>
      </c>
      <c r="E381" s="14" t="s">
        <v>882</v>
      </c>
      <c r="F381" s="5">
        <v>41821</v>
      </c>
      <c r="G381" s="5">
        <v>44593</v>
      </c>
      <c r="H381" s="53">
        <v>92</v>
      </c>
      <c r="I381" s="15" t="s">
        <v>259</v>
      </c>
      <c r="J381" s="53" t="s">
        <v>261</v>
      </c>
      <c r="K381" s="53" t="s">
        <v>262</v>
      </c>
      <c r="L381" s="53">
        <v>1</v>
      </c>
    </row>
    <row r="382" spans="1:12">
      <c r="A382" s="53" t="s">
        <v>633</v>
      </c>
      <c r="D382" s="53" t="s">
        <v>260</v>
      </c>
      <c r="E382" s="14" t="s">
        <v>883</v>
      </c>
      <c r="F382" s="5">
        <v>41821</v>
      </c>
      <c r="G382" s="5">
        <v>44593</v>
      </c>
      <c r="H382" s="53">
        <v>92</v>
      </c>
      <c r="I382" s="15" t="s">
        <v>259</v>
      </c>
      <c r="J382" s="53" t="s">
        <v>261</v>
      </c>
      <c r="K382" s="53" t="s">
        <v>262</v>
      </c>
      <c r="L382" s="53">
        <v>1</v>
      </c>
    </row>
    <row r="383" spans="1:12">
      <c r="A383" s="53" t="s">
        <v>634</v>
      </c>
      <c r="D383" s="53" t="s">
        <v>260</v>
      </c>
      <c r="E383" s="14" t="s">
        <v>884</v>
      </c>
      <c r="F383" s="5">
        <v>41821</v>
      </c>
      <c r="G383" s="5">
        <v>44593</v>
      </c>
      <c r="H383" s="53">
        <v>92</v>
      </c>
      <c r="I383" s="15" t="s">
        <v>259</v>
      </c>
      <c r="J383" s="53" t="s">
        <v>261</v>
      </c>
      <c r="K383" s="53" t="s">
        <v>262</v>
      </c>
      <c r="L383" s="53">
        <v>1</v>
      </c>
    </row>
    <row r="384" spans="1:12">
      <c r="A384" s="53" t="s">
        <v>635</v>
      </c>
      <c r="D384" s="53" t="s">
        <v>260</v>
      </c>
      <c r="E384" s="14" t="s">
        <v>885</v>
      </c>
      <c r="F384" s="5">
        <v>41821</v>
      </c>
      <c r="G384" s="5">
        <v>44593</v>
      </c>
      <c r="H384" s="53">
        <v>92</v>
      </c>
      <c r="I384" s="15" t="s">
        <v>259</v>
      </c>
      <c r="J384" s="53" t="s">
        <v>261</v>
      </c>
      <c r="K384" s="53" t="s">
        <v>262</v>
      </c>
      <c r="L384" s="53">
        <v>1</v>
      </c>
    </row>
    <row r="385" spans="1:12">
      <c r="A385" s="53" t="s">
        <v>636</v>
      </c>
      <c r="D385" s="53" t="s">
        <v>260</v>
      </c>
      <c r="E385" s="14" t="s">
        <v>886</v>
      </c>
      <c r="F385" s="5">
        <v>41821</v>
      </c>
      <c r="G385" s="5">
        <v>44593</v>
      </c>
      <c r="H385" s="53">
        <v>92</v>
      </c>
      <c r="I385" s="15" t="s">
        <v>259</v>
      </c>
      <c r="J385" s="53" t="s">
        <v>261</v>
      </c>
      <c r="K385" s="53" t="s">
        <v>262</v>
      </c>
      <c r="L385" s="53">
        <v>1</v>
      </c>
    </row>
    <row r="386" spans="1:12">
      <c r="A386" s="53" t="s">
        <v>637</v>
      </c>
      <c r="D386" s="53" t="s">
        <v>260</v>
      </c>
      <c r="E386" s="14" t="s">
        <v>887</v>
      </c>
      <c r="F386" s="5">
        <v>41821</v>
      </c>
      <c r="G386" s="5">
        <v>44593</v>
      </c>
      <c r="H386" s="53">
        <v>92</v>
      </c>
      <c r="I386" s="15" t="s">
        <v>259</v>
      </c>
      <c r="J386" s="53" t="s">
        <v>261</v>
      </c>
      <c r="K386" s="53" t="s">
        <v>262</v>
      </c>
      <c r="L386" s="53">
        <v>1</v>
      </c>
    </row>
    <row r="387" spans="1:12">
      <c r="A387" s="53" t="s">
        <v>638</v>
      </c>
      <c r="D387" s="53" t="s">
        <v>260</v>
      </c>
      <c r="E387" s="14" t="s">
        <v>888</v>
      </c>
      <c r="F387" s="5">
        <v>41821</v>
      </c>
      <c r="G387" s="5">
        <v>44593</v>
      </c>
      <c r="H387" s="53">
        <v>92</v>
      </c>
      <c r="I387" s="15" t="s">
        <v>259</v>
      </c>
      <c r="J387" s="53" t="s">
        <v>261</v>
      </c>
      <c r="K387" s="53" t="s">
        <v>262</v>
      </c>
      <c r="L387" s="53">
        <v>1</v>
      </c>
    </row>
    <row r="388" spans="1:12">
      <c r="A388" s="53" t="s">
        <v>639</v>
      </c>
      <c r="D388" s="53" t="s">
        <v>260</v>
      </c>
      <c r="E388" s="14" t="s">
        <v>889</v>
      </c>
      <c r="F388" s="5">
        <v>41821</v>
      </c>
      <c r="G388" s="5">
        <v>44593</v>
      </c>
      <c r="H388" s="53">
        <v>92</v>
      </c>
      <c r="I388" s="15" t="s">
        <v>259</v>
      </c>
      <c r="J388" s="53" t="s">
        <v>261</v>
      </c>
      <c r="K388" s="53" t="s">
        <v>262</v>
      </c>
      <c r="L388" s="53">
        <v>1</v>
      </c>
    </row>
    <row r="389" spans="1:12">
      <c r="A389" s="53" t="s">
        <v>640</v>
      </c>
      <c r="D389" s="53" t="s">
        <v>260</v>
      </c>
      <c r="E389" s="14" t="s">
        <v>890</v>
      </c>
      <c r="F389" s="5">
        <v>41821</v>
      </c>
      <c r="G389" s="5">
        <v>44593</v>
      </c>
      <c r="H389" s="53">
        <v>92</v>
      </c>
      <c r="I389" s="15" t="s">
        <v>259</v>
      </c>
      <c r="J389" s="53" t="s">
        <v>261</v>
      </c>
      <c r="K389" s="53" t="s">
        <v>262</v>
      </c>
      <c r="L389" s="53">
        <v>1</v>
      </c>
    </row>
    <row r="390" spans="1:12">
      <c r="A390" s="53" t="s">
        <v>641</v>
      </c>
      <c r="D390" s="53" t="s">
        <v>260</v>
      </c>
      <c r="E390" s="14" t="s">
        <v>891</v>
      </c>
      <c r="F390" s="5">
        <v>41821</v>
      </c>
      <c r="G390" s="5">
        <v>44593</v>
      </c>
      <c r="H390" s="53">
        <v>92</v>
      </c>
      <c r="I390" s="15" t="s">
        <v>259</v>
      </c>
      <c r="J390" s="53" t="s">
        <v>261</v>
      </c>
      <c r="K390" s="53" t="s">
        <v>262</v>
      </c>
      <c r="L390" s="53">
        <v>1</v>
      </c>
    </row>
    <row r="391" spans="1:12">
      <c r="A391" s="53" t="s">
        <v>642</v>
      </c>
      <c r="D391" s="53" t="s">
        <v>260</v>
      </c>
      <c r="E391" s="14" t="s">
        <v>892</v>
      </c>
      <c r="F391" s="5">
        <v>41821</v>
      </c>
      <c r="G391" s="5">
        <v>44593</v>
      </c>
      <c r="H391" s="53">
        <v>92</v>
      </c>
      <c r="I391" s="15" t="s">
        <v>259</v>
      </c>
      <c r="J391" s="53" t="s">
        <v>261</v>
      </c>
      <c r="K391" s="53" t="s">
        <v>262</v>
      </c>
      <c r="L391" s="53">
        <v>1</v>
      </c>
    </row>
    <row r="392" spans="1:12">
      <c r="A392" s="53" t="s">
        <v>643</v>
      </c>
      <c r="D392" s="53" t="s">
        <v>260</v>
      </c>
      <c r="E392" s="14" t="s">
        <v>893</v>
      </c>
      <c r="F392" s="5">
        <v>41821</v>
      </c>
      <c r="G392" s="5">
        <v>44593</v>
      </c>
      <c r="H392" s="53">
        <v>92</v>
      </c>
      <c r="I392" s="15" t="s">
        <v>259</v>
      </c>
      <c r="J392" s="53" t="s">
        <v>261</v>
      </c>
      <c r="K392" s="53" t="s">
        <v>262</v>
      </c>
      <c r="L392" s="53">
        <v>1</v>
      </c>
    </row>
    <row r="393" spans="1:12">
      <c r="A393" s="53" t="s">
        <v>644</v>
      </c>
      <c r="D393" s="53" t="s">
        <v>260</v>
      </c>
      <c r="E393" s="14" t="s">
        <v>894</v>
      </c>
      <c r="F393" s="5">
        <v>41821</v>
      </c>
      <c r="G393" s="5">
        <v>44593</v>
      </c>
      <c r="H393" s="53">
        <v>92</v>
      </c>
      <c r="I393" s="15" t="s">
        <v>259</v>
      </c>
      <c r="J393" s="53" t="s">
        <v>261</v>
      </c>
      <c r="K393" s="53" t="s">
        <v>262</v>
      </c>
      <c r="L393" s="53">
        <v>1</v>
      </c>
    </row>
    <row r="394" spans="1:12">
      <c r="A394" s="53" t="s">
        <v>645</v>
      </c>
      <c r="D394" s="53" t="s">
        <v>260</v>
      </c>
      <c r="E394" s="14" t="s">
        <v>895</v>
      </c>
      <c r="F394" s="5">
        <v>41821</v>
      </c>
      <c r="G394" s="5">
        <v>44593</v>
      </c>
      <c r="H394" s="53">
        <v>92</v>
      </c>
      <c r="I394" s="15" t="s">
        <v>259</v>
      </c>
      <c r="J394" s="53" t="s">
        <v>261</v>
      </c>
      <c r="K394" s="53" t="s">
        <v>262</v>
      </c>
      <c r="L394" s="53">
        <v>1</v>
      </c>
    </row>
    <row r="395" spans="1:12">
      <c r="A395" s="53" t="s">
        <v>646</v>
      </c>
      <c r="D395" s="53" t="s">
        <v>260</v>
      </c>
      <c r="E395" s="14" t="s">
        <v>896</v>
      </c>
      <c r="F395" s="5">
        <v>41821</v>
      </c>
      <c r="G395" s="5">
        <v>44593</v>
      </c>
      <c r="H395" s="53">
        <v>92</v>
      </c>
      <c r="I395" s="15" t="s">
        <v>259</v>
      </c>
      <c r="J395" s="53" t="s">
        <v>261</v>
      </c>
      <c r="K395" s="53" t="s">
        <v>262</v>
      </c>
      <c r="L395" s="53">
        <v>1</v>
      </c>
    </row>
    <row r="396" spans="1:12">
      <c r="A396" s="53" t="s">
        <v>647</v>
      </c>
      <c r="D396" s="53" t="s">
        <v>260</v>
      </c>
      <c r="E396" s="14" t="s">
        <v>897</v>
      </c>
      <c r="F396" s="5">
        <v>41821</v>
      </c>
      <c r="G396" s="5">
        <v>44593</v>
      </c>
      <c r="H396" s="53">
        <v>92</v>
      </c>
      <c r="I396" s="15" t="s">
        <v>259</v>
      </c>
      <c r="J396" s="53" t="s">
        <v>261</v>
      </c>
      <c r="K396" s="53" t="s">
        <v>262</v>
      </c>
      <c r="L396" s="53">
        <v>1</v>
      </c>
    </row>
    <row r="397" spans="1:12">
      <c r="A397" s="53" t="s">
        <v>648</v>
      </c>
      <c r="D397" s="53" t="s">
        <v>260</v>
      </c>
      <c r="E397" s="14" t="s">
        <v>898</v>
      </c>
      <c r="F397" s="5">
        <v>41821</v>
      </c>
      <c r="G397" s="5">
        <v>44593</v>
      </c>
      <c r="H397" s="53">
        <v>92</v>
      </c>
      <c r="I397" s="15" t="s">
        <v>259</v>
      </c>
      <c r="J397" s="53" t="s">
        <v>261</v>
      </c>
      <c r="K397" s="53" t="s">
        <v>262</v>
      </c>
      <c r="L397" s="53">
        <v>1</v>
      </c>
    </row>
    <row r="398" spans="1:12">
      <c r="A398" s="53" t="s">
        <v>649</v>
      </c>
      <c r="D398" s="53" t="s">
        <v>260</v>
      </c>
      <c r="E398" s="14" t="s">
        <v>899</v>
      </c>
      <c r="F398" s="5">
        <v>41821</v>
      </c>
      <c r="G398" s="5">
        <v>44593</v>
      </c>
      <c r="H398" s="53">
        <v>92</v>
      </c>
      <c r="I398" s="15" t="s">
        <v>259</v>
      </c>
      <c r="J398" s="53" t="s">
        <v>261</v>
      </c>
      <c r="K398" s="53" t="s">
        <v>262</v>
      </c>
      <c r="L398" s="53">
        <v>1</v>
      </c>
    </row>
    <row r="399" spans="1:12">
      <c r="A399" s="53" t="s">
        <v>650</v>
      </c>
      <c r="D399" s="53" t="s">
        <v>260</v>
      </c>
      <c r="E399" s="14" t="s">
        <v>900</v>
      </c>
      <c r="F399" s="5">
        <v>41821</v>
      </c>
      <c r="G399" s="5">
        <v>44593</v>
      </c>
      <c r="H399" s="53">
        <v>92</v>
      </c>
      <c r="I399" s="15" t="s">
        <v>259</v>
      </c>
      <c r="J399" s="53" t="s">
        <v>261</v>
      </c>
      <c r="K399" s="53" t="s">
        <v>262</v>
      </c>
      <c r="L399" s="53">
        <v>1</v>
      </c>
    </row>
    <row r="400" spans="1:12">
      <c r="A400" s="53" t="s">
        <v>651</v>
      </c>
      <c r="D400" s="53" t="s">
        <v>260</v>
      </c>
      <c r="E400" s="14" t="s">
        <v>901</v>
      </c>
      <c r="F400" s="5">
        <v>41821</v>
      </c>
      <c r="G400" s="5">
        <v>44593</v>
      </c>
      <c r="H400" s="53">
        <v>92</v>
      </c>
      <c r="I400" s="15" t="s">
        <v>259</v>
      </c>
      <c r="J400" s="53" t="s">
        <v>261</v>
      </c>
      <c r="K400" s="53" t="s">
        <v>262</v>
      </c>
      <c r="L400" s="53">
        <v>1</v>
      </c>
    </row>
    <row r="401" spans="1:12">
      <c r="A401" s="53" t="s">
        <v>652</v>
      </c>
      <c r="D401" s="53" t="s">
        <v>260</v>
      </c>
      <c r="E401" s="14" t="s">
        <v>902</v>
      </c>
      <c r="F401" s="5">
        <v>41821</v>
      </c>
      <c r="G401" s="5">
        <v>44593</v>
      </c>
      <c r="H401" s="53">
        <v>92</v>
      </c>
      <c r="I401" s="15" t="s">
        <v>259</v>
      </c>
      <c r="J401" s="53" t="s">
        <v>261</v>
      </c>
      <c r="K401" s="53" t="s">
        <v>262</v>
      </c>
      <c r="L401" s="53">
        <v>1</v>
      </c>
    </row>
    <row r="402" spans="1:12">
      <c r="A402" s="53" t="s">
        <v>653</v>
      </c>
      <c r="D402" s="53" t="s">
        <v>260</v>
      </c>
      <c r="E402" s="14" t="s">
        <v>903</v>
      </c>
      <c r="F402" s="5">
        <v>41821</v>
      </c>
      <c r="G402" s="5">
        <v>44593</v>
      </c>
      <c r="H402" s="53">
        <v>92</v>
      </c>
      <c r="I402" s="15" t="s">
        <v>259</v>
      </c>
      <c r="J402" s="53" t="s">
        <v>261</v>
      </c>
      <c r="K402" s="53" t="s">
        <v>262</v>
      </c>
      <c r="L402" s="53">
        <v>1</v>
      </c>
    </row>
    <row r="403" spans="1:12">
      <c r="A403" s="53" t="s">
        <v>654</v>
      </c>
      <c r="D403" s="53" t="s">
        <v>260</v>
      </c>
      <c r="E403" s="14" t="s">
        <v>904</v>
      </c>
      <c r="F403" s="5">
        <v>41821</v>
      </c>
      <c r="G403" s="5">
        <v>44593</v>
      </c>
      <c r="H403" s="53">
        <v>92</v>
      </c>
      <c r="I403" s="15" t="s">
        <v>259</v>
      </c>
      <c r="J403" s="53" t="s">
        <v>261</v>
      </c>
      <c r="K403" s="53" t="s">
        <v>262</v>
      </c>
      <c r="L403" s="53">
        <v>1</v>
      </c>
    </row>
    <row r="404" spans="1:12">
      <c r="A404" s="53" t="s">
        <v>655</v>
      </c>
      <c r="D404" s="53" t="s">
        <v>260</v>
      </c>
      <c r="E404" s="14" t="s">
        <v>905</v>
      </c>
      <c r="F404" s="5">
        <v>41821</v>
      </c>
      <c r="G404" s="5">
        <v>44593</v>
      </c>
      <c r="H404" s="53">
        <v>92</v>
      </c>
      <c r="I404" s="15" t="s">
        <v>259</v>
      </c>
      <c r="J404" s="53" t="s">
        <v>261</v>
      </c>
      <c r="K404" s="53" t="s">
        <v>262</v>
      </c>
      <c r="L404" s="53">
        <v>1</v>
      </c>
    </row>
    <row r="405" spans="1:12">
      <c r="A405" s="53" t="s">
        <v>656</v>
      </c>
      <c r="D405" s="53" t="s">
        <v>260</v>
      </c>
      <c r="E405" s="14" t="s">
        <v>906</v>
      </c>
      <c r="F405" s="5">
        <v>41821</v>
      </c>
      <c r="G405" s="5">
        <v>44593</v>
      </c>
      <c r="H405" s="53">
        <v>92</v>
      </c>
      <c r="I405" s="15" t="s">
        <v>259</v>
      </c>
      <c r="J405" s="53" t="s">
        <v>261</v>
      </c>
      <c r="K405" s="53" t="s">
        <v>262</v>
      </c>
      <c r="L405" s="53">
        <v>1</v>
      </c>
    </row>
    <row r="406" spans="1:12">
      <c r="A406" s="53" t="s">
        <v>657</v>
      </c>
      <c r="D406" s="53" t="s">
        <v>260</v>
      </c>
      <c r="E406" s="14" t="s">
        <v>907</v>
      </c>
      <c r="F406" s="5">
        <v>41821</v>
      </c>
      <c r="G406" s="5">
        <v>44593</v>
      </c>
      <c r="H406" s="53">
        <v>92</v>
      </c>
      <c r="I406" s="15" t="s">
        <v>259</v>
      </c>
      <c r="J406" s="53" t="s">
        <v>261</v>
      </c>
      <c r="K406" s="53" t="s">
        <v>262</v>
      </c>
      <c r="L406" s="53">
        <v>1</v>
      </c>
    </row>
    <row r="407" spans="1:12">
      <c r="A407" s="53" t="s">
        <v>658</v>
      </c>
      <c r="D407" s="53" t="s">
        <v>260</v>
      </c>
      <c r="E407" s="14" t="s">
        <v>908</v>
      </c>
      <c r="F407" s="5">
        <v>41821</v>
      </c>
      <c r="G407" s="5">
        <v>44593</v>
      </c>
      <c r="H407" s="53">
        <v>92</v>
      </c>
      <c r="I407" s="15" t="s">
        <v>259</v>
      </c>
      <c r="J407" s="53" t="s">
        <v>261</v>
      </c>
      <c r="K407" s="53" t="s">
        <v>262</v>
      </c>
      <c r="L407" s="53">
        <v>1</v>
      </c>
    </row>
    <row r="408" spans="1:12">
      <c r="A408" s="53" t="s">
        <v>659</v>
      </c>
      <c r="D408" s="53" t="s">
        <v>260</v>
      </c>
      <c r="E408" s="14" t="s">
        <v>909</v>
      </c>
      <c r="F408" s="5">
        <v>41821</v>
      </c>
      <c r="G408" s="5">
        <v>44593</v>
      </c>
      <c r="H408" s="53">
        <v>92</v>
      </c>
      <c r="I408" s="15" t="s">
        <v>259</v>
      </c>
      <c r="J408" s="53" t="s">
        <v>261</v>
      </c>
      <c r="K408" s="53" t="s">
        <v>262</v>
      </c>
      <c r="L408" s="53">
        <v>1</v>
      </c>
    </row>
    <row r="409" spans="1:12">
      <c r="A409" s="53" t="s">
        <v>660</v>
      </c>
      <c r="D409" s="53" t="s">
        <v>260</v>
      </c>
      <c r="E409" s="14" t="s">
        <v>910</v>
      </c>
      <c r="F409" s="5">
        <v>41821</v>
      </c>
      <c r="G409" s="5">
        <v>44593</v>
      </c>
      <c r="H409" s="53">
        <v>92</v>
      </c>
      <c r="I409" s="15" t="s">
        <v>259</v>
      </c>
      <c r="J409" s="53" t="s">
        <v>261</v>
      </c>
      <c r="K409" s="53" t="s">
        <v>262</v>
      </c>
      <c r="L409" s="53">
        <v>1</v>
      </c>
    </row>
    <row r="410" spans="1:12">
      <c r="A410" s="53" t="s">
        <v>661</v>
      </c>
      <c r="D410" s="53" t="s">
        <v>260</v>
      </c>
      <c r="E410" s="14" t="s">
        <v>911</v>
      </c>
      <c r="F410" s="5">
        <v>41821</v>
      </c>
      <c r="G410" s="5">
        <v>44593</v>
      </c>
      <c r="H410" s="53">
        <v>92</v>
      </c>
      <c r="I410" s="15" t="s">
        <v>259</v>
      </c>
      <c r="J410" s="53" t="s">
        <v>261</v>
      </c>
      <c r="K410" s="53" t="s">
        <v>262</v>
      </c>
      <c r="L410" s="53">
        <v>1</v>
      </c>
    </row>
    <row r="411" spans="1:12">
      <c r="A411" s="53" t="s">
        <v>662</v>
      </c>
      <c r="D411" s="53" t="s">
        <v>260</v>
      </c>
      <c r="E411" s="14" t="s">
        <v>912</v>
      </c>
      <c r="F411" s="5">
        <v>41821</v>
      </c>
      <c r="G411" s="5">
        <v>44593</v>
      </c>
      <c r="H411" s="53">
        <v>92</v>
      </c>
      <c r="I411" s="15" t="s">
        <v>259</v>
      </c>
      <c r="J411" s="53" t="s">
        <v>261</v>
      </c>
      <c r="K411" s="53" t="s">
        <v>262</v>
      </c>
      <c r="L411" s="53">
        <v>1</v>
      </c>
    </row>
    <row r="412" spans="1:12">
      <c r="A412" s="53" t="s">
        <v>663</v>
      </c>
      <c r="D412" s="53" t="s">
        <v>260</v>
      </c>
      <c r="E412" s="14" t="s">
        <v>913</v>
      </c>
      <c r="F412" s="5">
        <v>41821</v>
      </c>
      <c r="G412" s="5">
        <v>44593</v>
      </c>
      <c r="H412" s="53">
        <v>92</v>
      </c>
      <c r="I412" s="15" t="s">
        <v>259</v>
      </c>
      <c r="J412" s="53" t="s">
        <v>261</v>
      </c>
      <c r="K412" s="53" t="s">
        <v>262</v>
      </c>
      <c r="L412" s="53">
        <v>1</v>
      </c>
    </row>
    <row r="413" spans="1:12">
      <c r="A413" s="53" t="s">
        <v>664</v>
      </c>
      <c r="D413" s="53" t="s">
        <v>260</v>
      </c>
      <c r="E413" s="14" t="s">
        <v>914</v>
      </c>
      <c r="F413" s="5">
        <v>41821</v>
      </c>
      <c r="G413" s="5">
        <v>44593</v>
      </c>
      <c r="H413" s="53">
        <v>92</v>
      </c>
      <c r="I413" s="15" t="s">
        <v>259</v>
      </c>
      <c r="J413" s="53" t="s">
        <v>261</v>
      </c>
      <c r="K413" s="53" t="s">
        <v>262</v>
      </c>
      <c r="L413" s="53">
        <v>1</v>
      </c>
    </row>
    <row r="414" spans="1:12">
      <c r="A414" s="53" t="s">
        <v>665</v>
      </c>
      <c r="D414" s="53" t="s">
        <v>260</v>
      </c>
      <c r="E414" s="14" t="s">
        <v>915</v>
      </c>
      <c r="F414" s="5">
        <v>41821</v>
      </c>
      <c r="G414" s="5">
        <v>44593</v>
      </c>
      <c r="H414" s="53">
        <v>92</v>
      </c>
      <c r="I414" s="15" t="s">
        <v>259</v>
      </c>
      <c r="J414" s="53" t="s">
        <v>261</v>
      </c>
      <c r="K414" s="53" t="s">
        <v>262</v>
      </c>
      <c r="L414" s="53">
        <v>1</v>
      </c>
    </row>
    <row r="415" spans="1:12">
      <c r="A415" s="53" t="s">
        <v>666</v>
      </c>
      <c r="D415" s="53" t="s">
        <v>260</v>
      </c>
      <c r="E415" s="14" t="s">
        <v>916</v>
      </c>
      <c r="F415" s="5">
        <v>41821</v>
      </c>
      <c r="G415" s="5">
        <v>44593</v>
      </c>
      <c r="H415" s="53">
        <v>92</v>
      </c>
      <c r="I415" s="15" t="s">
        <v>259</v>
      </c>
      <c r="J415" s="53" t="s">
        <v>261</v>
      </c>
      <c r="K415" s="53" t="s">
        <v>262</v>
      </c>
      <c r="L415" s="53">
        <v>1</v>
      </c>
    </row>
    <row r="416" spans="1:12">
      <c r="A416" s="53" t="s">
        <v>667</v>
      </c>
      <c r="D416" s="53" t="s">
        <v>260</v>
      </c>
      <c r="E416" s="14" t="s">
        <v>917</v>
      </c>
      <c r="F416" s="5">
        <v>41821</v>
      </c>
      <c r="G416" s="5">
        <v>44593</v>
      </c>
      <c r="H416" s="53">
        <v>92</v>
      </c>
      <c r="I416" s="15" t="s">
        <v>259</v>
      </c>
      <c r="J416" s="53" t="s">
        <v>261</v>
      </c>
      <c r="K416" s="53" t="s">
        <v>262</v>
      </c>
      <c r="L416" s="53">
        <v>1</v>
      </c>
    </row>
    <row r="417" spans="1:12">
      <c r="A417" s="53" t="s">
        <v>668</v>
      </c>
      <c r="D417" s="53" t="s">
        <v>260</v>
      </c>
      <c r="E417" s="14" t="s">
        <v>918</v>
      </c>
      <c r="F417" s="5">
        <v>41821</v>
      </c>
      <c r="G417" s="5">
        <v>44593</v>
      </c>
      <c r="H417" s="53">
        <v>92</v>
      </c>
      <c r="I417" s="15" t="s">
        <v>259</v>
      </c>
      <c r="J417" s="53" t="s">
        <v>261</v>
      </c>
      <c r="K417" s="53" t="s">
        <v>262</v>
      </c>
      <c r="L417" s="53">
        <v>1</v>
      </c>
    </row>
    <row r="418" spans="1:12">
      <c r="A418" s="53" t="s">
        <v>669</v>
      </c>
      <c r="D418" s="53" t="s">
        <v>260</v>
      </c>
      <c r="E418" s="14" t="s">
        <v>919</v>
      </c>
      <c r="F418" s="5">
        <v>41821</v>
      </c>
      <c r="G418" s="5">
        <v>44593</v>
      </c>
      <c r="H418" s="53">
        <v>92</v>
      </c>
      <c r="I418" s="15" t="s">
        <v>259</v>
      </c>
      <c r="J418" s="53" t="s">
        <v>261</v>
      </c>
      <c r="K418" s="53" t="s">
        <v>262</v>
      </c>
      <c r="L418" s="53">
        <v>1</v>
      </c>
    </row>
    <row r="419" spans="1:12">
      <c r="A419" s="53" t="s">
        <v>670</v>
      </c>
      <c r="D419" s="53" t="s">
        <v>260</v>
      </c>
      <c r="E419" s="14" t="s">
        <v>920</v>
      </c>
      <c r="F419" s="5">
        <v>41821</v>
      </c>
      <c r="G419" s="5">
        <v>44593</v>
      </c>
      <c r="H419" s="53">
        <v>92</v>
      </c>
      <c r="I419" s="15" t="s">
        <v>259</v>
      </c>
      <c r="J419" s="53" t="s">
        <v>261</v>
      </c>
      <c r="K419" s="53" t="s">
        <v>262</v>
      </c>
      <c r="L419" s="53">
        <v>1</v>
      </c>
    </row>
    <row r="420" spans="1:12">
      <c r="A420" s="53" t="s">
        <v>671</v>
      </c>
      <c r="D420" s="53" t="s">
        <v>260</v>
      </c>
      <c r="E420" s="14" t="s">
        <v>921</v>
      </c>
      <c r="F420" s="5">
        <v>41821</v>
      </c>
      <c r="G420" s="5">
        <v>44593</v>
      </c>
      <c r="H420" s="53">
        <v>92</v>
      </c>
      <c r="I420" s="15" t="s">
        <v>259</v>
      </c>
      <c r="J420" s="53" t="s">
        <v>261</v>
      </c>
      <c r="K420" s="53" t="s">
        <v>262</v>
      </c>
      <c r="L420" s="53">
        <v>1</v>
      </c>
    </row>
    <row r="421" spans="1:12">
      <c r="A421" s="53" t="s">
        <v>672</v>
      </c>
      <c r="D421" s="53" t="s">
        <v>260</v>
      </c>
      <c r="E421" s="14" t="s">
        <v>922</v>
      </c>
      <c r="F421" s="5">
        <v>41821</v>
      </c>
      <c r="G421" s="5">
        <v>44593</v>
      </c>
      <c r="H421" s="53">
        <v>92</v>
      </c>
      <c r="I421" s="15" t="s">
        <v>259</v>
      </c>
      <c r="J421" s="53" t="s">
        <v>261</v>
      </c>
      <c r="K421" s="53" t="s">
        <v>262</v>
      </c>
      <c r="L421" s="53">
        <v>1</v>
      </c>
    </row>
    <row r="422" spans="1:12">
      <c r="A422" s="53" t="s">
        <v>673</v>
      </c>
      <c r="D422" s="53" t="s">
        <v>260</v>
      </c>
      <c r="E422" s="14" t="s">
        <v>923</v>
      </c>
      <c r="F422" s="5">
        <v>41821</v>
      </c>
      <c r="G422" s="5">
        <v>44593</v>
      </c>
      <c r="H422" s="53">
        <v>92</v>
      </c>
      <c r="I422" s="15" t="s">
        <v>259</v>
      </c>
      <c r="J422" s="53" t="s">
        <v>261</v>
      </c>
      <c r="K422" s="53" t="s">
        <v>262</v>
      </c>
      <c r="L422" s="53">
        <v>1</v>
      </c>
    </row>
    <row r="423" spans="1:12">
      <c r="A423" s="53" t="s">
        <v>674</v>
      </c>
      <c r="D423" s="53" t="s">
        <v>260</v>
      </c>
      <c r="E423" s="14" t="s">
        <v>924</v>
      </c>
      <c r="F423" s="5">
        <v>41821</v>
      </c>
      <c r="G423" s="5">
        <v>44593</v>
      </c>
      <c r="H423" s="53">
        <v>92</v>
      </c>
      <c r="I423" s="15" t="s">
        <v>259</v>
      </c>
      <c r="J423" s="53" t="s">
        <v>261</v>
      </c>
      <c r="K423" s="53" t="s">
        <v>262</v>
      </c>
      <c r="L423" s="53">
        <v>1</v>
      </c>
    </row>
    <row r="424" spans="1:12">
      <c r="A424" s="53" t="s">
        <v>675</v>
      </c>
      <c r="D424" s="53" t="s">
        <v>260</v>
      </c>
      <c r="E424" s="14" t="s">
        <v>925</v>
      </c>
      <c r="F424" s="5">
        <v>41821</v>
      </c>
      <c r="G424" s="5">
        <v>44593</v>
      </c>
      <c r="H424" s="53">
        <v>92</v>
      </c>
      <c r="I424" s="15" t="s">
        <v>259</v>
      </c>
      <c r="J424" s="53" t="s">
        <v>261</v>
      </c>
      <c r="K424" s="53" t="s">
        <v>262</v>
      </c>
      <c r="L424" s="53">
        <v>1</v>
      </c>
    </row>
    <row r="425" spans="1:12">
      <c r="A425" s="53" t="s">
        <v>676</v>
      </c>
      <c r="D425" s="53" t="s">
        <v>260</v>
      </c>
      <c r="E425" s="14" t="s">
        <v>926</v>
      </c>
      <c r="F425" s="5">
        <v>41821</v>
      </c>
      <c r="G425" s="5">
        <v>44593</v>
      </c>
      <c r="H425" s="53">
        <v>92</v>
      </c>
      <c r="I425" s="15" t="s">
        <v>259</v>
      </c>
      <c r="J425" s="53" t="s">
        <v>261</v>
      </c>
      <c r="K425" s="53" t="s">
        <v>262</v>
      </c>
      <c r="L425" s="53">
        <v>1</v>
      </c>
    </row>
    <row r="426" spans="1:12">
      <c r="A426" s="53" t="s">
        <v>677</v>
      </c>
      <c r="D426" s="53" t="s">
        <v>260</v>
      </c>
      <c r="E426" s="14" t="s">
        <v>927</v>
      </c>
      <c r="F426" s="5">
        <v>41821</v>
      </c>
      <c r="G426" s="5">
        <v>44593</v>
      </c>
      <c r="H426" s="53">
        <v>92</v>
      </c>
      <c r="I426" s="15" t="s">
        <v>259</v>
      </c>
      <c r="J426" s="53" t="s">
        <v>261</v>
      </c>
      <c r="K426" s="53" t="s">
        <v>262</v>
      </c>
      <c r="L426" s="53">
        <v>1</v>
      </c>
    </row>
    <row r="427" spans="1:12">
      <c r="A427" s="53" t="s">
        <v>678</v>
      </c>
      <c r="D427" s="53" t="s">
        <v>260</v>
      </c>
      <c r="E427" s="14" t="s">
        <v>928</v>
      </c>
      <c r="F427" s="5">
        <v>41821</v>
      </c>
      <c r="G427" s="5">
        <v>44593</v>
      </c>
      <c r="H427" s="53">
        <v>92</v>
      </c>
      <c r="I427" s="15" t="s">
        <v>259</v>
      </c>
      <c r="J427" s="53" t="s">
        <v>261</v>
      </c>
      <c r="K427" s="53" t="s">
        <v>262</v>
      </c>
      <c r="L427" s="53">
        <v>1</v>
      </c>
    </row>
    <row r="428" spans="1:12">
      <c r="A428" s="53" t="s">
        <v>679</v>
      </c>
      <c r="D428" s="53" t="s">
        <v>260</v>
      </c>
      <c r="E428" s="14" t="s">
        <v>929</v>
      </c>
      <c r="F428" s="5">
        <v>41821</v>
      </c>
      <c r="G428" s="5">
        <v>44593</v>
      </c>
      <c r="H428" s="53">
        <v>92</v>
      </c>
      <c r="I428" s="15" t="s">
        <v>259</v>
      </c>
      <c r="J428" s="53" t="s">
        <v>261</v>
      </c>
      <c r="K428" s="53" t="s">
        <v>262</v>
      </c>
      <c r="L428" s="53">
        <v>1</v>
      </c>
    </row>
    <row r="429" spans="1:12">
      <c r="A429" s="53" t="s">
        <v>680</v>
      </c>
      <c r="D429" s="53" t="s">
        <v>260</v>
      </c>
      <c r="E429" s="14" t="s">
        <v>930</v>
      </c>
      <c r="F429" s="5">
        <v>41821</v>
      </c>
      <c r="G429" s="5">
        <v>44593</v>
      </c>
      <c r="H429" s="53">
        <v>92</v>
      </c>
      <c r="I429" s="15" t="s">
        <v>259</v>
      </c>
      <c r="J429" s="53" t="s">
        <v>261</v>
      </c>
      <c r="K429" s="53" t="s">
        <v>262</v>
      </c>
      <c r="L429" s="53">
        <v>1</v>
      </c>
    </row>
    <row r="430" spans="1:12">
      <c r="A430" s="53" t="s">
        <v>681</v>
      </c>
      <c r="D430" s="53" t="s">
        <v>260</v>
      </c>
      <c r="E430" s="14" t="s">
        <v>931</v>
      </c>
      <c r="F430" s="5">
        <v>41821</v>
      </c>
      <c r="G430" s="5">
        <v>44593</v>
      </c>
      <c r="H430" s="53">
        <v>92</v>
      </c>
      <c r="I430" s="15" t="s">
        <v>259</v>
      </c>
      <c r="J430" s="53" t="s">
        <v>261</v>
      </c>
      <c r="K430" s="53" t="s">
        <v>262</v>
      </c>
      <c r="L430" s="53">
        <v>1</v>
      </c>
    </row>
    <row r="431" spans="1:12">
      <c r="A431" s="53" t="s">
        <v>682</v>
      </c>
      <c r="D431" s="53" t="s">
        <v>260</v>
      </c>
      <c r="E431" s="14" t="s">
        <v>932</v>
      </c>
      <c r="F431" s="5">
        <v>41821</v>
      </c>
      <c r="G431" s="5">
        <v>44593</v>
      </c>
      <c r="H431" s="53">
        <v>92</v>
      </c>
      <c r="I431" s="15" t="s">
        <v>259</v>
      </c>
      <c r="J431" s="53" t="s">
        <v>261</v>
      </c>
      <c r="K431" s="53" t="s">
        <v>262</v>
      </c>
      <c r="L431" s="53">
        <v>1</v>
      </c>
    </row>
    <row r="432" spans="1:12">
      <c r="A432" s="53" t="s">
        <v>683</v>
      </c>
      <c r="D432" s="53" t="s">
        <v>260</v>
      </c>
      <c r="E432" s="14" t="s">
        <v>933</v>
      </c>
      <c r="F432" s="5">
        <v>41821</v>
      </c>
      <c r="G432" s="5">
        <v>44593</v>
      </c>
      <c r="H432" s="53">
        <v>92</v>
      </c>
      <c r="I432" s="15" t="s">
        <v>259</v>
      </c>
      <c r="J432" s="53" t="s">
        <v>261</v>
      </c>
      <c r="K432" s="53" t="s">
        <v>262</v>
      </c>
      <c r="L432" s="53">
        <v>1</v>
      </c>
    </row>
    <row r="433" spans="1:12">
      <c r="A433" s="53" t="s">
        <v>684</v>
      </c>
      <c r="D433" s="53" t="s">
        <v>260</v>
      </c>
      <c r="E433" s="14" t="s">
        <v>934</v>
      </c>
      <c r="F433" s="5">
        <v>41821</v>
      </c>
      <c r="G433" s="5">
        <v>44593</v>
      </c>
      <c r="H433" s="53">
        <v>92</v>
      </c>
      <c r="I433" s="15" t="s">
        <v>259</v>
      </c>
      <c r="J433" s="53" t="s">
        <v>261</v>
      </c>
      <c r="K433" s="53" t="s">
        <v>262</v>
      </c>
      <c r="L433" s="53">
        <v>1</v>
      </c>
    </row>
    <row r="434" spans="1:12">
      <c r="A434" s="53" t="s">
        <v>685</v>
      </c>
      <c r="D434" s="53" t="s">
        <v>260</v>
      </c>
      <c r="E434" s="14" t="s">
        <v>935</v>
      </c>
      <c r="F434" s="5">
        <v>41821</v>
      </c>
      <c r="G434" s="5">
        <v>44593</v>
      </c>
      <c r="H434" s="53">
        <v>92</v>
      </c>
      <c r="I434" s="15" t="s">
        <v>259</v>
      </c>
      <c r="J434" s="53" t="s">
        <v>261</v>
      </c>
      <c r="K434" s="53" t="s">
        <v>262</v>
      </c>
      <c r="L434" s="53">
        <v>1</v>
      </c>
    </row>
    <row r="435" spans="1:12">
      <c r="A435" s="53" t="s">
        <v>686</v>
      </c>
      <c r="D435" s="53" t="s">
        <v>260</v>
      </c>
      <c r="E435" s="14" t="s">
        <v>936</v>
      </c>
      <c r="F435" s="5">
        <v>41821</v>
      </c>
      <c r="G435" s="5">
        <v>44593</v>
      </c>
      <c r="H435" s="53">
        <v>92</v>
      </c>
      <c r="I435" s="15" t="s">
        <v>259</v>
      </c>
      <c r="J435" s="53" t="s">
        <v>261</v>
      </c>
      <c r="K435" s="53" t="s">
        <v>262</v>
      </c>
      <c r="L435" s="53">
        <v>1</v>
      </c>
    </row>
    <row r="436" spans="1:12">
      <c r="A436" s="53" t="s">
        <v>687</v>
      </c>
      <c r="D436" s="53" t="s">
        <v>260</v>
      </c>
      <c r="E436" s="14" t="s">
        <v>937</v>
      </c>
      <c r="F436" s="5">
        <v>41821</v>
      </c>
      <c r="G436" s="5">
        <v>44593</v>
      </c>
      <c r="H436" s="53">
        <v>92</v>
      </c>
      <c r="I436" s="15" t="s">
        <v>259</v>
      </c>
      <c r="J436" s="53" t="s">
        <v>261</v>
      </c>
      <c r="K436" s="53" t="s">
        <v>262</v>
      </c>
      <c r="L436" s="53">
        <v>1</v>
      </c>
    </row>
    <row r="437" spans="1:12">
      <c r="A437" s="53" t="s">
        <v>688</v>
      </c>
      <c r="D437" s="53" t="s">
        <v>260</v>
      </c>
      <c r="E437" s="14" t="s">
        <v>938</v>
      </c>
      <c r="F437" s="5">
        <v>41821</v>
      </c>
      <c r="G437" s="5">
        <v>44593</v>
      </c>
      <c r="H437" s="53">
        <v>92</v>
      </c>
      <c r="I437" s="15" t="s">
        <v>259</v>
      </c>
      <c r="J437" s="53" t="s">
        <v>261</v>
      </c>
      <c r="K437" s="53" t="s">
        <v>262</v>
      </c>
      <c r="L437" s="53">
        <v>1</v>
      </c>
    </row>
    <row r="438" spans="1:12">
      <c r="A438" s="53" t="s">
        <v>689</v>
      </c>
      <c r="D438" s="53" t="s">
        <v>260</v>
      </c>
      <c r="E438" s="14" t="s">
        <v>939</v>
      </c>
      <c r="F438" s="5">
        <v>41821</v>
      </c>
      <c r="G438" s="5">
        <v>44593</v>
      </c>
      <c r="H438" s="53">
        <v>92</v>
      </c>
      <c r="I438" s="15" t="s">
        <v>259</v>
      </c>
      <c r="J438" s="53" t="s">
        <v>261</v>
      </c>
      <c r="K438" s="53" t="s">
        <v>262</v>
      </c>
      <c r="L438" s="53">
        <v>1</v>
      </c>
    </row>
    <row r="439" spans="1:12">
      <c r="A439" s="53" t="s">
        <v>690</v>
      </c>
      <c r="D439" s="53" t="s">
        <v>260</v>
      </c>
      <c r="E439" s="14" t="s">
        <v>940</v>
      </c>
      <c r="F439" s="5">
        <v>41821</v>
      </c>
      <c r="G439" s="5">
        <v>44593</v>
      </c>
      <c r="H439" s="53">
        <v>92</v>
      </c>
      <c r="I439" s="15" t="s">
        <v>259</v>
      </c>
      <c r="J439" s="53" t="s">
        <v>261</v>
      </c>
      <c r="K439" s="53" t="s">
        <v>262</v>
      </c>
      <c r="L439" s="53">
        <v>1</v>
      </c>
    </row>
    <row r="440" spans="1:12">
      <c r="A440" s="53" t="s">
        <v>691</v>
      </c>
      <c r="D440" s="53" t="s">
        <v>260</v>
      </c>
      <c r="E440" s="14" t="s">
        <v>941</v>
      </c>
      <c r="F440" s="5">
        <v>41821</v>
      </c>
      <c r="G440" s="5">
        <v>44593</v>
      </c>
      <c r="H440" s="53">
        <v>92</v>
      </c>
      <c r="I440" s="15" t="s">
        <v>259</v>
      </c>
      <c r="J440" s="53" t="s">
        <v>261</v>
      </c>
      <c r="K440" s="53" t="s">
        <v>262</v>
      </c>
      <c r="L440" s="53">
        <v>1</v>
      </c>
    </row>
    <row r="441" spans="1:12">
      <c r="A441" s="53" t="s">
        <v>692</v>
      </c>
      <c r="D441" s="53" t="s">
        <v>260</v>
      </c>
      <c r="E441" s="14" t="s">
        <v>942</v>
      </c>
      <c r="F441" s="5">
        <v>41821</v>
      </c>
      <c r="G441" s="5">
        <v>44593</v>
      </c>
      <c r="H441" s="53">
        <v>92</v>
      </c>
      <c r="I441" s="15" t="s">
        <v>259</v>
      </c>
      <c r="J441" s="53" t="s">
        <v>261</v>
      </c>
      <c r="K441" s="53" t="s">
        <v>262</v>
      </c>
      <c r="L441" s="53">
        <v>1</v>
      </c>
    </row>
    <row r="442" spans="1:12">
      <c r="A442" s="53" t="s">
        <v>693</v>
      </c>
      <c r="D442" s="53" t="s">
        <v>260</v>
      </c>
      <c r="E442" s="14" t="s">
        <v>943</v>
      </c>
      <c r="F442" s="5">
        <v>41821</v>
      </c>
      <c r="G442" s="5">
        <v>44593</v>
      </c>
      <c r="H442" s="53">
        <v>92</v>
      </c>
      <c r="I442" s="15" t="s">
        <v>259</v>
      </c>
      <c r="J442" s="53" t="s">
        <v>261</v>
      </c>
      <c r="K442" s="53" t="s">
        <v>262</v>
      </c>
      <c r="L442" s="53">
        <v>1</v>
      </c>
    </row>
    <row r="443" spans="1:12">
      <c r="A443" s="53" t="s">
        <v>694</v>
      </c>
      <c r="D443" s="53" t="s">
        <v>260</v>
      </c>
      <c r="E443" s="14" t="s">
        <v>944</v>
      </c>
      <c r="F443" s="5">
        <v>41821</v>
      </c>
      <c r="G443" s="5">
        <v>44593</v>
      </c>
      <c r="H443" s="53">
        <v>92</v>
      </c>
      <c r="I443" s="15" t="s">
        <v>259</v>
      </c>
      <c r="J443" s="53" t="s">
        <v>261</v>
      </c>
      <c r="K443" s="53" t="s">
        <v>262</v>
      </c>
      <c r="L443" s="53">
        <v>1</v>
      </c>
    </row>
    <row r="444" spans="1:12">
      <c r="A444" s="53" t="s">
        <v>695</v>
      </c>
      <c r="D444" s="53" t="s">
        <v>260</v>
      </c>
      <c r="E444" s="14" t="s">
        <v>945</v>
      </c>
      <c r="F444" s="5">
        <v>41821</v>
      </c>
      <c r="G444" s="5">
        <v>44593</v>
      </c>
      <c r="H444" s="53">
        <v>92</v>
      </c>
      <c r="I444" s="15" t="s">
        <v>259</v>
      </c>
      <c r="J444" s="53" t="s">
        <v>261</v>
      </c>
      <c r="K444" s="53" t="s">
        <v>262</v>
      </c>
      <c r="L444" s="53">
        <v>1</v>
      </c>
    </row>
    <row r="445" spans="1:12">
      <c r="A445" s="53" t="s">
        <v>696</v>
      </c>
      <c r="D445" s="53" t="s">
        <v>260</v>
      </c>
      <c r="E445" s="14" t="s">
        <v>946</v>
      </c>
      <c r="F445" s="5">
        <v>41821</v>
      </c>
      <c r="G445" s="5">
        <v>44593</v>
      </c>
      <c r="H445" s="53">
        <v>92</v>
      </c>
      <c r="I445" s="15" t="s">
        <v>259</v>
      </c>
      <c r="J445" s="53" t="s">
        <v>261</v>
      </c>
      <c r="K445" s="53" t="s">
        <v>262</v>
      </c>
      <c r="L445" s="53">
        <v>1</v>
      </c>
    </row>
    <row r="446" spans="1:12">
      <c r="A446" s="53" t="s">
        <v>697</v>
      </c>
      <c r="D446" s="53" t="s">
        <v>260</v>
      </c>
      <c r="E446" s="14" t="s">
        <v>947</v>
      </c>
      <c r="F446" s="5">
        <v>41821</v>
      </c>
      <c r="G446" s="5">
        <v>44593</v>
      </c>
      <c r="H446" s="53">
        <v>92</v>
      </c>
      <c r="I446" s="15" t="s">
        <v>259</v>
      </c>
      <c r="J446" s="53" t="s">
        <v>261</v>
      </c>
      <c r="K446" s="53" t="s">
        <v>262</v>
      </c>
      <c r="L446" s="53">
        <v>1</v>
      </c>
    </row>
    <row r="447" spans="1:12">
      <c r="A447" s="53" t="s">
        <v>698</v>
      </c>
      <c r="D447" s="53" t="s">
        <v>260</v>
      </c>
      <c r="E447" s="14" t="s">
        <v>948</v>
      </c>
      <c r="F447" s="5">
        <v>41821</v>
      </c>
      <c r="G447" s="5">
        <v>44593</v>
      </c>
      <c r="H447" s="53">
        <v>92</v>
      </c>
      <c r="I447" s="15" t="s">
        <v>259</v>
      </c>
      <c r="J447" s="53" t="s">
        <v>261</v>
      </c>
      <c r="K447" s="53" t="s">
        <v>262</v>
      </c>
      <c r="L447" s="53">
        <v>1</v>
      </c>
    </row>
    <row r="448" spans="1:12">
      <c r="A448" s="53" t="s">
        <v>699</v>
      </c>
      <c r="D448" s="53" t="s">
        <v>260</v>
      </c>
      <c r="E448" s="14" t="s">
        <v>949</v>
      </c>
      <c r="F448" s="5">
        <v>41821</v>
      </c>
      <c r="G448" s="5">
        <v>44593</v>
      </c>
      <c r="H448" s="53">
        <v>92</v>
      </c>
      <c r="I448" s="15" t="s">
        <v>259</v>
      </c>
      <c r="J448" s="53" t="s">
        <v>261</v>
      </c>
      <c r="K448" s="53" t="s">
        <v>262</v>
      </c>
      <c r="L448" s="53">
        <v>1</v>
      </c>
    </row>
    <row r="449" spans="1:12">
      <c r="A449" s="53" t="s">
        <v>700</v>
      </c>
      <c r="D449" s="53" t="s">
        <v>260</v>
      </c>
      <c r="E449" s="14" t="s">
        <v>950</v>
      </c>
      <c r="F449" s="5">
        <v>41821</v>
      </c>
      <c r="G449" s="5">
        <v>44593</v>
      </c>
      <c r="H449" s="53">
        <v>92</v>
      </c>
      <c r="I449" s="15" t="s">
        <v>259</v>
      </c>
      <c r="J449" s="53" t="s">
        <v>261</v>
      </c>
      <c r="K449" s="53" t="s">
        <v>262</v>
      </c>
      <c r="L449" s="53">
        <v>1</v>
      </c>
    </row>
    <row r="450" spans="1:12">
      <c r="A450" s="53" t="s">
        <v>701</v>
      </c>
      <c r="D450" s="53" t="s">
        <v>260</v>
      </c>
      <c r="E450" s="14" t="s">
        <v>951</v>
      </c>
      <c r="F450" s="5">
        <v>41821</v>
      </c>
      <c r="G450" s="5">
        <v>44593</v>
      </c>
      <c r="H450" s="53">
        <v>92</v>
      </c>
      <c r="I450" s="15" t="s">
        <v>259</v>
      </c>
      <c r="J450" s="53" t="s">
        <v>261</v>
      </c>
      <c r="K450" s="53" t="s">
        <v>262</v>
      </c>
      <c r="L450" s="53">
        <v>1</v>
      </c>
    </row>
    <row r="451" spans="1:12">
      <c r="A451" s="53" t="s">
        <v>702</v>
      </c>
      <c r="D451" s="53" t="s">
        <v>260</v>
      </c>
      <c r="E451" s="14" t="s">
        <v>952</v>
      </c>
      <c r="F451" s="5">
        <v>41821</v>
      </c>
      <c r="G451" s="5">
        <v>44593</v>
      </c>
      <c r="H451" s="53">
        <v>92</v>
      </c>
      <c r="I451" s="15" t="s">
        <v>259</v>
      </c>
      <c r="J451" s="53" t="s">
        <v>261</v>
      </c>
      <c r="K451" s="53" t="s">
        <v>262</v>
      </c>
      <c r="L451" s="53">
        <v>1</v>
      </c>
    </row>
    <row r="452" spans="1:12">
      <c r="A452" s="53" t="s">
        <v>703</v>
      </c>
      <c r="D452" s="53" t="s">
        <v>260</v>
      </c>
      <c r="E452" s="14" t="s">
        <v>953</v>
      </c>
      <c r="F452" s="5">
        <v>41821</v>
      </c>
      <c r="G452" s="5">
        <v>44593</v>
      </c>
      <c r="H452" s="53">
        <v>92</v>
      </c>
      <c r="I452" s="15" t="s">
        <v>259</v>
      </c>
      <c r="J452" s="53" t="s">
        <v>261</v>
      </c>
      <c r="K452" s="53" t="s">
        <v>262</v>
      </c>
      <c r="L452" s="53">
        <v>1</v>
      </c>
    </row>
    <row r="453" spans="1:12">
      <c r="A453" s="53" t="s">
        <v>704</v>
      </c>
      <c r="D453" s="53" t="s">
        <v>260</v>
      </c>
      <c r="E453" s="14" t="s">
        <v>954</v>
      </c>
      <c r="F453" s="5">
        <v>41821</v>
      </c>
      <c r="G453" s="5">
        <v>44593</v>
      </c>
      <c r="H453" s="53">
        <v>92</v>
      </c>
      <c r="I453" s="15" t="s">
        <v>259</v>
      </c>
      <c r="J453" s="53" t="s">
        <v>261</v>
      </c>
      <c r="K453" s="53" t="s">
        <v>262</v>
      </c>
      <c r="L453" s="53">
        <v>1</v>
      </c>
    </row>
    <row r="454" spans="1:12">
      <c r="A454" s="53" t="s">
        <v>705</v>
      </c>
      <c r="D454" s="53" t="s">
        <v>260</v>
      </c>
      <c r="E454" s="14" t="s">
        <v>955</v>
      </c>
      <c r="F454" s="5">
        <v>41821</v>
      </c>
      <c r="G454" s="5">
        <v>44593</v>
      </c>
      <c r="H454" s="53">
        <v>92</v>
      </c>
      <c r="I454" s="15" t="s">
        <v>259</v>
      </c>
      <c r="J454" s="53" t="s">
        <v>261</v>
      </c>
      <c r="K454" s="53" t="s">
        <v>262</v>
      </c>
      <c r="L454" s="53">
        <v>1</v>
      </c>
    </row>
    <row r="455" spans="1:12">
      <c r="A455" s="53" t="s">
        <v>706</v>
      </c>
      <c r="D455" s="53" t="s">
        <v>260</v>
      </c>
      <c r="E455" s="14" t="s">
        <v>956</v>
      </c>
      <c r="F455" s="5">
        <v>41821</v>
      </c>
      <c r="G455" s="5">
        <v>44593</v>
      </c>
      <c r="H455" s="53">
        <v>92</v>
      </c>
      <c r="I455" s="15" t="s">
        <v>259</v>
      </c>
      <c r="J455" s="53" t="s">
        <v>261</v>
      </c>
      <c r="K455" s="53" t="s">
        <v>262</v>
      </c>
      <c r="L455" s="53">
        <v>1</v>
      </c>
    </row>
    <row r="456" spans="1:12">
      <c r="A456" s="53" t="s">
        <v>707</v>
      </c>
      <c r="D456" s="53" t="s">
        <v>260</v>
      </c>
      <c r="E456" s="14" t="s">
        <v>957</v>
      </c>
      <c r="F456" s="5">
        <v>41821</v>
      </c>
      <c r="G456" s="5">
        <v>44593</v>
      </c>
      <c r="H456" s="53">
        <v>92</v>
      </c>
      <c r="I456" s="15" t="s">
        <v>259</v>
      </c>
      <c r="J456" s="53" t="s">
        <v>261</v>
      </c>
      <c r="K456" s="53" t="s">
        <v>262</v>
      </c>
      <c r="L456" s="53">
        <v>1</v>
      </c>
    </row>
    <row r="457" spans="1:12">
      <c r="A457" s="53" t="s">
        <v>708</v>
      </c>
      <c r="D457" s="53" t="s">
        <v>260</v>
      </c>
      <c r="E457" s="14" t="s">
        <v>958</v>
      </c>
      <c r="F457" s="5">
        <v>41821</v>
      </c>
      <c r="G457" s="5">
        <v>44593</v>
      </c>
      <c r="H457" s="53">
        <v>92</v>
      </c>
      <c r="I457" s="15" t="s">
        <v>259</v>
      </c>
      <c r="J457" s="53" t="s">
        <v>261</v>
      </c>
      <c r="K457" s="53" t="s">
        <v>262</v>
      </c>
      <c r="L457" s="53">
        <v>1</v>
      </c>
    </row>
    <row r="458" spans="1:12">
      <c r="A458" s="53" t="s">
        <v>709</v>
      </c>
      <c r="D458" s="53" t="s">
        <v>260</v>
      </c>
      <c r="E458" s="14" t="s">
        <v>959</v>
      </c>
      <c r="F458" s="5">
        <v>41821</v>
      </c>
      <c r="G458" s="5">
        <v>44593</v>
      </c>
      <c r="H458" s="53">
        <v>92</v>
      </c>
      <c r="I458" s="15" t="s">
        <v>259</v>
      </c>
      <c r="J458" s="53" t="s">
        <v>261</v>
      </c>
      <c r="K458" s="53" t="s">
        <v>262</v>
      </c>
      <c r="L458" s="53">
        <v>1</v>
      </c>
    </row>
    <row r="459" spans="1:12">
      <c r="A459" s="53" t="s">
        <v>710</v>
      </c>
      <c r="D459" s="53" t="s">
        <v>260</v>
      </c>
      <c r="E459" s="14" t="s">
        <v>960</v>
      </c>
      <c r="F459" s="5">
        <v>41821</v>
      </c>
      <c r="G459" s="5">
        <v>44593</v>
      </c>
      <c r="H459" s="53">
        <v>92</v>
      </c>
      <c r="I459" s="15" t="s">
        <v>259</v>
      </c>
      <c r="J459" s="53" t="s">
        <v>261</v>
      </c>
      <c r="K459" s="53" t="s">
        <v>262</v>
      </c>
      <c r="L459" s="53">
        <v>1</v>
      </c>
    </row>
    <row r="460" spans="1:12">
      <c r="A460" s="53" t="s">
        <v>711</v>
      </c>
      <c r="D460" s="53" t="s">
        <v>260</v>
      </c>
      <c r="E460" s="14" t="s">
        <v>961</v>
      </c>
      <c r="F460" s="5">
        <v>41821</v>
      </c>
      <c r="G460" s="5">
        <v>44593</v>
      </c>
      <c r="H460" s="53">
        <v>92</v>
      </c>
      <c r="I460" s="15" t="s">
        <v>259</v>
      </c>
      <c r="J460" s="53" t="s">
        <v>261</v>
      </c>
      <c r="K460" s="53" t="s">
        <v>262</v>
      </c>
      <c r="L460" s="53">
        <v>1</v>
      </c>
    </row>
    <row r="461" spans="1:12">
      <c r="A461" s="53" t="s">
        <v>712</v>
      </c>
      <c r="D461" s="53" t="s">
        <v>260</v>
      </c>
      <c r="E461" s="14" t="s">
        <v>962</v>
      </c>
      <c r="F461" s="5">
        <v>41821</v>
      </c>
      <c r="G461" s="5">
        <v>44593</v>
      </c>
      <c r="H461" s="53">
        <v>92</v>
      </c>
      <c r="I461" s="15" t="s">
        <v>259</v>
      </c>
      <c r="J461" s="53" t="s">
        <v>261</v>
      </c>
      <c r="K461" s="53" t="s">
        <v>262</v>
      </c>
      <c r="L461" s="53">
        <v>1</v>
      </c>
    </row>
    <row r="462" spans="1:12">
      <c r="A462" s="53" t="s">
        <v>713</v>
      </c>
      <c r="D462" s="53" t="s">
        <v>260</v>
      </c>
      <c r="E462" s="14" t="s">
        <v>963</v>
      </c>
      <c r="F462" s="5">
        <v>41821</v>
      </c>
      <c r="G462" s="5">
        <v>44593</v>
      </c>
      <c r="H462" s="53">
        <v>92</v>
      </c>
      <c r="I462" s="15" t="s">
        <v>259</v>
      </c>
      <c r="J462" s="53" t="s">
        <v>261</v>
      </c>
      <c r="K462" s="53" t="s">
        <v>262</v>
      </c>
      <c r="L462" s="53">
        <v>1</v>
      </c>
    </row>
    <row r="463" spans="1:12">
      <c r="A463" s="53" t="s">
        <v>714</v>
      </c>
      <c r="D463" s="53" t="s">
        <v>260</v>
      </c>
      <c r="E463" s="14" t="s">
        <v>964</v>
      </c>
      <c r="F463" s="5">
        <v>41821</v>
      </c>
      <c r="G463" s="5">
        <v>44593</v>
      </c>
      <c r="H463" s="53">
        <v>92</v>
      </c>
      <c r="I463" s="15" t="s">
        <v>259</v>
      </c>
      <c r="J463" s="53" t="s">
        <v>261</v>
      </c>
      <c r="K463" s="53" t="s">
        <v>262</v>
      </c>
      <c r="L463" s="53">
        <v>1</v>
      </c>
    </row>
    <row r="464" spans="1:12">
      <c r="A464" s="53" t="s">
        <v>715</v>
      </c>
      <c r="D464" s="53" t="s">
        <v>260</v>
      </c>
      <c r="E464" s="14" t="s">
        <v>965</v>
      </c>
      <c r="F464" s="5">
        <v>41821</v>
      </c>
      <c r="G464" s="5">
        <v>44593</v>
      </c>
      <c r="H464" s="53">
        <v>92</v>
      </c>
      <c r="I464" s="15" t="s">
        <v>259</v>
      </c>
      <c r="J464" s="53" t="s">
        <v>261</v>
      </c>
      <c r="K464" s="53" t="s">
        <v>262</v>
      </c>
      <c r="L464" s="53">
        <v>1</v>
      </c>
    </row>
    <row r="465" spans="1:12">
      <c r="A465" s="53" t="s">
        <v>716</v>
      </c>
      <c r="D465" s="53" t="s">
        <v>260</v>
      </c>
      <c r="E465" s="14" t="s">
        <v>966</v>
      </c>
      <c r="F465" s="5">
        <v>41821</v>
      </c>
      <c r="G465" s="5">
        <v>44593</v>
      </c>
      <c r="H465" s="53">
        <v>92</v>
      </c>
      <c r="I465" s="15" t="s">
        <v>259</v>
      </c>
      <c r="J465" s="53" t="s">
        <v>261</v>
      </c>
      <c r="K465" s="53" t="s">
        <v>262</v>
      </c>
      <c r="L465" s="53">
        <v>1</v>
      </c>
    </row>
    <row r="466" spans="1:12">
      <c r="A466" s="53" t="s">
        <v>717</v>
      </c>
      <c r="D466" s="53" t="s">
        <v>260</v>
      </c>
      <c r="E466" s="14" t="s">
        <v>967</v>
      </c>
      <c r="F466" s="5">
        <v>41821</v>
      </c>
      <c r="G466" s="5">
        <v>44593</v>
      </c>
      <c r="H466" s="53">
        <v>92</v>
      </c>
      <c r="I466" s="15" t="s">
        <v>259</v>
      </c>
      <c r="J466" s="53" t="s">
        <v>261</v>
      </c>
      <c r="K466" s="53" t="s">
        <v>262</v>
      </c>
      <c r="L466" s="53">
        <v>1</v>
      </c>
    </row>
    <row r="467" spans="1:12">
      <c r="A467" s="53" t="s">
        <v>718</v>
      </c>
      <c r="D467" s="53" t="s">
        <v>260</v>
      </c>
      <c r="E467" s="14" t="s">
        <v>968</v>
      </c>
      <c r="F467" s="5">
        <v>41821</v>
      </c>
      <c r="G467" s="5">
        <v>44593</v>
      </c>
      <c r="H467" s="53">
        <v>92</v>
      </c>
      <c r="I467" s="15" t="s">
        <v>259</v>
      </c>
      <c r="J467" s="53" t="s">
        <v>261</v>
      </c>
      <c r="K467" s="53" t="s">
        <v>262</v>
      </c>
      <c r="L467" s="53">
        <v>1</v>
      </c>
    </row>
    <row r="468" spans="1:12">
      <c r="A468" s="53" t="s">
        <v>719</v>
      </c>
      <c r="D468" s="53" t="s">
        <v>260</v>
      </c>
      <c r="E468" s="14" t="s">
        <v>969</v>
      </c>
      <c r="F468" s="5">
        <v>41821</v>
      </c>
      <c r="G468" s="5">
        <v>44593</v>
      </c>
      <c r="H468" s="53">
        <v>92</v>
      </c>
      <c r="I468" s="15" t="s">
        <v>259</v>
      </c>
      <c r="J468" s="53" t="s">
        <v>261</v>
      </c>
      <c r="K468" s="53" t="s">
        <v>262</v>
      </c>
      <c r="L468" s="53">
        <v>1</v>
      </c>
    </row>
    <row r="469" spans="1:12">
      <c r="A469" s="53" t="s">
        <v>720</v>
      </c>
      <c r="D469" s="53" t="s">
        <v>260</v>
      </c>
      <c r="E469" s="14" t="s">
        <v>970</v>
      </c>
      <c r="F469" s="5">
        <v>41821</v>
      </c>
      <c r="G469" s="5">
        <v>44593</v>
      </c>
      <c r="H469" s="53">
        <v>92</v>
      </c>
      <c r="I469" s="15" t="s">
        <v>259</v>
      </c>
      <c r="J469" s="53" t="s">
        <v>261</v>
      </c>
      <c r="K469" s="53" t="s">
        <v>262</v>
      </c>
      <c r="L469" s="53">
        <v>1</v>
      </c>
    </row>
    <row r="470" spans="1:12">
      <c r="A470" s="53" t="s">
        <v>721</v>
      </c>
      <c r="D470" s="53" t="s">
        <v>260</v>
      </c>
      <c r="E470" s="14" t="s">
        <v>971</v>
      </c>
      <c r="F470" s="5">
        <v>41821</v>
      </c>
      <c r="G470" s="5">
        <v>44593</v>
      </c>
      <c r="H470" s="53">
        <v>92</v>
      </c>
      <c r="I470" s="15" t="s">
        <v>259</v>
      </c>
      <c r="J470" s="53" t="s">
        <v>261</v>
      </c>
      <c r="K470" s="53" t="s">
        <v>262</v>
      </c>
      <c r="L470" s="53">
        <v>1</v>
      </c>
    </row>
    <row r="471" spans="1:12">
      <c r="A471" s="53" t="s">
        <v>722</v>
      </c>
      <c r="D471" s="53" t="s">
        <v>260</v>
      </c>
      <c r="E471" s="14" t="s">
        <v>972</v>
      </c>
      <c r="F471" s="5">
        <v>41821</v>
      </c>
      <c r="G471" s="5">
        <v>44593</v>
      </c>
      <c r="H471" s="53">
        <v>92</v>
      </c>
      <c r="I471" s="15" t="s">
        <v>259</v>
      </c>
      <c r="J471" s="53" t="s">
        <v>261</v>
      </c>
      <c r="K471" s="53" t="s">
        <v>262</v>
      </c>
      <c r="L471" s="53">
        <v>1</v>
      </c>
    </row>
    <row r="472" spans="1:12">
      <c r="A472" s="53" t="s">
        <v>723</v>
      </c>
      <c r="D472" s="53" t="s">
        <v>260</v>
      </c>
      <c r="E472" s="14" t="s">
        <v>973</v>
      </c>
      <c r="F472" s="5">
        <v>41821</v>
      </c>
      <c r="G472" s="5">
        <v>44593</v>
      </c>
      <c r="H472" s="53">
        <v>92</v>
      </c>
      <c r="I472" s="15" t="s">
        <v>259</v>
      </c>
      <c r="J472" s="53" t="s">
        <v>261</v>
      </c>
      <c r="K472" s="53" t="s">
        <v>262</v>
      </c>
      <c r="L472" s="53">
        <v>1</v>
      </c>
    </row>
    <row r="473" spans="1:12">
      <c r="A473" s="53" t="s">
        <v>724</v>
      </c>
      <c r="D473" s="53" t="s">
        <v>260</v>
      </c>
      <c r="E473" s="14" t="s">
        <v>974</v>
      </c>
      <c r="F473" s="5">
        <v>41821</v>
      </c>
      <c r="G473" s="5">
        <v>44593</v>
      </c>
      <c r="H473" s="53">
        <v>92</v>
      </c>
      <c r="I473" s="15" t="s">
        <v>259</v>
      </c>
      <c r="J473" s="53" t="s">
        <v>261</v>
      </c>
      <c r="K473" s="53" t="s">
        <v>262</v>
      </c>
      <c r="L473" s="53">
        <v>1</v>
      </c>
    </row>
    <row r="474" spans="1:12">
      <c r="A474" s="53" t="s">
        <v>725</v>
      </c>
      <c r="D474" s="53" t="s">
        <v>260</v>
      </c>
      <c r="E474" s="14" t="s">
        <v>975</v>
      </c>
      <c r="F474" s="5">
        <v>41821</v>
      </c>
      <c r="G474" s="5">
        <v>44593</v>
      </c>
      <c r="H474" s="53">
        <v>92</v>
      </c>
      <c r="I474" s="15" t="s">
        <v>259</v>
      </c>
      <c r="J474" s="53" t="s">
        <v>261</v>
      </c>
      <c r="K474" s="53" t="s">
        <v>262</v>
      </c>
      <c r="L474" s="53">
        <v>1</v>
      </c>
    </row>
    <row r="475" spans="1:12">
      <c r="A475" s="53" t="s">
        <v>726</v>
      </c>
      <c r="D475" s="53" t="s">
        <v>260</v>
      </c>
      <c r="E475" s="14" t="s">
        <v>976</v>
      </c>
      <c r="F475" s="5">
        <v>41821</v>
      </c>
      <c r="G475" s="5">
        <v>44593</v>
      </c>
      <c r="H475" s="53">
        <v>92</v>
      </c>
      <c r="I475" s="15" t="s">
        <v>259</v>
      </c>
      <c r="J475" s="53" t="s">
        <v>261</v>
      </c>
      <c r="K475" s="53" t="s">
        <v>262</v>
      </c>
      <c r="L475" s="53">
        <v>1</v>
      </c>
    </row>
    <row r="476" spans="1:12">
      <c r="A476" s="53" t="s">
        <v>727</v>
      </c>
      <c r="D476" s="53" t="s">
        <v>260</v>
      </c>
      <c r="E476" s="14" t="s">
        <v>977</v>
      </c>
      <c r="F476" s="5">
        <v>41821</v>
      </c>
      <c r="G476" s="5">
        <v>44593</v>
      </c>
      <c r="H476" s="53">
        <v>92</v>
      </c>
      <c r="I476" s="15" t="s">
        <v>259</v>
      </c>
      <c r="J476" s="53" t="s">
        <v>261</v>
      </c>
      <c r="K476" s="53" t="s">
        <v>262</v>
      </c>
      <c r="L476" s="53">
        <v>1</v>
      </c>
    </row>
    <row r="477" spans="1:12">
      <c r="A477" s="53" t="s">
        <v>728</v>
      </c>
      <c r="D477" s="53" t="s">
        <v>260</v>
      </c>
      <c r="E477" s="14" t="s">
        <v>978</v>
      </c>
      <c r="F477" s="5">
        <v>41821</v>
      </c>
      <c r="G477" s="5">
        <v>44593</v>
      </c>
      <c r="H477" s="53">
        <v>92</v>
      </c>
      <c r="I477" s="15" t="s">
        <v>259</v>
      </c>
      <c r="J477" s="53" t="s">
        <v>261</v>
      </c>
      <c r="K477" s="53" t="s">
        <v>262</v>
      </c>
      <c r="L477" s="53">
        <v>1</v>
      </c>
    </row>
    <row r="478" spans="1:12">
      <c r="A478" s="53" t="s">
        <v>729</v>
      </c>
      <c r="D478" s="53" t="s">
        <v>260</v>
      </c>
      <c r="E478" s="14" t="s">
        <v>979</v>
      </c>
      <c r="F478" s="5">
        <v>41821</v>
      </c>
      <c r="G478" s="5">
        <v>44593</v>
      </c>
      <c r="H478" s="53">
        <v>92</v>
      </c>
      <c r="I478" s="15" t="s">
        <v>259</v>
      </c>
      <c r="J478" s="53" t="s">
        <v>261</v>
      </c>
      <c r="K478" s="53" t="s">
        <v>262</v>
      </c>
      <c r="L478" s="53">
        <v>1</v>
      </c>
    </row>
    <row r="479" spans="1:12">
      <c r="A479" s="53" t="s">
        <v>730</v>
      </c>
      <c r="D479" s="53" t="s">
        <v>260</v>
      </c>
      <c r="E479" s="14" t="s">
        <v>980</v>
      </c>
      <c r="F479" s="5">
        <v>41821</v>
      </c>
      <c r="G479" s="5">
        <v>44593</v>
      </c>
      <c r="H479" s="53">
        <v>92</v>
      </c>
      <c r="I479" s="15" t="s">
        <v>259</v>
      </c>
      <c r="J479" s="53" t="s">
        <v>261</v>
      </c>
      <c r="K479" s="53" t="s">
        <v>262</v>
      </c>
      <c r="L479" s="53">
        <v>1</v>
      </c>
    </row>
    <row r="480" spans="1:12">
      <c r="A480" s="53" t="s">
        <v>731</v>
      </c>
      <c r="D480" s="53" t="s">
        <v>260</v>
      </c>
      <c r="E480" s="14" t="s">
        <v>981</v>
      </c>
      <c r="F480" s="5">
        <v>41821</v>
      </c>
      <c r="G480" s="5">
        <v>44593</v>
      </c>
      <c r="H480" s="53">
        <v>92</v>
      </c>
      <c r="I480" s="15" t="s">
        <v>259</v>
      </c>
      <c r="J480" s="53" t="s">
        <v>261</v>
      </c>
      <c r="K480" s="53" t="s">
        <v>262</v>
      </c>
      <c r="L480" s="53">
        <v>1</v>
      </c>
    </row>
    <row r="481" spans="1:12">
      <c r="A481" s="53" t="s">
        <v>732</v>
      </c>
      <c r="D481" s="53" t="s">
        <v>260</v>
      </c>
      <c r="E481" s="14" t="s">
        <v>982</v>
      </c>
      <c r="F481" s="5">
        <v>41821</v>
      </c>
      <c r="G481" s="5">
        <v>44593</v>
      </c>
      <c r="H481" s="53">
        <v>92</v>
      </c>
      <c r="I481" s="15" t="s">
        <v>259</v>
      </c>
      <c r="J481" s="53" t="s">
        <v>261</v>
      </c>
      <c r="K481" s="53" t="s">
        <v>262</v>
      </c>
      <c r="L481" s="53">
        <v>1</v>
      </c>
    </row>
    <row r="482" spans="1:12">
      <c r="A482" s="53" t="s">
        <v>733</v>
      </c>
      <c r="D482" s="53" t="s">
        <v>260</v>
      </c>
      <c r="E482" s="14" t="s">
        <v>983</v>
      </c>
      <c r="F482" s="5">
        <v>41821</v>
      </c>
      <c r="G482" s="5">
        <v>44593</v>
      </c>
      <c r="H482" s="53">
        <v>92</v>
      </c>
      <c r="I482" s="15" t="s">
        <v>259</v>
      </c>
      <c r="J482" s="53" t="s">
        <v>261</v>
      </c>
      <c r="K482" s="53" t="s">
        <v>262</v>
      </c>
      <c r="L482" s="53">
        <v>1</v>
      </c>
    </row>
    <row r="483" spans="1:12">
      <c r="A483" s="53" t="s">
        <v>734</v>
      </c>
      <c r="D483" s="53" t="s">
        <v>260</v>
      </c>
      <c r="E483" s="14" t="s">
        <v>984</v>
      </c>
      <c r="F483" s="5">
        <v>41821</v>
      </c>
      <c r="G483" s="5">
        <v>44593</v>
      </c>
      <c r="H483" s="53">
        <v>92</v>
      </c>
      <c r="I483" s="15" t="s">
        <v>259</v>
      </c>
      <c r="J483" s="53" t="s">
        <v>261</v>
      </c>
      <c r="K483" s="53" t="s">
        <v>262</v>
      </c>
      <c r="L483" s="53">
        <v>1</v>
      </c>
    </row>
    <row r="484" spans="1:12">
      <c r="A484" s="53" t="s">
        <v>735</v>
      </c>
      <c r="D484" s="53" t="s">
        <v>260</v>
      </c>
      <c r="E484" s="14" t="s">
        <v>985</v>
      </c>
      <c r="F484" s="5">
        <v>41821</v>
      </c>
      <c r="G484" s="5">
        <v>44593</v>
      </c>
      <c r="H484" s="53">
        <v>92</v>
      </c>
      <c r="I484" s="15" t="s">
        <v>259</v>
      </c>
      <c r="J484" s="53" t="s">
        <v>261</v>
      </c>
      <c r="K484" s="53" t="s">
        <v>262</v>
      </c>
      <c r="L484" s="53">
        <v>1</v>
      </c>
    </row>
    <row r="485" spans="1:12">
      <c r="A485" s="53" t="s">
        <v>736</v>
      </c>
      <c r="D485" s="53" t="s">
        <v>260</v>
      </c>
      <c r="E485" s="14" t="s">
        <v>986</v>
      </c>
      <c r="F485" s="5">
        <v>41821</v>
      </c>
      <c r="G485" s="5">
        <v>44593</v>
      </c>
      <c r="H485" s="53">
        <v>92</v>
      </c>
      <c r="I485" s="15" t="s">
        <v>259</v>
      </c>
      <c r="J485" s="53" t="s">
        <v>261</v>
      </c>
      <c r="K485" s="53" t="s">
        <v>262</v>
      </c>
      <c r="L485" s="53">
        <v>1</v>
      </c>
    </row>
    <row r="486" spans="1:12">
      <c r="A486" s="53" t="s">
        <v>737</v>
      </c>
      <c r="D486" s="53" t="s">
        <v>260</v>
      </c>
      <c r="E486" s="14" t="s">
        <v>987</v>
      </c>
      <c r="F486" s="5">
        <v>41821</v>
      </c>
      <c r="G486" s="5">
        <v>44593</v>
      </c>
      <c r="H486" s="53">
        <v>92</v>
      </c>
      <c r="I486" s="15" t="s">
        <v>259</v>
      </c>
      <c r="J486" s="53" t="s">
        <v>261</v>
      </c>
      <c r="K486" s="53" t="s">
        <v>262</v>
      </c>
      <c r="L486" s="53">
        <v>1</v>
      </c>
    </row>
    <row r="487" spans="1:12">
      <c r="A487" s="53" t="s">
        <v>738</v>
      </c>
      <c r="D487" s="53" t="s">
        <v>260</v>
      </c>
      <c r="E487" s="14" t="s">
        <v>988</v>
      </c>
      <c r="F487" s="5">
        <v>41821</v>
      </c>
      <c r="G487" s="5">
        <v>44593</v>
      </c>
      <c r="H487" s="53">
        <v>92</v>
      </c>
      <c r="I487" s="15" t="s">
        <v>259</v>
      </c>
      <c r="J487" s="53" t="s">
        <v>261</v>
      </c>
      <c r="K487" s="53" t="s">
        <v>262</v>
      </c>
      <c r="L487" s="53">
        <v>1</v>
      </c>
    </row>
    <row r="488" spans="1:12">
      <c r="A488" s="53" t="s">
        <v>739</v>
      </c>
      <c r="D488" s="53" t="s">
        <v>260</v>
      </c>
      <c r="E488" s="14" t="s">
        <v>989</v>
      </c>
      <c r="F488" s="5">
        <v>41821</v>
      </c>
      <c r="G488" s="5">
        <v>44593</v>
      </c>
      <c r="H488" s="53">
        <v>92</v>
      </c>
      <c r="I488" s="15" t="s">
        <v>259</v>
      </c>
      <c r="J488" s="53" t="s">
        <v>261</v>
      </c>
      <c r="K488" s="53" t="s">
        <v>262</v>
      </c>
      <c r="L488" s="53">
        <v>1</v>
      </c>
    </row>
    <row r="489" spans="1:12">
      <c r="A489" s="53" t="s">
        <v>740</v>
      </c>
      <c r="D489" s="53" t="s">
        <v>260</v>
      </c>
      <c r="E489" s="14" t="s">
        <v>990</v>
      </c>
      <c r="F489" s="5">
        <v>41821</v>
      </c>
      <c r="G489" s="5">
        <v>44593</v>
      </c>
      <c r="H489" s="53">
        <v>92</v>
      </c>
      <c r="I489" s="15" t="s">
        <v>259</v>
      </c>
      <c r="J489" s="53" t="s">
        <v>261</v>
      </c>
      <c r="K489" s="53" t="s">
        <v>262</v>
      </c>
      <c r="L489" s="53">
        <v>1</v>
      </c>
    </row>
    <row r="490" spans="1:12">
      <c r="A490" s="53" t="s">
        <v>741</v>
      </c>
      <c r="D490" s="53" t="s">
        <v>260</v>
      </c>
      <c r="E490" s="14" t="s">
        <v>991</v>
      </c>
      <c r="F490" s="5">
        <v>41821</v>
      </c>
      <c r="G490" s="5">
        <v>44593</v>
      </c>
      <c r="H490" s="53">
        <v>92</v>
      </c>
      <c r="I490" s="15" t="s">
        <v>259</v>
      </c>
      <c r="J490" s="53" t="s">
        <v>261</v>
      </c>
      <c r="K490" s="53" t="s">
        <v>262</v>
      </c>
      <c r="L490" s="53">
        <v>1</v>
      </c>
    </row>
    <row r="491" spans="1:12">
      <c r="A491" s="53" t="s">
        <v>742</v>
      </c>
      <c r="D491" s="53" t="s">
        <v>260</v>
      </c>
      <c r="E491" s="14" t="s">
        <v>992</v>
      </c>
      <c r="F491" s="5">
        <v>41821</v>
      </c>
      <c r="G491" s="5">
        <v>44593</v>
      </c>
      <c r="H491" s="53">
        <v>92</v>
      </c>
      <c r="I491" s="15" t="s">
        <v>259</v>
      </c>
      <c r="J491" s="53" t="s">
        <v>261</v>
      </c>
      <c r="K491" s="53" t="s">
        <v>262</v>
      </c>
      <c r="L491" s="53">
        <v>1</v>
      </c>
    </row>
    <row r="492" spans="1:12">
      <c r="A492" s="53" t="s">
        <v>743</v>
      </c>
      <c r="D492" s="53" t="s">
        <v>260</v>
      </c>
      <c r="E492" s="14" t="s">
        <v>993</v>
      </c>
      <c r="F492" s="5">
        <v>41821</v>
      </c>
      <c r="G492" s="5">
        <v>44593</v>
      </c>
      <c r="H492" s="53">
        <v>92</v>
      </c>
      <c r="I492" s="15" t="s">
        <v>259</v>
      </c>
      <c r="J492" s="53" t="s">
        <v>261</v>
      </c>
      <c r="K492" s="53" t="s">
        <v>262</v>
      </c>
      <c r="L492" s="53">
        <v>1</v>
      </c>
    </row>
    <row r="493" spans="1:12">
      <c r="A493" s="53" t="s">
        <v>744</v>
      </c>
      <c r="D493" s="53" t="s">
        <v>260</v>
      </c>
      <c r="E493" s="14" t="s">
        <v>994</v>
      </c>
      <c r="F493" s="5">
        <v>41821</v>
      </c>
      <c r="G493" s="5">
        <v>44593</v>
      </c>
      <c r="H493" s="53">
        <v>92</v>
      </c>
      <c r="I493" s="15" t="s">
        <v>259</v>
      </c>
      <c r="J493" s="53" t="s">
        <v>261</v>
      </c>
      <c r="K493" s="53" t="s">
        <v>262</v>
      </c>
      <c r="L493" s="53">
        <v>1</v>
      </c>
    </row>
    <row r="494" spans="1:12">
      <c r="A494" s="53" t="s">
        <v>745</v>
      </c>
      <c r="D494" s="53" t="s">
        <v>260</v>
      </c>
      <c r="E494" s="14" t="s">
        <v>995</v>
      </c>
      <c r="F494" s="5">
        <v>41821</v>
      </c>
      <c r="G494" s="5">
        <v>44593</v>
      </c>
      <c r="H494" s="53">
        <v>92</v>
      </c>
      <c r="I494" s="15" t="s">
        <v>259</v>
      </c>
      <c r="J494" s="53" t="s">
        <v>261</v>
      </c>
      <c r="K494" s="53" t="s">
        <v>262</v>
      </c>
      <c r="L494" s="53">
        <v>1</v>
      </c>
    </row>
    <row r="495" spans="1:12">
      <c r="A495" s="53" t="s">
        <v>746</v>
      </c>
      <c r="D495" s="53" t="s">
        <v>260</v>
      </c>
      <c r="E495" s="14" t="s">
        <v>996</v>
      </c>
      <c r="F495" s="5">
        <v>41821</v>
      </c>
      <c r="G495" s="5">
        <v>44593</v>
      </c>
      <c r="H495" s="53">
        <v>92</v>
      </c>
      <c r="I495" s="15" t="s">
        <v>259</v>
      </c>
      <c r="J495" s="53" t="s">
        <v>261</v>
      </c>
      <c r="K495" s="53" t="s">
        <v>262</v>
      </c>
      <c r="L495" s="53">
        <v>1</v>
      </c>
    </row>
    <row r="496" spans="1:12">
      <c r="A496" s="53" t="s">
        <v>747</v>
      </c>
      <c r="D496" s="53" t="s">
        <v>260</v>
      </c>
      <c r="E496" s="14" t="s">
        <v>997</v>
      </c>
      <c r="F496" s="5">
        <v>41821</v>
      </c>
      <c r="G496" s="5">
        <v>44593</v>
      </c>
      <c r="H496" s="53">
        <v>92</v>
      </c>
      <c r="I496" s="15" t="s">
        <v>259</v>
      </c>
      <c r="J496" s="53" t="s">
        <v>261</v>
      </c>
      <c r="K496" s="53" t="s">
        <v>262</v>
      </c>
      <c r="L496" s="53">
        <v>1</v>
      </c>
    </row>
    <row r="497" spans="1:12">
      <c r="A497" s="53" t="s">
        <v>748</v>
      </c>
      <c r="D497" s="53" t="s">
        <v>260</v>
      </c>
      <c r="E497" s="14" t="s">
        <v>998</v>
      </c>
      <c r="F497" s="5">
        <v>41821</v>
      </c>
      <c r="G497" s="5">
        <v>44593</v>
      </c>
      <c r="H497" s="53">
        <v>92</v>
      </c>
      <c r="I497" s="15" t="s">
        <v>259</v>
      </c>
      <c r="J497" s="53" t="s">
        <v>261</v>
      </c>
      <c r="K497" s="53" t="s">
        <v>262</v>
      </c>
      <c r="L497" s="53">
        <v>1</v>
      </c>
    </row>
    <row r="498" spans="1:12">
      <c r="A498" s="53" t="s">
        <v>749</v>
      </c>
      <c r="D498" s="53" t="s">
        <v>260</v>
      </c>
      <c r="E498" s="14" t="s">
        <v>999</v>
      </c>
      <c r="F498" s="5">
        <v>41821</v>
      </c>
      <c r="G498" s="5">
        <v>44593</v>
      </c>
      <c r="H498" s="53">
        <v>92</v>
      </c>
      <c r="I498" s="15" t="s">
        <v>259</v>
      </c>
      <c r="J498" s="53" t="s">
        <v>261</v>
      </c>
      <c r="K498" s="53" t="s">
        <v>262</v>
      </c>
      <c r="L498" s="53">
        <v>1</v>
      </c>
    </row>
    <row r="499" spans="1:12">
      <c r="A499" s="53" t="s">
        <v>750</v>
      </c>
      <c r="D499" s="53" t="s">
        <v>260</v>
      </c>
      <c r="E499" s="14" t="s">
        <v>1000</v>
      </c>
      <c r="F499" s="5">
        <v>41821</v>
      </c>
      <c r="G499" s="5">
        <v>44593</v>
      </c>
      <c r="H499" s="53">
        <v>92</v>
      </c>
      <c r="I499" s="15" t="s">
        <v>259</v>
      </c>
      <c r="J499" s="53" t="s">
        <v>261</v>
      </c>
      <c r="K499" s="53" t="s">
        <v>262</v>
      </c>
      <c r="L499" s="53">
        <v>1</v>
      </c>
    </row>
    <row r="500" spans="1:12">
      <c r="A500" s="53" t="s">
        <v>751</v>
      </c>
      <c r="D500" s="53" t="s">
        <v>260</v>
      </c>
      <c r="E500" s="14" t="s">
        <v>1001</v>
      </c>
      <c r="F500" s="5">
        <v>41821</v>
      </c>
      <c r="G500" s="5">
        <v>44593</v>
      </c>
      <c r="H500" s="53">
        <v>92</v>
      </c>
      <c r="I500" s="15" t="s">
        <v>259</v>
      </c>
      <c r="J500" s="53" t="s">
        <v>261</v>
      </c>
      <c r="K500" s="53" t="s">
        <v>262</v>
      </c>
      <c r="L500" s="53">
        <v>1</v>
      </c>
    </row>
    <row r="501" spans="1:12">
      <c r="A501" s="53" t="s">
        <v>752</v>
      </c>
      <c r="D501" s="53" t="s">
        <v>260</v>
      </c>
      <c r="E501" s="14" t="s">
        <v>1002</v>
      </c>
      <c r="F501" s="5">
        <v>41821</v>
      </c>
      <c r="G501" s="5">
        <v>44593</v>
      </c>
      <c r="H501" s="53">
        <v>92</v>
      </c>
      <c r="I501" s="15" t="s">
        <v>259</v>
      </c>
      <c r="J501" s="53" t="s">
        <v>261</v>
      </c>
      <c r="K501" s="53" t="s">
        <v>262</v>
      </c>
      <c r="L501" s="53">
        <v>1</v>
      </c>
    </row>
    <row r="502" spans="1:12">
      <c r="A502" s="53" t="s">
        <v>753</v>
      </c>
      <c r="D502" s="53" t="s">
        <v>260</v>
      </c>
      <c r="E502" s="14" t="s">
        <v>1003</v>
      </c>
      <c r="F502" s="5">
        <v>41821</v>
      </c>
      <c r="G502" s="5">
        <v>44593</v>
      </c>
      <c r="H502" s="53">
        <v>92</v>
      </c>
      <c r="I502" s="15" t="s">
        <v>259</v>
      </c>
      <c r="J502" s="53" t="s">
        <v>261</v>
      </c>
      <c r="K502" s="53" t="s">
        <v>262</v>
      </c>
      <c r="L502" s="53">
        <v>1</v>
      </c>
    </row>
    <row r="503" spans="1:12">
      <c r="A503" s="53" t="s">
        <v>754</v>
      </c>
      <c r="D503" s="53" t="s">
        <v>260</v>
      </c>
      <c r="E503" s="14" t="s">
        <v>1004</v>
      </c>
      <c r="F503" s="5">
        <v>41821</v>
      </c>
      <c r="G503" s="5">
        <v>44593</v>
      </c>
      <c r="H503" s="53">
        <v>92</v>
      </c>
      <c r="I503" s="15" t="s">
        <v>259</v>
      </c>
      <c r="J503" s="53" t="s">
        <v>261</v>
      </c>
      <c r="K503" s="53" t="s">
        <v>262</v>
      </c>
      <c r="L503" s="53">
        <v>1</v>
      </c>
    </row>
    <row r="504" spans="1:12">
      <c r="A504" s="53" t="s">
        <v>755</v>
      </c>
      <c r="D504" s="53" t="s">
        <v>260</v>
      </c>
      <c r="E504" s="14" t="s">
        <v>1005</v>
      </c>
      <c r="F504" s="5">
        <v>41821</v>
      </c>
      <c r="G504" s="5">
        <v>44593</v>
      </c>
      <c r="H504" s="53">
        <v>92</v>
      </c>
      <c r="I504" s="15" t="s">
        <v>259</v>
      </c>
      <c r="J504" s="53" t="s">
        <v>261</v>
      </c>
      <c r="K504" s="53" t="s">
        <v>262</v>
      </c>
      <c r="L504" s="53">
        <v>1</v>
      </c>
    </row>
    <row r="505" spans="1:12">
      <c r="A505" s="53" t="s">
        <v>756</v>
      </c>
      <c r="D505" s="53" t="s">
        <v>260</v>
      </c>
      <c r="E505" s="14" t="s">
        <v>1006</v>
      </c>
      <c r="F505" s="5">
        <v>41821</v>
      </c>
      <c r="G505" s="5">
        <v>44593</v>
      </c>
      <c r="H505" s="53">
        <v>92</v>
      </c>
      <c r="I505" s="15" t="s">
        <v>259</v>
      </c>
      <c r="J505" s="53" t="s">
        <v>261</v>
      </c>
      <c r="K505" s="53" t="s">
        <v>262</v>
      </c>
      <c r="L505" s="53">
        <v>1</v>
      </c>
    </row>
    <row r="506" spans="1:12">
      <c r="A506" s="53" t="s">
        <v>757</v>
      </c>
      <c r="D506" s="53" t="s">
        <v>260</v>
      </c>
      <c r="E506" s="14" t="s">
        <v>1007</v>
      </c>
      <c r="F506" s="5">
        <v>41821</v>
      </c>
      <c r="G506" s="5">
        <v>44593</v>
      </c>
      <c r="H506" s="53">
        <v>92</v>
      </c>
      <c r="I506" s="15" t="s">
        <v>259</v>
      </c>
      <c r="J506" s="53" t="s">
        <v>261</v>
      </c>
      <c r="K506" s="53" t="s">
        <v>262</v>
      </c>
      <c r="L506" s="53">
        <v>1</v>
      </c>
    </row>
    <row r="507" spans="1:12">
      <c r="A507" s="53" t="s">
        <v>758</v>
      </c>
      <c r="D507" s="53" t="s">
        <v>260</v>
      </c>
      <c r="E507" s="14" t="s">
        <v>1008</v>
      </c>
      <c r="F507" s="5">
        <v>41821</v>
      </c>
      <c r="G507" s="5">
        <v>44593</v>
      </c>
      <c r="H507" s="53">
        <v>92</v>
      </c>
      <c r="I507" s="15" t="s">
        <v>259</v>
      </c>
      <c r="J507" s="53" t="s">
        <v>261</v>
      </c>
      <c r="K507" s="53" t="s">
        <v>262</v>
      </c>
      <c r="L507" s="53">
        <v>1</v>
      </c>
    </row>
    <row r="508" spans="1:12">
      <c r="A508" s="53" t="s">
        <v>759</v>
      </c>
      <c r="D508" s="53" t="s">
        <v>260</v>
      </c>
      <c r="E508" s="14" t="s">
        <v>1009</v>
      </c>
      <c r="F508" s="5">
        <v>41821</v>
      </c>
      <c r="G508" s="5">
        <v>44593</v>
      </c>
      <c r="H508" s="53">
        <v>92</v>
      </c>
      <c r="I508" s="15" t="s">
        <v>259</v>
      </c>
      <c r="J508" s="53" t="s">
        <v>261</v>
      </c>
      <c r="K508" s="53" t="s">
        <v>262</v>
      </c>
      <c r="L508" s="53">
        <v>1</v>
      </c>
    </row>
    <row r="509" spans="1:12">
      <c r="A509" s="53" t="s">
        <v>760</v>
      </c>
      <c r="D509" s="53" t="s">
        <v>260</v>
      </c>
      <c r="E509" s="14" t="s">
        <v>1010</v>
      </c>
      <c r="F509" s="5">
        <v>41821</v>
      </c>
      <c r="G509" s="5">
        <v>44593</v>
      </c>
      <c r="H509" s="53">
        <v>92</v>
      </c>
      <c r="I509" s="15" t="s">
        <v>259</v>
      </c>
      <c r="J509" s="53" t="s">
        <v>261</v>
      </c>
      <c r="K509" s="53" t="s">
        <v>262</v>
      </c>
      <c r="L509" s="53">
        <v>1</v>
      </c>
    </row>
    <row r="510" spans="1:12">
      <c r="A510" s="53" t="s">
        <v>761</v>
      </c>
      <c r="D510" s="53" t="s">
        <v>260</v>
      </c>
      <c r="E510" s="14" t="s">
        <v>1011</v>
      </c>
      <c r="F510" s="5">
        <v>41821</v>
      </c>
      <c r="G510" s="5">
        <v>44593</v>
      </c>
      <c r="H510" s="53">
        <v>92</v>
      </c>
      <c r="I510" s="15" t="s">
        <v>259</v>
      </c>
      <c r="J510" s="53" t="s">
        <v>261</v>
      </c>
      <c r="K510" s="53" t="s">
        <v>262</v>
      </c>
      <c r="L510" s="53">
        <v>1</v>
      </c>
    </row>
    <row r="511" spans="1:12">
      <c r="A511" s="53" t="s">
        <v>762</v>
      </c>
      <c r="D511" s="53" t="s">
        <v>260</v>
      </c>
      <c r="E511" s="14" t="s">
        <v>1012</v>
      </c>
      <c r="F511" s="5">
        <v>41821</v>
      </c>
      <c r="G511" s="5">
        <v>44593</v>
      </c>
      <c r="H511" s="53">
        <v>92</v>
      </c>
      <c r="I511" s="15" t="s">
        <v>259</v>
      </c>
      <c r="J511" s="53" t="s">
        <v>261</v>
      </c>
      <c r="K511" s="53" t="s">
        <v>262</v>
      </c>
      <c r="L511" s="53">
        <v>1</v>
      </c>
    </row>
    <row r="512" spans="1:12">
      <c r="A512" s="53" t="s">
        <v>1013</v>
      </c>
      <c r="D512" s="53" t="s">
        <v>260</v>
      </c>
      <c r="E512" s="14" t="s">
        <v>1263</v>
      </c>
      <c r="F512" s="5">
        <v>41821</v>
      </c>
      <c r="G512" s="5">
        <v>44593</v>
      </c>
      <c r="H512" s="53">
        <v>92</v>
      </c>
      <c r="I512" s="15" t="s">
        <v>259</v>
      </c>
      <c r="J512" s="53" t="s">
        <v>261</v>
      </c>
      <c r="K512" s="53" t="s">
        <v>262</v>
      </c>
      <c r="L512" s="53">
        <v>1</v>
      </c>
    </row>
    <row r="513" spans="1:12">
      <c r="A513" s="53" t="s">
        <v>1014</v>
      </c>
      <c r="D513" s="53" t="s">
        <v>260</v>
      </c>
      <c r="E513" s="14" t="s">
        <v>1264</v>
      </c>
      <c r="F513" s="5">
        <v>41821</v>
      </c>
      <c r="G513" s="5">
        <v>44593</v>
      </c>
      <c r="H513" s="53">
        <v>92</v>
      </c>
      <c r="I513" s="15" t="s">
        <v>259</v>
      </c>
      <c r="J513" s="53" t="s">
        <v>261</v>
      </c>
      <c r="K513" s="53" t="s">
        <v>262</v>
      </c>
      <c r="L513" s="53">
        <v>1</v>
      </c>
    </row>
    <row r="514" spans="1:12">
      <c r="A514" s="53" t="s">
        <v>1015</v>
      </c>
      <c r="D514" s="53" t="s">
        <v>260</v>
      </c>
      <c r="E514" s="14" t="s">
        <v>1265</v>
      </c>
      <c r="F514" s="5">
        <v>41821</v>
      </c>
      <c r="G514" s="5">
        <v>44593</v>
      </c>
      <c r="H514" s="53">
        <v>92</v>
      </c>
      <c r="I514" s="15" t="s">
        <v>259</v>
      </c>
      <c r="J514" s="53" t="s">
        <v>261</v>
      </c>
      <c r="K514" s="53" t="s">
        <v>262</v>
      </c>
      <c r="L514" s="53">
        <v>1</v>
      </c>
    </row>
    <row r="515" spans="1:12">
      <c r="A515" s="53" t="s">
        <v>1016</v>
      </c>
      <c r="D515" s="53" t="s">
        <v>260</v>
      </c>
      <c r="E515" s="14" t="s">
        <v>1266</v>
      </c>
      <c r="F515" s="5">
        <v>41821</v>
      </c>
      <c r="G515" s="5">
        <v>44593</v>
      </c>
      <c r="H515" s="53">
        <v>92</v>
      </c>
      <c r="I515" s="15" t="s">
        <v>259</v>
      </c>
      <c r="J515" s="53" t="s">
        <v>261</v>
      </c>
      <c r="K515" s="53" t="s">
        <v>262</v>
      </c>
      <c r="L515" s="53">
        <v>1</v>
      </c>
    </row>
    <row r="516" spans="1:12">
      <c r="A516" s="53" t="s">
        <v>1017</v>
      </c>
      <c r="D516" s="53" t="s">
        <v>260</v>
      </c>
      <c r="E516" s="14" t="s">
        <v>1267</v>
      </c>
      <c r="F516" s="5">
        <v>41821</v>
      </c>
      <c r="G516" s="5">
        <v>44593</v>
      </c>
      <c r="H516" s="53">
        <v>92</v>
      </c>
      <c r="I516" s="15" t="s">
        <v>259</v>
      </c>
      <c r="J516" s="53" t="s">
        <v>261</v>
      </c>
      <c r="K516" s="53" t="s">
        <v>262</v>
      </c>
      <c r="L516" s="53">
        <v>1</v>
      </c>
    </row>
    <row r="517" spans="1:12">
      <c r="A517" s="53" t="s">
        <v>1018</v>
      </c>
      <c r="D517" s="53" t="s">
        <v>260</v>
      </c>
      <c r="E517" s="14" t="s">
        <v>1268</v>
      </c>
      <c r="F517" s="5">
        <v>41821</v>
      </c>
      <c r="G517" s="5">
        <v>44593</v>
      </c>
      <c r="H517" s="53">
        <v>92</v>
      </c>
      <c r="I517" s="15" t="s">
        <v>259</v>
      </c>
      <c r="J517" s="53" t="s">
        <v>261</v>
      </c>
      <c r="K517" s="53" t="s">
        <v>262</v>
      </c>
      <c r="L517" s="53">
        <v>1</v>
      </c>
    </row>
    <row r="518" spans="1:12">
      <c r="A518" s="53" t="s">
        <v>1019</v>
      </c>
      <c r="D518" s="53" t="s">
        <v>260</v>
      </c>
      <c r="E518" s="14" t="s">
        <v>1269</v>
      </c>
      <c r="F518" s="5">
        <v>41821</v>
      </c>
      <c r="G518" s="5">
        <v>44593</v>
      </c>
      <c r="H518" s="53">
        <v>92</v>
      </c>
      <c r="I518" s="15" t="s">
        <v>259</v>
      </c>
      <c r="J518" s="53" t="s">
        <v>261</v>
      </c>
      <c r="K518" s="53" t="s">
        <v>262</v>
      </c>
      <c r="L518" s="53">
        <v>1</v>
      </c>
    </row>
    <row r="519" spans="1:12">
      <c r="A519" s="53" t="s">
        <v>1020</v>
      </c>
      <c r="D519" s="53" t="s">
        <v>260</v>
      </c>
      <c r="E519" s="14" t="s">
        <v>1270</v>
      </c>
      <c r="F519" s="5">
        <v>41821</v>
      </c>
      <c r="G519" s="5">
        <v>44593</v>
      </c>
      <c r="H519" s="53">
        <v>92</v>
      </c>
      <c r="I519" s="15" t="s">
        <v>259</v>
      </c>
      <c r="J519" s="53" t="s">
        <v>261</v>
      </c>
      <c r="K519" s="53" t="s">
        <v>262</v>
      </c>
      <c r="L519" s="53">
        <v>1</v>
      </c>
    </row>
    <row r="520" spans="1:12">
      <c r="A520" s="53" t="s">
        <v>1021</v>
      </c>
      <c r="D520" s="53" t="s">
        <v>260</v>
      </c>
      <c r="E520" s="14" t="s">
        <v>1271</v>
      </c>
      <c r="F520" s="5">
        <v>41821</v>
      </c>
      <c r="G520" s="5">
        <v>44593</v>
      </c>
      <c r="H520" s="53">
        <v>92</v>
      </c>
      <c r="I520" s="15" t="s">
        <v>259</v>
      </c>
      <c r="J520" s="53" t="s">
        <v>261</v>
      </c>
      <c r="K520" s="53" t="s">
        <v>262</v>
      </c>
      <c r="L520" s="53">
        <v>1</v>
      </c>
    </row>
    <row r="521" spans="1:12">
      <c r="A521" s="53" t="s">
        <v>1022</v>
      </c>
      <c r="D521" s="53" t="s">
        <v>260</v>
      </c>
      <c r="E521" s="14" t="s">
        <v>1272</v>
      </c>
      <c r="F521" s="5">
        <v>41821</v>
      </c>
      <c r="G521" s="5">
        <v>44593</v>
      </c>
      <c r="H521" s="53">
        <v>92</v>
      </c>
      <c r="I521" s="15" t="s">
        <v>259</v>
      </c>
      <c r="J521" s="53" t="s">
        <v>261</v>
      </c>
      <c r="K521" s="53" t="s">
        <v>262</v>
      </c>
      <c r="L521" s="53">
        <v>1</v>
      </c>
    </row>
    <row r="522" spans="1:12">
      <c r="A522" s="53" t="s">
        <v>1023</v>
      </c>
      <c r="D522" s="53" t="s">
        <v>260</v>
      </c>
      <c r="E522" s="14" t="s">
        <v>1273</v>
      </c>
      <c r="F522" s="5">
        <v>41821</v>
      </c>
      <c r="G522" s="5">
        <v>44593</v>
      </c>
      <c r="H522" s="53">
        <v>92</v>
      </c>
      <c r="I522" s="15" t="s">
        <v>259</v>
      </c>
      <c r="J522" s="53" t="s">
        <v>261</v>
      </c>
      <c r="K522" s="53" t="s">
        <v>262</v>
      </c>
      <c r="L522" s="53">
        <v>1</v>
      </c>
    </row>
    <row r="523" spans="1:12">
      <c r="A523" s="53" t="s">
        <v>1024</v>
      </c>
      <c r="D523" s="53" t="s">
        <v>260</v>
      </c>
      <c r="E523" s="14" t="s">
        <v>1274</v>
      </c>
      <c r="F523" s="5">
        <v>41821</v>
      </c>
      <c r="G523" s="5">
        <v>44593</v>
      </c>
      <c r="H523" s="53">
        <v>92</v>
      </c>
      <c r="I523" s="15" t="s">
        <v>259</v>
      </c>
      <c r="J523" s="53" t="s">
        <v>261</v>
      </c>
      <c r="K523" s="53" t="s">
        <v>262</v>
      </c>
      <c r="L523" s="53">
        <v>1</v>
      </c>
    </row>
    <row r="524" spans="1:12">
      <c r="A524" s="53" t="s">
        <v>1025</v>
      </c>
      <c r="D524" s="53" t="s">
        <v>260</v>
      </c>
      <c r="E524" s="14" t="s">
        <v>1275</v>
      </c>
      <c r="F524" s="5">
        <v>41821</v>
      </c>
      <c r="G524" s="5">
        <v>44593</v>
      </c>
      <c r="H524" s="53">
        <v>92</v>
      </c>
      <c r="I524" s="15" t="s">
        <v>259</v>
      </c>
      <c r="J524" s="53" t="s">
        <v>261</v>
      </c>
      <c r="K524" s="53" t="s">
        <v>262</v>
      </c>
      <c r="L524" s="53">
        <v>1</v>
      </c>
    </row>
    <row r="525" spans="1:12">
      <c r="A525" s="53" t="s">
        <v>1026</v>
      </c>
      <c r="D525" s="53" t="s">
        <v>260</v>
      </c>
      <c r="E525" s="14" t="s">
        <v>1276</v>
      </c>
      <c r="F525" s="5">
        <v>41821</v>
      </c>
      <c r="G525" s="5">
        <v>44593</v>
      </c>
      <c r="H525" s="53">
        <v>92</v>
      </c>
      <c r="I525" s="15" t="s">
        <v>259</v>
      </c>
      <c r="J525" s="53" t="s">
        <v>261</v>
      </c>
      <c r="K525" s="53" t="s">
        <v>262</v>
      </c>
      <c r="L525" s="53">
        <v>1</v>
      </c>
    </row>
    <row r="526" spans="1:12">
      <c r="A526" s="53" t="s">
        <v>1027</v>
      </c>
      <c r="D526" s="53" t="s">
        <v>260</v>
      </c>
      <c r="E526" s="14" t="s">
        <v>1277</v>
      </c>
      <c r="F526" s="5">
        <v>41821</v>
      </c>
      <c r="G526" s="5">
        <v>44593</v>
      </c>
      <c r="H526" s="53">
        <v>92</v>
      </c>
      <c r="I526" s="15" t="s">
        <v>259</v>
      </c>
      <c r="J526" s="53" t="s">
        <v>261</v>
      </c>
      <c r="K526" s="53" t="s">
        <v>262</v>
      </c>
      <c r="L526" s="53">
        <v>1</v>
      </c>
    </row>
    <row r="527" spans="1:12">
      <c r="A527" s="53" t="s">
        <v>1028</v>
      </c>
      <c r="D527" s="53" t="s">
        <v>260</v>
      </c>
      <c r="E527" s="14" t="s">
        <v>1278</v>
      </c>
      <c r="F527" s="5">
        <v>41821</v>
      </c>
      <c r="G527" s="5">
        <v>44593</v>
      </c>
      <c r="H527" s="53">
        <v>92</v>
      </c>
      <c r="I527" s="15" t="s">
        <v>259</v>
      </c>
      <c r="J527" s="53" t="s">
        <v>261</v>
      </c>
      <c r="K527" s="53" t="s">
        <v>262</v>
      </c>
      <c r="L527" s="53">
        <v>1</v>
      </c>
    </row>
    <row r="528" spans="1:12">
      <c r="A528" s="53" t="s">
        <v>1029</v>
      </c>
      <c r="D528" s="53" t="s">
        <v>260</v>
      </c>
      <c r="E528" s="14" t="s">
        <v>1279</v>
      </c>
      <c r="F528" s="5">
        <v>41821</v>
      </c>
      <c r="G528" s="5">
        <v>44593</v>
      </c>
      <c r="H528" s="53">
        <v>92</v>
      </c>
      <c r="I528" s="15" t="s">
        <v>259</v>
      </c>
      <c r="J528" s="53" t="s">
        <v>261</v>
      </c>
      <c r="K528" s="53" t="s">
        <v>262</v>
      </c>
      <c r="L528" s="53">
        <v>1</v>
      </c>
    </row>
    <row r="529" spans="1:12">
      <c r="A529" s="53" t="s">
        <v>1030</v>
      </c>
      <c r="D529" s="53" t="s">
        <v>260</v>
      </c>
      <c r="E529" s="14" t="s">
        <v>1280</v>
      </c>
      <c r="F529" s="5">
        <v>41821</v>
      </c>
      <c r="G529" s="5">
        <v>44593</v>
      </c>
      <c r="H529" s="53">
        <v>92</v>
      </c>
      <c r="I529" s="15" t="s">
        <v>259</v>
      </c>
      <c r="J529" s="53" t="s">
        <v>261</v>
      </c>
      <c r="K529" s="53" t="s">
        <v>262</v>
      </c>
      <c r="L529" s="53">
        <v>1</v>
      </c>
    </row>
    <row r="530" spans="1:12">
      <c r="A530" s="53" t="s">
        <v>1031</v>
      </c>
      <c r="D530" s="53" t="s">
        <v>260</v>
      </c>
      <c r="E530" s="14" t="s">
        <v>1281</v>
      </c>
      <c r="F530" s="5">
        <v>41821</v>
      </c>
      <c r="G530" s="5">
        <v>44593</v>
      </c>
      <c r="H530" s="53">
        <v>92</v>
      </c>
      <c r="I530" s="15" t="s">
        <v>259</v>
      </c>
      <c r="J530" s="53" t="s">
        <v>261</v>
      </c>
      <c r="K530" s="53" t="s">
        <v>262</v>
      </c>
      <c r="L530" s="53">
        <v>1</v>
      </c>
    </row>
    <row r="531" spans="1:12">
      <c r="A531" s="53" t="s">
        <v>1032</v>
      </c>
      <c r="D531" s="53" t="s">
        <v>260</v>
      </c>
      <c r="E531" s="14" t="s">
        <v>1282</v>
      </c>
      <c r="F531" s="5">
        <v>41821</v>
      </c>
      <c r="G531" s="5">
        <v>44593</v>
      </c>
      <c r="H531" s="53">
        <v>92</v>
      </c>
      <c r="I531" s="15" t="s">
        <v>259</v>
      </c>
      <c r="J531" s="53" t="s">
        <v>261</v>
      </c>
      <c r="K531" s="53" t="s">
        <v>262</v>
      </c>
      <c r="L531" s="53">
        <v>1</v>
      </c>
    </row>
    <row r="532" spans="1:12">
      <c r="A532" s="53" t="s">
        <v>1033</v>
      </c>
      <c r="D532" s="53" t="s">
        <v>260</v>
      </c>
      <c r="E532" s="14" t="s">
        <v>1283</v>
      </c>
      <c r="F532" s="5">
        <v>41821</v>
      </c>
      <c r="G532" s="5">
        <v>44593</v>
      </c>
      <c r="H532" s="53">
        <v>92</v>
      </c>
      <c r="I532" s="15" t="s">
        <v>259</v>
      </c>
      <c r="J532" s="53" t="s">
        <v>261</v>
      </c>
      <c r="K532" s="53" t="s">
        <v>262</v>
      </c>
      <c r="L532" s="53">
        <v>1</v>
      </c>
    </row>
    <row r="533" spans="1:12">
      <c r="A533" s="53" t="s">
        <v>1034</v>
      </c>
      <c r="D533" s="53" t="s">
        <v>260</v>
      </c>
      <c r="E533" s="14" t="s">
        <v>1284</v>
      </c>
      <c r="F533" s="5">
        <v>41821</v>
      </c>
      <c r="G533" s="5">
        <v>44593</v>
      </c>
      <c r="H533" s="53">
        <v>92</v>
      </c>
      <c r="I533" s="15" t="s">
        <v>259</v>
      </c>
      <c r="J533" s="53" t="s">
        <v>261</v>
      </c>
      <c r="K533" s="53" t="s">
        <v>262</v>
      </c>
      <c r="L533" s="53">
        <v>1</v>
      </c>
    </row>
    <row r="534" spans="1:12">
      <c r="A534" s="53" t="s">
        <v>1035</v>
      </c>
      <c r="D534" s="53" t="s">
        <v>260</v>
      </c>
      <c r="E534" s="14" t="s">
        <v>1285</v>
      </c>
      <c r="F534" s="5">
        <v>41821</v>
      </c>
      <c r="G534" s="5">
        <v>44593</v>
      </c>
      <c r="H534" s="53">
        <v>92</v>
      </c>
      <c r="I534" s="15" t="s">
        <v>259</v>
      </c>
      <c r="J534" s="53" t="s">
        <v>261</v>
      </c>
      <c r="K534" s="53" t="s">
        <v>262</v>
      </c>
      <c r="L534" s="53">
        <v>1</v>
      </c>
    </row>
    <row r="535" spans="1:12">
      <c r="A535" s="53" t="s">
        <v>1036</v>
      </c>
      <c r="D535" s="53" t="s">
        <v>260</v>
      </c>
      <c r="E535" s="14" t="s">
        <v>1286</v>
      </c>
      <c r="F535" s="5">
        <v>41821</v>
      </c>
      <c r="G535" s="5">
        <v>44593</v>
      </c>
      <c r="H535" s="53">
        <v>92</v>
      </c>
      <c r="I535" s="15" t="s">
        <v>259</v>
      </c>
      <c r="J535" s="53" t="s">
        <v>261</v>
      </c>
      <c r="K535" s="53" t="s">
        <v>262</v>
      </c>
      <c r="L535" s="53">
        <v>1</v>
      </c>
    </row>
    <row r="536" spans="1:12">
      <c r="A536" s="53" t="s">
        <v>1037</v>
      </c>
      <c r="D536" s="53" t="s">
        <v>260</v>
      </c>
      <c r="E536" s="14" t="s">
        <v>1287</v>
      </c>
      <c r="F536" s="5">
        <v>41821</v>
      </c>
      <c r="G536" s="5">
        <v>44593</v>
      </c>
      <c r="H536" s="53">
        <v>92</v>
      </c>
      <c r="I536" s="15" t="s">
        <v>259</v>
      </c>
      <c r="J536" s="53" t="s">
        <v>261</v>
      </c>
      <c r="K536" s="53" t="s">
        <v>262</v>
      </c>
      <c r="L536" s="53">
        <v>1</v>
      </c>
    </row>
    <row r="537" spans="1:12">
      <c r="A537" s="53" t="s">
        <v>1038</v>
      </c>
      <c r="D537" s="53" t="s">
        <v>260</v>
      </c>
      <c r="E537" s="14" t="s">
        <v>1288</v>
      </c>
      <c r="F537" s="5">
        <v>41821</v>
      </c>
      <c r="G537" s="5">
        <v>44593</v>
      </c>
      <c r="H537" s="53">
        <v>92</v>
      </c>
      <c r="I537" s="15" t="s">
        <v>259</v>
      </c>
      <c r="J537" s="53" t="s">
        <v>261</v>
      </c>
      <c r="K537" s="53" t="s">
        <v>262</v>
      </c>
      <c r="L537" s="53">
        <v>1</v>
      </c>
    </row>
    <row r="538" spans="1:12">
      <c r="A538" s="53" t="s">
        <v>1039</v>
      </c>
      <c r="D538" s="53" t="s">
        <v>260</v>
      </c>
      <c r="E538" s="14" t="s">
        <v>1289</v>
      </c>
      <c r="F538" s="5">
        <v>41821</v>
      </c>
      <c r="G538" s="5">
        <v>44593</v>
      </c>
      <c r="H538" s="53">
        <v>92</v>
      </c>
      <c r="I538" s="15" t="s">
        <v>259</v>
      </c>
      <c r="J538" s="53" t="s">
        <v>261</v>
      </c>
      <c r="K538" s="53" t="s">
        <v>262</v>
      </c>
      <c r="L538" s="53">
        <v>1</v>
      </c>
    </row>
    <row r="539" spans="1:12">
      <c r="A539" s="53" t="s">
        <v>1040</v>
      </c>
      <c r="D539" s="53" t="s">
        <v>260</v>
      </c>
      <c r="E539" s="14" t="s">
        <v>1290</v>
      </c>
      <c r="F539" s="5">
        <v>41821</v>
      </c>
      <c r="G539" s="5">
        <v>44593</v>
      </c>
      <c r="H539" s="53">
        <v>92</v>
      </c>
      <c r="I539" s="15" t="s">
        <v>259</v>
      </c>
      <c r="J539" s="53" t="s">
        <v>261</v>
      </c>
      <c r="K539" s="53" t="s">
        <v>262</v>
      </c>
      <c r="L539" s="53">
        <v>1</v>
      </c>
    </row>
    <row r="540" spans="1:12">
      <c r="A540" s="53" t="s">
        <v>1041</v>
      </c>
      <c r="D540" s="53" t="s">
        <v>260</v>
      </c>
      <c r="E540" s="14" t="s">
        <v>1291</v>
      </c>
      <c r="F540" s="5">
        <v>41821</v>
      </c>
      <c r="G540" s="5">
        <v>44593</v>
      </c>
      <c r="H540" s="53">
        <v>92</v>
      </c>
      <c r="I540" s="15" t="s">
        <v>259</v>
      </c>
      <c r="J540" s="53" t="s">
        <v>261</v>
      </c>
      <c r="K540" s="53" t="s">
        <v>262</v>
      </c>
      <c r="L540" s="53">
        <v>1</v>
      </c>
    </row>
    <row r="541" spans="1:12">
      <c r="A541" s="53" t="s">
        <v>1042</v>
      </c>
      <c r="D541" s="53" t="s">
        <v>260</v>
      </c>
      <c r="E541" s="14" t="s">
        <v>1292</v>
      </c>
      <c r="F541" s="5">
        <v>41821</v>
      </c>
      <c r="G541" s="5">
        <v>44593</v>
      </c>
      <c r="H541" s="53">
        <v>92</v>
      </c>
      <c r="I541" s="15" t="s">
        <v>259</v>
      </c>
      <c r="J541" s="53" t="s">
        <v>261</v>
      </c>
      <c r="K541" s="53" t="s">
        <v>262</v>
      </c>
      <c r="L541" s="53">
        <v>1</v>
      </c>
    </row>
    <row r="542" spans="1:12">
      <c r="A542" s="53" t="s">
        <v>1043</v>
      </c>
      <c r="D542" s="53" t="s">
        <v>260</v>
      </c>
      <c r="E542" s="14" t="s">
        <v>1293</v>
      </c>
      <c r="F542" s="5">
        <v>41821</v>
      </c>
      <c r="G542" s="5">
        <v>44593</v>
      </c>
      <c r="H542" s="53">
        <v>92</v>
      </c>
      <c r="I542" s="15" t="s">
        <v>259</v>
      </c>
      <c r="J542" s="53" t="s">
        <v>261</v>
      </c>
      <c r="K542" s="53" t="s">
        <v>262</v>
      </c>
      <c r="L542" s="53">
        <v>1</v>
      </c>
    </row>
    <row r="543" spans="1:12">
      <c r="A543" s="53" t="s">
        <v>1044</v>
      </c>
      <c r="D543" s="53" t="s">
        <v>260</v>
      </c>
      <c r="E543" s="14" t="s">
        <v>1294</v>
      </c>
      <c r="F543" s="5">
        <v>41821</v>
      </c>
      <c r="G543" s="5">
        <v>44593</v>
      </c>
      <c r="H543" s="53">
        <v>92</v>
      </c>
      <c r="I543" s="15" t="s">
        <v>259</v>
      </c>
      <c r="J543" s="53" t="s">
        <v>261</v>
      </c>
      <c r="K543" s="53" t="s">
        <v>262</v>
      </c>
      <c r="L543" s="53">
        <v>1</v>
      </c>
    </row>
    <row r="544" spans="1:12">
      <c r="A544" s="53" t="s">
        <v>1045</v>
      </c>
      <c r="D544" s="53" t="s">
        <v>260</v>
      </c>
      <c r="E544" s="14" t="s">
        <v>1295</v>
      </c>
      <c r="F544" s="5">
        <v>41821</v>
      </c>
      <c r="G544" s="5">
        <v>44593</v>
      </c>
      <c r="H544" s="53">
        <v>92</v>
      </c>
      <c r="I544" s="15" t="s">
        <v>259</v>
      </c>
      <c r="J544" s="53" t="s">
        <v>261</v>
      </c>
      <c r="K544" s="53" t="s">
        <v>262</v>
      </c>
      <c r="L544" s="53">
        <v>1</v>
      </c>
    </row>
    <row r="545" spans="1:12">
      <c r="A545" s="53" t="s">
        <v>1046</v>
      </c>
      <c r="D545" s="53" t="s">
        <v>260</v>
      </c>
      <c r="E545" s="14" t="s">
        <v>1296</v>
      </c>
      <c r="F545" s="5">
        <v>41821</v>
      </c>
      <c r="G545" s="5">
        <v>44593</v>
      </c>
      <c r="H545" s="53">
        <v>92</v>
      </c>
      <c r="I545" s="15" t="s">
        <v>259</v>
      </c>
      <c r="J545" s="53" t="s">
        <v>261</v>
      </c>
      <c r="K545" s="53" t="s">
        <v>262</v>
      </c>
      <c r="L545" s="53">
        <v>1</v>
      </c>
    </row>
    <row r="546" spans="1:12">
      <c r="A546" s="53" t="s">
        <v>1047</v>
      </c>
      <c r="D546" s="53" t="s">
        <v>260</v>
      </c>
      <c r="E546" s="14" t="s">
        <v>1297</v>
      </c>
      <c r="F546" s="5">
        <v>41821</v>
      </c>
      <c r="G546" s="5">
        <v>44593</v>
      </c>
      <c r="H546" s="53">
        <v>92</v>
      </c>
      <c r="I546" s="15" t="s">
        <v>259</v>
      </c>
      <c r="J546" s="53" t="s">
        <v>261</v>
      </c>
      <c r="K546" s="53" t="s">
        <v>262</v>
      </c>
      <c r="L546" s="53">
        <v>1</v>
      </c>
    </row>
    <row r="547" spans="1:12">
      <c r="A547" s="53" t="s">
        <v>1048</v>
      </c>
      <c r="D547" s="53" t="s">
        <v>260</v>
      </c>
      <c r="E547" s="14" t="s">
        <v>1298</v>
      </c>
      <c r="F547" s="5">
        <v>41821</v>
      </c>
      <c r="G547" s="5">
        <v>44593</v>
      </c>
      <c r="H547" s="53">
        <v>92</v>
      </c>
      <c r="I547" s="15" t="s">
        <v>259</v>
      </c>
      <c r="J547" s="53" t="s">
        <v>261</v>
      </c>
      <c r="K547" s="53" t="s">
        <v>262</v>
      </c>
      <c r="L547" s="53">
        <v>1</v>
      </c>
    </row>
    <row r="548" spans="1:12">
      <c r="A548" s="53" t="s">
        <v>1049</v>
      </c>
      <c r="D548" s="53" t="s">
        <v>260</v>
      </c>
      <c r="E548" s="14" t="s">
        <v>1299</v>
      </c>
      <c r="F548" s="5">
        <v>41821</v>
      </c>
      <c r="G548" s="5">
        <v>44593</v>
      </c>
      <c r="H548" s="53">
        <v>92</v>
      </c>
      <c r="I548" s="15" t="s">
        <v>259</v>
      </c>
      <c r="J548" s="53" t="s">
        <v>261</v>
      </c>
      <c r="K548" s="53" t="s">
        <v>262</v>
      </c>
      <c r="L548" s="53">
        <v>1</v>
      </c>
    </row>
    <row r="549" spans="1:12">
      <c r="A549" s="53" t="s">
        <v>1050</v>
      </c>
      <c r="D549" s="53" t="s">
        <v>260</v>
      </c>
      <c r="E549" s="14" t="s">
        <v>1300</v>
      </c>
      <c r="F549" s="5">
        <v>41821</v>
      </c>
      <c r="G549" s="5">
        <v>44593</v>
      </c>
      <c r="H549" s="53">
        <v>92</v>
      </c>
      <c r="I549" s="15" t="s">
        <v>259</v>
      </c>
      <c r="J549" s="53" t="s">
        <v>261</v>
      </c>
      <c r="K549" s="53" t="s">
        <v>262</v>
      </c>
      <c r="L549" s="53">
        <v>1</v>
      </c>
    </row>
    <row r="550" spans="1:12">
      <c r="A550" s="53" t="s">
        <v>1051</v>
      </c>
      <c r="D550" s="53" t="s">
        <v>260</v>
      </c>
      <c r="E550" s="14" t="s">
        <v>1301</v>
      </c>
      <c r="F550" s="5">
        <v>41821</v>
      </c>
      <c r="G550" s="5">
        <v>44593</v>
      </c>
      <c r="H550" s="53">
        <v>92</v>
      </c>
      <c r="I550" s="15" t="s">
        <v>259</v>
      </c>
      <c r="J550" s="53" t="s">
        <v>261</v>
      </c>
      <c r="K550" s="53" t="s">
        <v>262</v>
      </c>
      <c r="L550" s="53">
        <v>1</v>
      </c>
    </row>
    <row r="551" spans="1:12">
      <c r="A551" s="53" t="s">
        <v>1052</v>
      </c>
      <c r="D551" s="53" t="s">
        <v>260</v>
      </c>
      <c r="E551" s="14" t="s">
        <v>1302</v>
      </c>
      <c r="F551" s="5">
        <v>41821</v>
      </c>
      <c r="G551" s="5">
        <v>44593</v>
      </c>
      <c r="H551" s="53">
        <v>92</v>
      </c>
      <c r="I551" s="15" t="s">
        <v>259</v>
      </c>
      <c r="J551" s="53" t="s">
        <v>261</v>
      </c>
      <c r="K551" s="53" t="s">
        <v>262</v>
      </c>
      <c r="L551" s="53">
        <v>1</v>
      </c>
    </row>
    <row r="552" spans="1:12">
      <c r="A552" s="53" t="s">
        <v>1053</v>
      </c>
      <c r="D552" s="53" t="s">
        <v>260</v>
      </c>
      <c r="E552" s="14" t="s">
        <v>1303</v>
      </c>
      <c r="F552" s="5">
        <v>41821</v>
      </c>
      <c r="G552" s="5">
        <v>44593</v>
      </c>
      <c r="H552" s="53">
        <v>92</v>
      </c>
      <c r="I552" s="15" t="s">
        <v>259</v>
      </c>
      <c r="J552" s="53" t="s">
        <v>261</v>
      </c>
      <c r="K552" s="53" t="s">
        <v>262</v>
      </c>
      <c r="L552" s="53">
        <v>1</v>
      </c>
    </row>
    <row r="553" spans="1:12">
      <c r="A553" s="53" t="s">
        <v>1054</v>
      </c>
      <c r="D553" s="53" t="s">
        <v>260</v>
      </c>
      <c r="E553" s="14" t="s">
        <v>1304</v>
      </c>
      <c r="F553" s="5">
        <v>41821</v>
      </c>
      <c r="G553" s="5">
        <v>44593</v>
      </c>
      <c r="H553" s="53">
        <v>92</v>
      </c>
      <c r="I553" s="15" t="s">
        <v>259</v>
      </c>
      <c r="J553" s="53" t="s">
        <v>261</v>
      </c>
      <c r="K553" s="53" t="s">
        <v>262</v>
      </c>
      <c r="L553" s="53">
        <v>1</v>
      </c>
    </row>
    <row r="554" spans="1:12">
      <c r="A554" s="53" t="s">
        <v>1055</v>
      </c>
      <c r="D554" s="53" t="s">
        <v>260</v>
      </c>
      <c r="E554" s="14" t="s">
        <v>1305</v>
      </c>
      <c r="F554" s="5">
        <v>41821</v>
      </c>
      <c r="G554" s="5">
        <v>44593</v>
      </c>
      <c r="H554" s="53">
        <v>92</v>
      </c>
      <c r="I554" s="15" t="s">
        <v>259</v>
      </c>
      <c r="J554" s="53" t="s">
        <v>261</v>
      </c>
      <c r="K554" s="53" t="s">
        <v>262</v>
      </c>
      <c r="L554" s="53">
        <v>1</v>
      </c>
    </row>
    <row r="555" spans="1:12">
      <c r="A555" s="53" t="s">
        <v>1056</v>
      </c>
      <c r="D555" s="53" t="s">
        <v>260</v>
      </c>
      <c r="E555" s="14" t="s">
        <v>1306</v>
      </c>
      <c r="F555" s="5">
        <v>41821</v>
      </c>
      <c r="G555" s="5">
        <v>44593</v>
      </c>
      <c r="H555" s="53">
        <v>92</v>
      </c>
      <c r="I555" s="15" t="s">
        <v>259</v>
      </c>
      <c r="J555" s="53" t="s">
        <v>261</v>
      </c>
      <c r="K555" s="53" t="s">
        <v>262</v>
      </c>
      <c r="L555" s="53">
        <v>1</v>
      </c>
    </row>
    <row r="556" spans="1:12">
      <c r="A556" s="53" t="s">
        <v>1057</v>
      </c>
      <c r="D556" s="53" t="s">
        <v>260</v>
      </c>
      <c r="E556" s="14" t="s">
        <v>1307</v>
      </c>
      <c r="F556" s="5">
        <v>41821</v>
      </c>
      <c r="G556" s="5">
        <v>44593</v>
      </c>
      <c r="H556" s="53">
        <v>92</v>
      </c>
      <c r="I556" s="15" t="s">
        <v>259</v>
      </c>
      <c r="J556" s="53" t="s">
        <v>261</v>
      </c>
      <c r="K556" s="53" t="s">
        <v>262</v>
      </c>
      <c r="L556" s="53">
        <v>1</v>
      </c>
    </row>
    <row r="557" spans="1:12">
      <c r="A557" s="53" t="s">
        <v>1058</v>
      </c>
      <c r="D557" s="53" t="s">
        <v>260</v>
      </c>
      <c r="E557" s="14" t="s">
        <v>1308</v>
      </c>
      <c r="F557" s="5">
        <v>41821</v>
      </c>
      <c r="G557" s="5">
        <v>44593</v>
      </c>
      <c r="H557" s="53">
        <v>92</v>
      </c>
      <c r="I557" s="15" t="s">
        <v>259</v>
      </c>
      <c r="J557" s="53" t="s">
        <v>261</v>
      </c>
      <c r="K557" s="53" t="s">
        <v>262</v>
      </c>
      <c r="L557" s="53">
        <v>1</v>
      </c>
    </row>
    <row r="558" spans="1:12">
      <c r="A558" s="53" t="s">
        <v>1059</v>
      </c>
      <c r="D558" s="53" t="s">
        <v>260</v>
      </c>
      <c r="E558" s="14" t="s">
        <v>1309</v>
      </c>
      <c r="F558" s="5">
        <v>41821</v>
      </c>
      <c r="G558" s="5">
        <v>44593</v>
      </c>
      <c r="H558" s="53">
        <v>92</v>
      </c>
      <c r="I558" s="15" t="s">
        <v>259</v>
      </c>
      <c r="J558" s="53" t="s">
        <v>261</v>
      </c>
      <c r="K558" s="53" t="s">
        <v>262</v>
      </c>
      <c r="L558" s="53">
        <v>1</v>
      </c>
    </row>
    <row r="559" spans="1:12">
      <c r="A559" s="53" t="s">
        <v>1060</v>
      </c>
      <c r="D559" s="53" t="s">
        <v>260</v>
      </c>
      <c r="E559" s="14" t="s">
        <v>1310</v>
      </c>
      <c r="F559" s="5">
        <v>41821</v>
      </c>
      <c r="G559" s="5">
        <v>44593</v>
      </c>
      <c r="H559" s="53">
        <v>92</v>
      </c>
      <c r="I559" s="15" t="s">
        <v>259</v>
      </c>
      <c r="J559" s="53" t="s">
        <v>261</v>
      </c>
      <c r="K559" s="53" t="s">
        <v>262</v>
      </c>
      <c r="L559" s="53">
        <v>1</v>
      </c>
    </row>
    <row r="560" spans="1:12">
      <c r="A560" s="53" t="s">
        <v>1061</v>
      </c>
      <c r="D560" s="53" t="s">
        <v>260</v>
      </c>
      <c r="E560" s="14" t="s">
        <v>1311</v>
      </c>
      <c r="F560" s="5">
        <v>41821</v>
      </c>
      <c r="G560" s="5">
        <v>44593</v>
      </c>
      <c r="H560" s="53">
        <v>92</v>
      </c>
      <c r="I560" s="15" t="s">
        <v>259</v>
      </c>
      <c r="J560" s="53" t="s">
        <v>261</v>
      </c>
      <c r="K560" s="53" t="s">
        <v>262</v>
      </c>
      <c r="L560" s="53">
        <v>1</v>
      </c>
    </row>
    <row r="561" spans="1:12">
      <c r="A561" s="53" t="s">
        <v>1062</v>
      </c>
      <c r="D561" s="53" t="s">
        <v>260</v>
      </c>
      <c r="E561" s="14" t="s">
        <v>1312</v>
      </c>
      <c r="F561" s="5">
        <v>41821</v>
      </c>
      <c r="G561" s="5">
        <v>44593</v>
      </c>
      <c r="H561" s="53">
        <v>92</v>
      </c>
      <c r="I561" s="15" t="s">
        <v>259</v>
      </c>
      <c r="J561" s="53" t="s">
        <v>261</v>
      </c>
      <c r="K561" s="53" t="s">
        <v>262</v>
      </c>
      <c r="L561" s="53">
        <v>1</v>
      </c>
    </row>
    <row r="562" spans="1:12">
      <c r="A562" s="53" t="s">
        <v>1063</v>
      </c>
      <c r="D562" s="53" t="s">
        <v>260</v>
      </c>
      <c r="E562" s="14" t="s">
        <v>1313</v>
      </c>
      <c r="F562" s="5">
        <v>41821</v>
      </c>
      <c r="G562" s="5">
        <v>44593</v>
      </c>
      <c r="H562" s="53">
        <v>92</v>
      </c>
      <c r="I562" s="15" t="s">
        <v>259</v>
      </c>
      <c r="J562" s="53" t="s">
        <v>261</v>
      </c>
      <c r="K562" s="53" t="s">
        <v>262</v>
      </c>
      <c r="L562" s="53">
        <v>1</v>
      </c>
    </row>
    <row r="563" spans="1:12">
      <c r="A563" s="53" t="s">
        <v>1064</v>
      </c>
      <c r="D563" s="53" t="s">
        <v>260</v>
      </c>
      <c r="E563" s="14" t="s">
        <v>1314</v>
      </c>
      <c r="F563" s="5">
        <v>41821</v>
      </c>
      <c r="G563" s="5">
        <v>44593</v>
      </c>
      <c r="H563" s="53">
        <v>92</v>
      </c>
      <c r="I563" s="15" t="s">
        <v>259</v>
      </c>
      <c r="J563" s="53" t="s">
        <v>261</v>
      </c>
      <c r="K563" s="53" t="s">
        <v>262</v>
      </c>
      <c r="L563" s="53">
        <v>1</v>
      </c>
    </row>
    <row r="564" spans="1:12">
      <c r="A564" s="53" t="s">
        <v>1065</v>
      </c>
      <c r="D564" s="53" t="s">
        <v>260</v>
      </c>
      <c r="E564" s="14" t="s">
        <v>1315</v>
      </c>
      <c r="F564" s="5">
        <v>41821</v>
      </c>
      <c r="G564" s="5">
        <v>44593</v>
      </c>
      <c r="H564" s="53">
        <v>92</v>
      </c>
      <c r="I564" s="15" t="s">
        <v>259</v>
      </c>
      <c r="J564" s="53" t="s">
        <v>261</v>
      </c>
      <c r="K564" s="53" t="s">
        <v>262</v>
      </c>
      <c r="L564" s="53">
        <v>1</v>
      </c>
    </row>
    <row r="565" spans="1:12">
      <c r="A565" s="53" t="s">
        <v>1066</v>
      </c>
      <c r="D565" s="53" t="s">
        <v>260</v>
      </c>
      <c r="E565" s="14" t="s">
        <v>1316</v>
      </c>
      <c r="F565" s="5">
        <v>41821</v>
      </c>
      <c r="G565" s="5">
        <v>44593</v>
      </c>
      <c r="H565" s="53">
        <v>92</v>
      </c>
      <c r="I565" s="15" t="s">
        <v>259</v>
      </c>
      <c r="J565" s="53" t="s">
        <v>261</v>
      </c>
      <c r="K565" s="53" t="s">
        <v>262</v>
      </c>
      <c r="L565" s="53">
        <v>1</v>
      </c>
    </row>
    <row r="566" spans="1:12">
      <c r="A566" s="53" t="s">
        <v>1067</v>
      </c>
      <c r="D566" s="53" t="s">
        <v>260</v>
      </c>
      <c r="E566" s="14" t="s">
        <v>1317</v>
      </c>
      <c r="F566" s="5">
        <v>41821</v>
      </c>
      <c r="G566" s="5">
        <v>44593</v>
      </c>
      <c r="H566" s="53">
        <v>92</v>
      </c>
      <c r="I566" s="15" t="s">
        <v>259</v>
      </c>
      <c r="J566" s="53" t="s">
        <v>261</v>
      </c>
      <c r="K566" s="53" t="s">
        <v>262</v>
      </c>
      <c r="L566" s="53">
        <v>1</v>
      </c>
    </row>
    <row r="567" spans="1:12">
      <c r="A567" s="53" t="s">
        <v>1068</v>
      </c>
      <c r="D567" s="53" t="s">
        <v>260</v>
      </c>
      <c r="E567" s="14" t="s">
        <v>1318</v>
      </c>
      <c r="F567" s="5">
        <v>41821</v>
      </c>
      <c r="G567" s="5">
        <v>44593</v>
      </c>
      <c r="H567" s="53">
        <v>92</v>
      </c>
      <c r="I567" s="15" t="s">
        <v>259</v>
      </c>
      <c r="J567" s="53" t="s">
        <v>261</v>
      </c>
      <c r="K567" s="53" t="s">
        <v>262</v>
      </c>
      <c r="L567" s="53">
        <v>1</v>
      </c>
    </row>
    <row r="568" spans="1:12">
      <c r="A568" s="53" t="s">
        <v>1069</v>
      </c>
      <c r="D568" s="53" t="s">
        <v>260</v>
      </c>
      <c r="E568" s="14" t="s">
        <v>1319</v>
      </c>
      <c r="F568" s="5">
        <v>41821</v>
      </c>
      <c r="G568" s="5">
        <v>44593</v>
      </c>
      <c r="H568" s="53">
        <v>92</v>
      </c>
      <c r="I568" s="15" t="s">
        <v>259</v>
      </c>
      <c r="J568" s="53" t="s">
        <v>261</v>
      </c>
      <c r="K568" s="53" t="s">
        <v>262</v>
      </c>
      <c r="L568" s="53">
        <v>1</v>
      </c>
    </row>
    <row r="569" spans="1:12">
      <c r="A569" s="53" t="s">
        <v>1070</v>
      </c>
      <c r="D569" s="53" t="s">
        <v>260</v>
      </c>
      <c r="E569" s="14" t="s">
        <v>1320</v>
      </c>
      <c r="F569" s="5">
        <v>41821</v>
      </c>
      <c r="G569" s="5">
        <v>44593</v>
      </c>
      <c r="H569" s="53">
        <v>92</v>
      </c>
      <c r="I569" s="15" t="s">
        <v>259</v>
      </c>
      <c r="J569" s="53" t="s">
        <v>261</v>
      </c>
      <c r="K569" s="53" t="s">
        <v>262</v>
      </c>
      <c r="L569" s="53">
        <v>1</v>
      </c>
    </row>
    <row r="570" spans="1:12">
      <c r="A570" s="53" t="s">
        <v>1071</v>
      </c>
      <c r="D570" s="53" t="s">
        <v>260</v>
      </c>
      <c r="E570" s="14" t="s">
        <v>1321</v>
      </c>
      <c r="F570" s="5">
        <v>41821</v>
      </c>
      <c r="G570" s="5">
        <v>44593</v>
      </c>
      <c r="H570" s="53">
        <v>92</v>
      </c>
      <c r="I570" s="15" t="s">
        <v>259</v>
      </c>
      <c r="J570" s="53" t="s">
        <v>261</v>
      </c>
      <c r="K570" s="53" t="s">
        <v>262</v>
      </c>
      <c r="L570" s="53">
        <v>1</v>
      </c>
    </row>
    <row r="571" spans="1:12">
      <c r="A571" s="53" t="s">
        <v>1072</v>
      </c>
      <c r="D571" s="53" t="s">
        <v>260</v>
      </c>
      <c r="E571" s="14" t="s">
        <v>1322</v>
      </c>
      <c r="F571" s="5">
        <v>41821</v>
      </c>
      <c r="G571" s="5">
        <v>44593</v>
      </c>
      <c r="H571" s="53">
        <v>92</v>
      </c>
      <c r="I571" s="15" t="s">
        <v>259</v>
      </c>
      <c r="J571" s="53" t="s">
        <v>261</v>
      </c>
      <c r="K571" s="53" t="s">
        <v>262</v>
      </c>
      <c r="L571" s="53">
        <v>1</v>
      </c>
    </row>
    <row r="572" spans="1:12">
      <c r="A572" s="53" t="s">
        <v>1073</v>
      </c>
      <c r="D572" s="53" t="s">
        <v>260</v>
      </c>
      <c r="E572" s="14" t="s">
        <v>1323</v>
      </c>
      <c r="F572" s="5">
        <v>41821</v>
      </c>
      <c r="G572" s="5">
        <v>44593</v>
      </c>
      <c r="H572" s="53">
        <v>92</v>
      </c>
      <c r="I572" s="15" t="s">
        <v>259</v>
      </c>
      <c r="J572" s="53" t="s">
        <v>261</v>
      </c>
      <c r="K572" s="53" t="s">
        <v>262</v>
      </c>
      <c r="L572" s="53">
        <v>1</v>
      </c>
    </row>
    <row r="573" spans="1:12">
      <c r="A573" s="53" t="s">
        <v>1074</v>
      </c>
      <c r="D573" s="53" t="s">
        <v>260</v>
      </c>
      <c r="E573" s="14" t="s">
        <v>1324</v>
      </c>
      <c r="F573" s="5">
        <v>41821</v>
      </c>
      <c r="G573" s="5">
        <v>44593</v>
      </c>
      <c r="H573" s="53">
        <v>92</v>
      </c>
      <c r="I573" s="15" t="s">
        <v>259</v>
      </c>
      <c r="J573" s="53" t="s">
        <v>261</v>
      </c>
      <c r="K573" s="53" t="s">
        <v>262</v>
      </c>
      <c r="L573" s="53">
        <v>1</v>
      </c>
    </row>
    <row r="574" spans="1:12">
      <c r="A574" s="53" t="s">
        <v>1075</v>
      </c>
      <c r="D574" s="53" t="s">
        <v>260</v>
      </c>
      <c r="E574" s="14" t="s">
        <v>1325</v>
      </c>
      <c r="F574" s="5">
        <v>41821</v>
      </c>
      <c r="G574" s="5">
        <v>44593</v>
      </c>
      <c r="H574" s="53">
        <v>92</v>
      </c>
      <c r="I574" s="15" t="s">
        <v>259</v>
      </c>
      <c r="J574" s="53" t="s">
        <v>261</v>
      </c>
      <c r="K574" s="53" t="s">
        <v>262</v>
      </c>
      <c r="L574" s="53">
        <v>1</v>
      </c>
    </row>
    <row r="575" spans="1:12">
      <c r="A575" s="53" t="s">
        <v>1076</v>
      </c>
      <c r="D575" s="53" t="s">
        <v>260</v>
      </c>
      <c r="E575" s="14" t="s">
        <v>1326</v>
      </c>
      <c r="F575" s="5">
        <v>41821</v>
      </c>
      <c r="G575" s="5">
        <v>44593</v>
      </c>
      <c r="H575" s="53">
        <v>92</v>
      </c>
      <c r="I575" s="15" t="s">
        <v>259</v>
      </c>
      <c r="J575" s="53" t="s">
        <v>261</v>
      </c>
      <c r="K575" s="53" t="s">
        <v>262</v>
      </c>
      <c r="L575" s="53">
        <v>1</v>
      </c>
    </row>
    <row r="576" spans="1:12">
      <c r="A576" s="53" t="s">
        <v>1077</v>
      </c>
      <c r="D576" s="53" t="s">
        <v>260</v>
      </c>
      <c r="E576" s="14" t="s">
        <v>1327</v>
      </c>
      <c r="F576" s="5">
        <v>41821</v>
      </c>
      <c r="G576" s="5">
        <v>44593</v>
      </c>
      <c r="H576" s="53">
        <v>92</v>
      </c>
      <c r="I576" s="15" t="s">
        <v>259</v>
      </c>
      <c r="J576" s="53" t="s">
        <v>261</v>
      </c>
      <c r="K576" s="53" t="s">
        <v>262</v>
      </c>
      <c r="L576" s="53">
        <v>1</v>
      </c>
    </row>
    <row r="577" spans="1:12">
      <c r="A577" s="53" t="s">
        <v>1078</v>
      </c>
      <c r="D577" s="53" t="s">
        <v>260</v>
      </c>
      <c r="E577" s="14" t="s">
        <v>1328</v>
      </c>
      <c r="F577" s="5">
        <v>41821</v>
      </c>
      <c r="G577" s="5">
        <v>44593</v>
      </c>
      <c r="H577" s="53">
        <v>92</v>
      </c>
      <c r="I577" s="15" t="s">
        <v>259</v>
      </c>
      <c r="J577" s="53" t="s">
        <v>261</v>
      </c>
      <c r="K577" s="53" t="s">
        <v>262</v>
      </c>
      <c r="L577" s="53">
        <v>1</v>
      </c>
    </row>
    <row r="578" spans="1:12">
      <c r="A578" s="53" t="s">
        <v>1079</v>
      </c>
      <c r="D578" s="53" t="s">
        <v>260</v>
      </c>
      <c r="E578" s="14" t="s">
        <v>1329</v>
      </c>
      <c r="F578" s="5">
        <v>41821</v>
      </c>
      <c r="G578" s="5">
        <v>44593</v>
      </c>
      <c r="H578" s="53">
        <v>92</v>
      </c>
      <c r="I578" s="15" t="s">
        <v>259</v>
      </c>
      <c r="J578" s="53" t="s">
        <v>261</v>
      </c>
      <c r="K578" s="53" t="s">
        <v>262</v>
      </c>
      <c r="L578" s="53">
        <v>1</v>
      </c>
    </row>
    <row r="579" spans="1:12">
      <c r="A579" s="53" t="s">
        <v>1080</v>
      </c>
      <c r="D579" s="53" t="s">
        <v>260</v>
      </c>
      <c r="E579" s="14" t="s">
        <v>1330</v>
      </c>
      <c r="F579" s="5">
        <v>41821</v>
      </c>
      <c r="G579" s="5">
        <v>44593</v>
      </c>
      <c r="H579" s="53">
        <v>92</v>
      </c>
      <c r="I579" s="15" t="s">
        <v>259</v>
      </c>
      <c r="J579" s="53" t="s">
        <v>261</v>
      </c>
      <c r="K579" s="53" t="s">
        <v>262</v>
      </c>
      <c r="L579" s="53">
        <v>1</v>
      </c>
    </row>
    <row r="580" spans="1:12">
      <c r="A580" s="53" t="s">
        <v>1081</v>
      </c>
      <c r="D580" s="53" t="s">
        <v>260</v>
      </c>
      <c r="E580" s="14" t="s">
        <v>1331</v>
      </c>
      <c r="F580" s="5">
        <v>41821</v>
      </c>
      <c r="G580" s="5">
        <v>44593</v>
      </c>
      <c r="H580" s="53">
        <v>92</v>
      </c>
      <c r="I580" s="15" t="s">
        <v>259</v>
      </c>
      <c r="J580" s="53" t="s">
        <v>261</v>
      </c>
      <c r="K580" s="53" t="s">
        <v>262</v>
      </c>
      <c r="L580" s="53">
        <v>1</v>
      </c>
    </row>
    <row r="581" spans="1:12">
      <c r="A581" s="53" t="s">
        <v>1082</v>
      </c>
      <c r="D581" s="53" t="s">
        <v>260</v>
      </c>
      <c r="E581" s="14" t="s">
        <v>1332</v>
      </c>
      <c r="F581" s="5">
        <v>41821</v>
      </c>
      <c r="G581" s="5">
        <v>44593</v>
      </c>
      <c r="H581" s="53">
        <v>92</v>
      </c>
      <c r="I581" s="15" t="s">
        <v>259</v>
      </c>
      <c r="J581" s="53" t="s">
        <v>261</v>
      </c>
      <c r="K581" s="53" t="s">
        <v>262</v>
      </c>
      <c r="L581" s="53">
        <v>1</v>
      </c>
    </row>
    <row r="582" spans="1:12">
      <c r="A582" s="53" t="s">
        <v>1083</v>
      </c>
      <c r="D582" s="53" t="s">
        <v>260</v>
      </c>
      <c r="E582" s="14" t="s">
        <v>1333</v>
      </c>
      <c r="F582" s="5">
        <v>41821</v>
      </c>
      <c r="G582" s="5">
        <v>44593</v>
      </c>
      <c r="H582" s="53">
        <v>92</v>
      </c>
      <c r="I582" s="15" t="s">
        <v>259</v>
      </c>
      <c r="J582" s="53" t="s">
        <v>261</v>
      </c>
      <c r="K582" s="53" t="s">
        <v>262</v>
      </c>
      <c r="L582" s="53">
        <v>1</v>
      </c>
    </row>
    <row r="583" spans="1:12">
      <c r="A583" s="53" t="s">
        <v>1084</v>
      </c>
      <c r="D583" s="53" t="s">
        <v>260</v>
      </c>
      <c r="E583" s="14" t="s">
        <v>1334</v>
      </c>
      <c r="F583" s="5">
        <v>41821</v>
      </c>
      <c r="G583" s="5">
        <v>44593</v>
      </c>
      <c r="H583" s="53">
        <v>92</v>
      </c>
      <c r="I583" s="15" t="s">
        <v>259</v>
      </c>
      <c r="J583" s="53" t="s">
        <v>261</v>
      </c>
      <c r="K583" s="53" t="s">
        <v>262</v>
      </c>
      <c r="L583" s="53">
        <v>1</v>
      </c>
    </row>
    <row r="584" spans="1:12">
      <c r="A584" s="53" t="s">
        <v>1085</v>
      </c>
      <c r="D584" s="53" t="s">
        <v>260</v>
      </c>
      <c r="E584" s="14" t="s">
        <v>1335</v>
      </c>
      <c r="F584" s="5">
        <v>41821</v>
      </c>
      <c r="G584" s="5">
        <v>44593</v>
      </c>
      <c r="H584" s="53">
        <v>92</v>
      </c>
      <c r="I584" s="15" t="s">
        <v>259</v>
      </c>
      <c r="J584" s="53" t="s">
        <v>261</v>
      </c>
      <c r="K584" s="53" t="s">
        <v>262</v>
      </c>
      <c r="L584" s="53">
        <v>1</v>
      </c>
    </row>
    <row r="585" spans="1:12">
      <c r="A585" s="53" t="s">
        <v>1086</v>
      </c>
      <c r="D585" s="53" t="s">
        <v>260</v>
      </c>
      <c r="E585" s="14" t="s">
        <v>1336</v>
      </c>
      <c r="F585" s="5">
        <v>41821</v>
      </c>
      <c r="G585" s="5">
        <v>44593</v>
      </c>
      <c r="H585" s="53">
        <v>92</v>
      </c>
      <c r="I585" s="15" t="s">
        <v>259</v>
      </c>
      <c r="J585" s="53" t="s">
        <v>261</v>
      </c>
      <c r="K585" s="53" t="s">
        <v>262</v>
      </c>
      <c r="L585" s="53">
        <v>1</v>
      </c>
    </row>
    <row r="586" spans="1:12">
      <c r="A586" s="53" t="s">
        <v>1087</v>
      </c>
      <c r="D586" s="53" t="s">
        <v>260</v>
      </c>
      <c r="E586" s="14" t="s">
        <v>1337</v>
      </c>
      <c r="F586" s="5">
        <v>41821</v>
      </c>
      <c r="G586" s="5">
        <v>44593</v>
      </c>
      <c r="H586" s="53">
        <v>92</v>
      </c>
      <c r="I586" s="15" t="s">
        <v>259</v>
      </c>
      <c r="J586" s="53" t="s">
        <v>261</v>
      </c>
      <c r="K586" s="53" t="s">
        <v>262</v>
      </c>
      <c r="L586" s="53">
        <v>1</v>
      </c>
    </row>
    <row r="587" spans="1:12">
      <c r="A587" s="53" t="s">
        <v>1088</v>
      </c>
      <c r="D587" s="53" t="s">
        <v>260</v>
      </c>
      <c r="E587" s="14" t="s">
        <v>1338</v>
      </c>
      <c r="F587" s="5">
        <v>41821</v>
      </c>
      <c r="G587" s="5">
        <v>44593</v>
      </c>
      <c r="H587" s="53">
        <v>92</v>
      </c>
      <c r="I587" s="15" t="s">
        <v>259</v>
      </c>
      <c r="J587" s="53" t="s">
        <v>261</v>
      </c>
      <c r="K587" s="53" t="s">
        <v>262</v>
      </c>
      <c r="L587" s="53">
        <v>1</v>
      </c>
    </row>
    <row r="588" spans="1:12">
      <c r="A588" s="53" t="s">
        <v>1089</v>
      </c>
      <c r="D588" s="53" t="s">
        <v>260</v>
      </c>
      <c r="E588" s="14" t="s">
        <v>1339</v>
      </c>
      <c r="F588" s="5">
        <v>41821</v>
      </c>
      <c r="G588" s="5">
        <v>44593</v>
      </c>
      <c r="H588" s="53">
        <v>92</v>
      </c>
      <c r="I588" s="15" t="s">
        <v>259</v>
      </c>
      <c r="J588" s="53" t="s">
        <v>261</v>
      </c>
      <c r="K588" s="53" t="s">
        <v>262</v>
      </c>
      <c r="L588" s="53">
        <v>1</v>
      </c>
    </row>
    <row r="589" spans="1:12">
      <c r="A589" s="53" t="s">
        <v>1090</v>
      </c>
      <c r="D589" s="53" t="s">
        <v>260</v>
      </c>
      <c r="E589" s="14" t="s">
        <v>1340</v>
      </c>
      <c r="F589" s="5">
        <v>41821</v>
      </c>
      <c r="G589" s="5">
        <v>44593</v>
      </c>
      <c r="H589" s="53">
        <v>92</v>
      </c>
      <c r="I589" s="15" t="s">
        <v>259</v>
      </c>
      <c r="J589" s="53" t="s">
        <v>261</v>
      </c>
      <c r="K589" s="53" t="s">
        <v>262</v>
      </c>
      <c r="L589" s="53">
        <v>1</v>
      </c>
    </row>
    <row r="590" spans="1:12">
      <c r="A590" s="53" t="s">
        <v>1091</v>
      </c>
      <c r="D590" s="53" t="s">
        <v>260</v>
      </c>
      <c r="E590" s="14" t="s">
        <v>1341</v>
      </c>
      <c r="F590" s="5">
        <v>41821</v>
      </c>
      <c r="G590" s="5">
        <v>44593</v>
      </c>
      <c r="H590" s="53">
        <v>92</v>
      </c>
      <c r="I590" s="15" t="s">
        <v>259</v>
      </c>
      <c r="J590" s="53" t="s">
        <v>261</v>
      </c>
      <c r="K590" s="53" t="s">
        <v>262</v>
      </c>
      <c r="L590" s="53">
        <v>1</v>
      </c>
    </row>
    <row r="591" spans="1:12">
      <c r="A591" s="53" t="s">
        <v>1092</v>
      </c>
      <c r="D591" s="53" t="s">
        <v>260</v>
      </c>
      <c r="E591" s="14" t="s">
        <v>1342</v>
      </c>
      <c r="F591" s="5">
        <v>41821</v>
      </c>
      <c r="G591" s="5">
        <v>44593</v>
      </c>
      <c r="H591" s="53">
        <v>92</v>
      </c>
      <c r="I591" s="15" t="s">
        <v>259</v>
      </c>
      <c r="J591" s="53" t="s">
        <v>261</v>
      </c>
      <c r="K591" s="53" t="s">
        <v>262</v>
      </c>
      <c r="L591" s="53">
        <v>1</v>
      </c>
    </row>
    <row r="592" spans="1:12">
      <c r="A592" s="53" t="s">
        <v>1093</v>
      </c>
      <c r="D592" s="53" t="s">
        <v>260</v>
      </c>
      <c r="E592" s="14" t="s">
        <v>1343</v>
      </c>
      <c r="F592" s="5">
        <v>41821</v>
      </c>
      <c r="G592" s="5">
        <v>44593</v>
      </c>
      <c r="H592" s="53">
        <v>92</v>
      </c>
      <c r="I592" s="15" t="s">
        <v>259</v>
      </c>
      <c r="J592" s="53" t="s">
        <v>261</v>
      </c>
      <c r="K592" s="53" t="s">
        <v>262</v>
      </c>
      <c r="L592" s="53">
        <v>1</v>
      </c>
    </row>
    <row r="593" spans="1:12">
      <c r="A593" s="53" t="s">
        <v>1094</v>
      </c>
      <c r="D593" s="53" t="s">
        <v>260</v>
      </c>
      <c r="E593" s="14" t="s">
        <v>1344</v>
      </c>
      <c r="F593" s="5">
        <v>41821</v>
      </c>
      <c r="G593" s="5">
        <v>44593</v>
      </c>
      <c r="H593" s="53">
        <v>92</v>
      </c>
      <c r="I593" s="15" t="s">
        <v>259</v>
      </c>
      <c r="J593" s="53" t="s">
        <v>261</v>
      </c>
      <c r="K593" s="53" t="s">
        <v>262</v>
      </c>
      <c r="L593" s="53">
        <v>1</v>
      </c>
    </row>
    <row r="594" spans="1:12">
      <c r="A594" s="53" t="s">
        <v>1095</v>
      </c>
      <c r="D594" s="53" t="s">
        <v>260</v>
      </c>
      <c r="E594" s="14" t="s">
        <v>1345</v>
      </c>
      <c r="F594" s="5">
        <v>41821</v>
      </c>
      <c r="G594" s="5">
        <v>44593</v>
      </c>
      <c r="H594" s="53">
        <v>92</v>
      </c>
      <c r="I594" s="15" t="s">
        <v>259</v>
      </c>
      <c r="J594" s="53" t="s">
        <v>261</v>
      </c>
      <c r="K594" s="53" t="s">
        <v>262</v>
      </c>
      <c r="L594" s="53">
        <v>1</v>
      </c>
    </row>
    <row r="595" spans="1:12">
      <c r="A595" s="53" t="s">
        <v>1096</v>
      </c>
      <c r="D595" s="53" t="s">
        <v>260</v>
      </c>
      <c r="E595" s="14" t="s">
        <v>1346</v>
      </c>
      <c r="F595" s="5">
        <v>41821</v>
      </c>
      <c r="G595" s="5">
        <v>44593</v>
      </c>
      <c r="H595" s="53">
        <v>92</v>
      </c>
      <c r="I595" s="15" t="s">
        <v>259</v>
      </c>
      <c r="J595" s="53" t="s">
        <v>261</v>
      </c>
      <c r="K595" s="53" t="s">
        <v>262</v>
      </c>
      <c r="L595" s="53">
        <v>1</v>
      </c>
    </row>
    <row r="596" spans="1:12">
      <c r="A596" s="53" t="s">
        <v>1097</v>
      </c>
      <c r="D596" s="53" t="s">
        <v>260</v>
      </c>
      <c r="E596" s="14" t="s">
        <v>1347</v>
      </c>
      <c r="F596" s="5">
        <v>41821</v>
      </c>
      <c r="G596" s="5">
        <v>44593</v>
      </c>
      <c r="H596" s="53">
        <v>92</v>
      </c>
      <c r="I596" s="15" t="s">
        <v>259</v>
      </c>
      <c r="J596" s="53" t="s">
        <v>261</v>
      </c>
      <c r="K596" s="53" t="s">
        <v>262</v>
      </c>
      <c r="L596" s="53">
        <v>1</v>
      </c>
    </row>
    <row r="597" spans="1:12">
      <c r="A597" s="53" t="s">
        <v>1098</v>
      </c>
      <c r="D597" s="53" t="s">
        <v>260</v>
      </c>
      <c r="E597" s="14" t="s">
        <v>1348</v>
      </c>
      <c r="F597" s="5">
        <v>41821</v>
      </c>
      <c r="G597" s="5">
        <v>44593</v>
      </c>
      <c r="H597" s="53">
        <v>92</v>
      </c>
      <c r="I597" s="15" t="s">
        <v>259</v>
      </c>
      <c r="J597" s="53" t="s">
        <v>261</v>
      </c>
      <c r="K597" s="53" t="s">
        <v>262</v>
      </c>
      <c r="L597" s="53">
        <v>1</v>
      </c>
    </row>
    <row r="598" spans="1:12">
      <c r="A598" s="53" t="s">
        <v>1099</v>
      </c>
      <c r="D598" s="53" t="s">
        <v>260</v>
      </c>
      <c r="E598" s="14" t="s">
        <v>1349</v>
      </c>
      <c r="F598" s="5">
        <v>41821</v>
      </c>
      <c r="G598" s="5">
        <v>44593</v>
      </c>
      <c r="H598" s="53">
        <v>92</v>
      </c>
      <c r="I598" s="15" t="s">
        <v>259</v>
      </c>
      <c r="J598" s="53" t="s">
        <v>261</v>
      </c>
      <c r="K598" s="53" t="s">
        <v>262</v>
      </c>
      <c r="L598" s="53">
        <v>1</v>
      </c>
    </row>
    <row r="599" spans="1:12">
      <c r="A599" s="53" t="s">
        <v>1100</v>
      </c>
      <c r="D599" s="53" t="s">
        <v>260</v>
      </c>
      <c r="E599" s="14" t="s">
        <v>1350</v>
      </c>
      <c r="F599" s="5">
        <v>41821</v>
      </c>
      <c r="G599" s="5">
        <v>44593</v>
      </c>
      <c r="H599" s="53">
        <v>92</v>
      </c>
      <c r="I599" s="15" t="s">
        <v>259</v>
      </c>
      <c r="J599" s="53" t="s">
        <v>261</v>
      </c>
      <c r="K599" s="53" t="s">
        <v>262</v>
      </c>
      <c r="L599" s="53">
        <v>1</v>
      </c>
    </row>
    <row r="600" spans="1:12">
      <c r="A600" s="53" t="s">
        <v>1101</v>
      </c>
      <c r="D600" s="53" t="s">
        <v>260</v>
      </c>
      <c r="E600" s="14" t="s">
        <v>1351</v>
      </c>
      <c r="F600" s="5">
        <v>41821</v>
      </c>
      <c r="G600" s="5">
        <v>44593</v>
      </c>
      <c r="H600" s="53">
        <v>92</v>
      </c>
      <c r="I600" s="15" t="s">
        <v>259</v>
      </c>
      <c r="J600" s="53" t="s">
        <v>261</v>
      </c>
      <c r="K600" s="53" t="s">
        <v>262</v>
      </c>
      <c r="L600" s="53">
        <v>1</v>
      </c>
    </row>
    <row r="601" spans="1:12">
      <c r="A601" s="53" t="s">
        <v>1102</v>
      </c>
      <c r="D601" s="53" t="s">
        <v>260</v>
      </c>
      <c r="E601" s="14" t="s">
        <v>1352</v>
      </c>
      <c r="F601" s="5">
        <v>41821</v>
      </c>
      <c r="G601" s="5">
        <v>44593</v>
      </c>
      <c r="H601" s="53">
        <v>92</v>
      </c>
      <c r="I601" s="15" t="s">
        <v>259</v>
      </c>
      <c r="J601" s="53" t="s">
        <v>261</v>
      </c>
      <c r="K601" s="53" t="s">
        <v>262</v>
      </c>
      <c r="L601" s="53">
        <v>1</v>
      </c>
    </row>
    <row r="602" spans="1:12">
      <c r="A602" s="53" t="s">
        <v>1103</v>
      </c>
      <c r="D602" s="53" t="s">
        <v>260</v>
      </c>
      <c r="E602" s="14" t="s">
        <v>1353</v>
      </c>
      <c r="F602" s="5">
        <v>41821</v>
      </c>
      <c r="G602" s="5">
        <v>44593</v>
      </c>
      <c r="H602" s="53">
        <v>92</v>
      </c>
      <c r="I602" s="15" t="s">
        <v>259</v>
      </c>
      <c r="J602" s="53" t="s">
        <v>261</v>
      </c>
      <c r="K602" s="53" t="s">
        <v>262</v>
      </c>
      <c r="L602" s="53">
        <v>1</v>
      </c>
    </row>
    <row r="603" spans="1:12">
      <c r="A603" s="53" t="s">
        <v>1104</v>
      </c>
      <c r="D603" s="53" t="s">
        <v>260</v>
      </c>
      <c r="E603" s="14" t="s">
        <v>1354</v>
      </c>
      <c r="F603" s="5">
        <v>41821</v>
      </c>
      <c r="G603" s="5">
        <v>44593</v>
      </c>
      <c r="H603" s="53">
        <v>92</v>
      </c>
      <c r="I603" s="15" t="s">
        <v>259</v>
      </c>
      <c r="J603" s="53" t="s">
        <v>261</v>
      </c>
      <c r="K603" s="53" t="s">
        <v>262</v>
      </c>
      <c r="L603" s="53">
        <v>1</v>
      </c>
    </row>
    <row r="604" spans="1:12">
      <c r="A604" s="53" t="s">
        <v>1105</v>
      </c>
      <c r="D604" s="53" t="s">
        <v>260</v>
      </c>
      <c r="E604" s="14" t="s">
        <v>1355</v>
      </c>
      <c r="F604" s="5">
        <v>41821</v>
      </c>
      <c r="G604" s="5">
        <v>44593</v>
      </c>
      <c r="H604" s="53">
        <v>92</v>
      </c>
      <c r="I604" s="15" t="s">
        <v>259</v>
      </c>
      <c r="J604" s="53" t="s">
        <v>261</v>
      </c>
      <c r="K604" s="53" t="s">
        <v>262</v>
      </c>
      <c r="L604" s="53">
        <v>1</v>
      </c>
    </row>
    <row r="605" spans="1:12">
      <c r="A605" s="53" t="s">
        <v>1106</v>
      </c>
      <c r="D605" s="53" t="s">
        <v>260</v>
      </c>
      <c r="E605" s="14" t="s">
        <v>1356</v>
      </c>
      <c r="F605" s="5">
        <v>41821</v>
      </c>
      <c r="G605" s="5">
        <v>44593</v>
      </c>
      <c r="H605" s="53">
        <v>92</v>
      </c>
      <c r="I605" s="15" t="s">
        <v>259</v>
      </c>
      <c r="J605" s="53" t="s">
        <v>261</v>
      </c>
      <c r="K605" s="53" t="s">
        <v>262</v>
      </c>
      <c r="L605" s="53">
        <v>1</v>
      </c>
    </row>
    <row r="606" spans="1:12">
      <c r="A606" s="53" t="s">
        <v>1107</v>
      </c>
      <c r="D606" s="53" t="s">
        <v>260</v>
      </c>
      <c r="E606" s="14" t="s">
        <v>1357</v>
      </c>
      <c r="F606" s="5">
        <v>41821</v>
      </c>
      <c r="G606" s="5">
        <v>44593</v>
      </c>
      <c r="H606" s="53">
        <v>92</v>
      </c>
      <c r="I606" s="15" t="s">
        <v>259</v>
      </c>
      <c r="J606" s="53" t="s">
        <v>261</v>
      </c>
      <c r="K606" s="53" t="s">
        <v>262</v>
      </c>
      <c r="L606" s="53">
        <v>1</v>
      </c>
    </row>
    <row r="607" spans="1:12">
      <c r="A607" s="53" t="s">
        <v>1108</v>
      </c>
      <c r="D607" s="53" t="s">
        <v>260</v>
      </c>
      <c r="E607" s="14" t="s">
        <v>1358</v>
      </c>
      <c r="F607" s="5">
        <v>41821</v>
      </c>
      <c r="G607" s="5">
        <v>44593</v>
      </c>
      <c r="H607" s="53">
        <v>92</v>
      </c>
      <c r="I607" s="15" t="s">
        <v>259</v>
      </c>
      <c r="J607" s="53" t="s">
        <v>261</v>
      </c>
      <c r="K607" s="53" t="s">
        <v>262</v>
      </c>
      <c r="L607" s="53">
        <v>1</v>
      </c>
    </row>
    <row r="608" spans="1:12">
      <c r="A608" s="53" t="s">
        <v>1109</v>
      </c>
      <c r="D608" s="53" t="s">
        <v>260</v>
      </c>
      <c r="E608" s="14" t="s">
        <v>1359</v>
      </c>
      <c r="F608" s="5">
        <v>41821</v>
      </c>
      <c r="G608" s="5">
        <v>44593</v>
      </c>
      <c r="H608" s="53">
        <v>92</v>
      </c>
      <c r="I608" s="15" t="s">
        <v>259</v>
      </c>
      <c r="J608" s="53" t="s">
        <v>261</v>
      </c>
      <c r="K608" s="53" t="s">
        <v>262</v>
      </c>
      <c r="L608" s="53">
        <v>1</v>
      </c>
    </row>
    <row r="609" spans="1:12">
      <c r="A609" s="53" t="s">
        <v>1110</v>
      </c>
      <c r="D609" s="53" t="s">
        <v>260</v>
      </c>
      <c r="E609" s="14" t="s">
        <v>1360</v>
      </c>
      <c r="F609" s="5">
        <v>41821</v>
      </c>
      <c r="G609" s="5">
        <v>44593</v>
      </c>
      <c r="H609" s="53">
        <v>92</v>
      </c>
      <c r="I609" s="15" t="s">
        <v>259</v>
      </c>
      <c r="J609" s="53" t="s">
        <v>261</v>
      </c>
      <c r="K609" s="53" t="s">
        <v>262</v>
      </c>
      <c r="L609" s="53">
        <v>1</v>
      </c>
    </row>
    <row r="610" spans="1:12">
      <c r="A610" s="53" t="s">
        <v>1111</v>
      </c>
      <c r="D610" s="53" t="s">
        <v>260</v>
      </c>
      <c r="E610" s="14" t="s">
        <v>1361</v>
      </c>
      <c r="F610" s="5">
        <v>41821</v>
      </c>
      <c r="G610" s="5">
        <v>44593</v>
      </c>
      <c r="H610" s="53">
        <v>92</v>
      </c>
      <c r="I610" s="15" t="s">
        <v>259</v>
      </c>
      <c r="J610" s="53" t="s">
        <v>261</v>
      </c>
      <c r="K610" s="53" t="s">
        <v>262</v>
      </c>
      <c r="L610" s="53">
        <v>1</v>
      </c>
    </row>
    <row r="611" spans="1:12">
      <c r="A611" s="53" t="s">
        <v>1112</v>
      </c>
      <c r="D611" s="53" t="s">
        <v>260</v>
      </c>
      <c r="E611" s="14" t="s">
        <v>1362</v>
      </c>
      <c r="F611" s="5">
        <v>41821</v>
      </c>
      <c r="G611" s="5">
        <v>44593</v>
      </c>
      <c r="H611" s="53">
        <v>92</v>
      </c>
      <c r="I611" s="15" t="s">
        <v>259</v>
      </c>
      <c r="J611" s="53" t="s">
        <v>261</v>
      </c>
      <c r="K611" s="53" t="s">
        <v>262</v>
      </c>
      <c r="L611" s="53">
        <v>1</v>
      </c>
    </row>
    <row r="612" spans="1:12">
      <c r="A612" s="53" t="s">
        <v>1113</v>
      </c>
      <c r="D612" s="53" t="s">
        <v>260</v>
      </c>
      <c r="E612" s="14" t="s">
        <v>1363</v>
      </c>
      <c r="F612" s="5">
        <v>41821</v>
      </c>
      <c r="G612" s="5">
        <v>44593</v>
      </c>
      <c r="H612" s="53">
        <v>92</v>
      </c>
      <c r="I612" s="15" t="s">
        <v>259</v>
      </c>
      <c r="J612" s="53" t="s">
        <v>261</v>
      </c>
      <c r="K612" s="53" t="s">
        <v>262</v>
      </c>
      <c r="L612" s="53">
        <v>1</v>
      </c>
    </row>
    <row r="613" spans="1:12">
      <c r="A613" s="53" t="s">
        <v>1114</v>
      </c>
      <c r="D613" s="53" t="s">
        <v>260</v>
      </c>
      <c r="E613" s="14" t="s">
        <v>1364</v>
      </c>
      <c r="F613" s="5">
        <v>41821</v>
      </c>
      <c r="G613" s="5">
        <v>44593</v>
      </c>
      <c r="H613" s="53">
        <v>92</v>
      </c>
      <c r="I613" s="15" t="s">
        <v>259</v>
      </c>
      <c r="J613" s="53" t="s">
        <v>261</v>
      </c>
      <c r="K613" s="53" t="s">
        <v>262</v>
      </c>
      <c r="L613" s="53">
        <v>1</v>
      </c>
    </row>
    <row r="614" spans="1:12">
      <c r="A614" s="53" t="s">
        <v>1115</v>
      </c>
      <c r="D614" s="53" t="s">
        <v>260</v>
      </c>
      <c r="E614" s="14" t="s">
        <v>1365</v>
      </c>
      <c r="F614" s="5">
        <v>41821</v>
      </c>
      <c r="G614" s="5">
        <v>44593</v>
      </c>
      <c r="H614" s="53">
        <v>92</v>
      </c>
      <c r="I614" s="15" t="s">
        <v>259</v>
      </c>
      <c r="J614" s="53" t="s">
        <v>261</v>
      </c>
      <c r="K614" s="53" t="s">
        <v>262</v>
      </c>
      <c r="L614" s="53">
        <v>1</v>
      </c>
    </row>
    <row r="615" spans="1:12">
      <c r="A615" s="53" t="s">
        <v>1116</v>
      </c>
      <c r="D615" s="53" t="s">
        <v>260</v>
      </c>
      <c r="E615" s="14" t="s">
        <v>1366</v>
      </c>
      <c r="F615" s="5">
        <v>41821</v>
      </c>
      <c r="G615" s="5">
        <v>44593</v>
      </c>
      <c r="H615" s="53">
        <v>92</v>
      </c>
      <c r="I615" s="15" t="s">
        <v>259</v>
      </c>
      <c r="J615" s="53" t="s">
        <v>261</v>
      </c>
      <c r="K615" s="53" t="s">
        <v>262</v>
      </c>
      <c r="L615" s="53">
        <v>1</v>
      </c>
    </row>
    <row r="616" spans="1:12">
      <c r="A616" s="53" t="s">
        <v>1117</v>
      </c>
      <c r="D616" s="53" t="s">
        <v>260</v>
      </c>
      <c r="E616" s="14" t="s">
        <v>1367</v>
      </c>
      <c r="F616" s="5">
        <v>41821</v>
      </c>
      <c r="G616" s="5">
        <v>44593</v>
      </c>
      <c r="H616" s="53">
        <v>92</v>
      </c>
      <c r="I616" s="15" t="s">
        <v>259</v>
      </c>
      <c r="J616" s="53" t="s">
        <v>261</v>
      </c>
      <c r="K616" s="53" t="s">
        <v>262</v>
      </c>
      <c r="L616" s="53">
        <v>1</v>
      </c>
    </row>
    <row r="617" spans="1:12">
      <c r="A617" s="53" t="s">
        <v>1118</v>
      </c>
      <c r="D617" s="53" t="s">
        <v>260</v>
      </c>
      <c r="E617" s="14" t="s">
        <v>1368</v>
      </c>
      <c r="F617" s="5">
        <v>41821</v>
      </c>
      <c r="G617" s="5">
        <v>44593</v>
      </c>
      <c r="H617" s="53">
        <v>92</v>
      </c>
      <c r="I617" s="15" t="s">
        <v>259</v>
      </c>
      <c r="J617" s="53" t="s">
        <v>261</v>
      </c>
      <c r="K617" s="53" t="s">
        <v>262</v>
      </c>
      <c r="L617" s="53">
        <v>1</v>
      </c>
    </row>
    <row r="618" spans="1:12">
      <c r="A618" s="53" t="s">
        <v>1119</v>
      </c>
      <c r="D618" s="53" t="s">
        <v>260</v>
      </c>
      <c r="E618" s="14" t="s">
        <v>1369</v>
      </c>
      <c r="F618" s="5">
        <v>41821</v>
      </c>
      <c r="G618" s="5">
        <v>44593</v>
      </c>
      <c r="H618" s="53">
        <v>92</v>
      </c>
      <c r="I618" s="15" t="s">
        <v>259</v>
      </c>
      <c r="J618" s="53" t="s">
        <v>261</v>
      </c>
      <c r="K618" s="53" t="s">
        <v>262</v>
      </c>
      <c r="L618" s="53">
        <v>1</v>
      </c>
    </row>
    <row r="619" spans="1:12">
      <c r="A619" s="53" t="s">
        <v>1120</v>
      </c>
      <c r="D619" s="53" t="s">
        <v>260</v>
      </c>
      <c r="E619" s="14" t="s">
        <v>1370</v>
      </c>
      <c r="F619" s="5">
        <v>41821</v>
      </c>
      <c r="G619" s="5">
        <v>44593</v>
      </c>
      <c r="H619" s="53">
        <v>92</v>
      </c>
      <c r="I619" s="15" t="s">
        <v>259</v>
      </c>
      <c r="J619" s="53" t="s">
        <v>261</v>
      </c>
      <c r="K619" s="53" t="s">
        <v>262</v>
      </c>
      <c r="L619" s="53">
        <v>1</v>
      </c>
    </row>
    <row r="620" spans="1:12">
      <c r="A620" s="53" t="s">
        <v>1121</v>
      </c>
      <c r="D620" s="53" t="s">
        <v>260</v>
      </c>
      <c r="E620" s="14" t="s">
        <v>1371</v>
      </c>
      <c r="F620" s="5">
        <v>41821</v>
      </c>
      <c r="G620" s="5">
        <v>44593</v>
      </c>
      <c r="H620" s="53">
        <v>92</v>
      </c>
      <c r="I620" s="15" t="s">
        <v>259</v>
      </c>
      <c r="J620" s="53" t="s">
        <v>261</v>
      </c>
      <c r="K620" s="53" t="s">
        <v>262</v>
      </c>
      <c r="L620" s="53">
        <v>1</v>
      </c>
    </row>
    <row r="621" spans="1:12">
      <c r="A621" s="53" t="s">
        <v>1122</v>
      </c>
      <c r="D621" s="53" t="s">
        <v>260</v>
      </c>
      <c r="E621" s="14" t="s">
        <v>1372</v>
      </c>
      <c r="F621" s="5">
        <v>41821</v>
      </c>
      <c r="G621" s="5">
        <v>44593</v>
      </c>
      <c r="H621" s="53">
        <v>92</v>
      </c>
      <c r="I621" s="15" t="s">
        <v>259</v>
      </c>
      <c r="J621" s="53" t="s">
        <v>261</v>
      </c>
      <c r="K621" s="53" t="s">
        <v>262</v>
      </c>
      <c r="L621" s="53">
        <v>1</v>
      </c>
    </row>
    <row r="622" spans="1:12">
      <c r="A622" s="53" t="s">
        <v>1123</v>
      </c>
      <c r="D622" s="53" t="s">
        <v>260</v>
      </c>
      <c r="E622" s="14" t="s">
        <v>1373</v>
      </c>
      <c r="F622" s="5">
        <v>41821</v>
      </c>
      <c r="G622" s="5">
        <v>44593</v>
      </c>
      <c r="H622" s="53">
        <v>92</v>
      </c>
      <c r="I622" s="15" t="s">
        <v>259</v>
      </c>
      <c r="J622" s="53" t="s">
        <v>261</v>
      </c>
      <c r="K622" s="53" t="s">
        <v>262</v>
      </c>
      <c r="L622" s="53">
        <v>1</v>
      </c>
    </row>
    <row r="623" spans="1:12">
      <c r="A623" s="53" t="s">
        <v>1124</v>
      </c>
      <c r="D623" s="53" t="s">
        <v>260</v>
      </c>
      <c r="E623" s="14" t="s">
        <v>1374</v>
      </c>
      <c r="F623" s="5">
        <v>41821</v>
      </c>
      <c r="G623" s="5">
        <v>44593</v>
      </c>
      <c r="H623" s="53">
        <v>92</v>
      </c>
      <c r="I623" s="15" t="s">
        <v>259</v>
      </c>
      <c r="J623" s="53" t="s">
        <v>261</v>
      </c>
      <c r="K623" s="53" t="s">
        <v>262</v>
      </c>
      <c r="L623" s="53">
        <v>1</v>
      </c>
    </row>
    <row r="624" spans="1:12">
      <c r="A624" s="53" t="s">
        <v>1125</v>
      </c>
      <c r="D624" s="53" t="s">
        <v>260</v>
      </c>
      <c r="E624" s="14" t="s">
        <v>1375</v>
      </c>
      <c r="F624" s="5">
        <v>41821</v>
      </c>
      <c r="G624" s="5">
        <v>44593</v>
      </c>
      <c r="H624" s="53">
        <v>92</v>
      </c>
      <c r="I624" s="15" t="s">
        <v>259</v>
      </c>
      <c r="J624" s="53" t="s">
        <v>261</v>
      </c>
      <c r="K624" s="53" t="s">
        <v>262</v>
      </c>
      <c r="L624" s="53">
        <v>1</v>
      </c>
    </row>
    <row r="625" spans="1:12">
      <c r="A625" s="53" t="s">
        <v>1126</v>
      </c>
      <c r="D625" s="53" t="s">
        <v>260</v>
      </c>
      <c r="E625" s="14" t="s">
        <v>1376</v>
      </c>
      <c r="F625" s="5">
        <v>41821</v>
      </c>
      <c r="G625" s="5">
        <v>44593</v>
      </c>
      <c r="H625" s="53">
        <v>92</v>
      </c>
      <c r="I625" s="15" t="s">
        <v>259</v>
      </c>
      <c r="J625" s="53" t="s">
        <v>261</v>
      </c>
      <c r="K625" s="53" t="s">
        <v>262</v>
      </c>
      <c r="L625" s="53">
        <v>1</v>
      </c>
    </row>
    <row r="626" spans="1:12">
      <c r="A626" s="53" t="s">
        <v>1127</v>
      </c>
      <c r="D626" s="53" t="s">
        <v>260</v>
      </c>
      <c r="E626" s="14" t="s">
        <v>1377</v>
      </c>
      <c r="F626" s="5">
        <v>41821</v>
      </c>
      <c r="G626" s="5">
        <v>44593</v>
      </c>
      <c r="H626" s="53">
        <v>92</v>
      </c>
      <c r="I626" s="15" t="s">
        <v>259</v>
      </c>
      <c r="J626" s="53" t="s">
        <v>261</v>
      </c>
      <c r="K626" s="53" t="s">
        <v>262</v>
      </c>
      <c r="L626" s="53">
        <v>1</v>
      </c>
    </row>
    <row r="627" spans="1:12">
      <c r="A627" s="53" t="s">
        <v>1128</v>
      </c>
      <c r="D627" s="53" t="s">
        <v>260</v>
      </c>
      <c r="E627" s="14" t="s">
        <v>1378</v>
      </c>
      <c r="F627" s="5">
        <v>41821</v>
      </c>
      <c r="G627" s="5">
        <v>44593</v>
      </c>
      <c r="H627" s="53">
        <v>92</v>
      </c>
      <c r="I627" s="15" t="s">
        <v>259</v>
      </c>
      <c r="J627" s="53" t="s">
        <v>261</v>
      </c>
      <c r="K627" s="53" t="s">
        <v>262</v>
      </c>
      <c r="L627" s="53">
        <v>1</v>
      </c>
    </row>
    <row r="628" spans="1:12">
      <c r="A628" s="53" t="s">
        <v>1129</v>
      </c>
      <c r="D628" s="53" t="s">
        <v>260</v>
      </c>
      <c r="E628" s="14" t="s">
        <v>1379</v>
      </c>
      <c r="F628" s="5">
        <v>41821</v>
      </c>
      <c r="G628" s="5">
        <v>44593</v>
      </c>
      <c r="H628" s="53">
        <v>92</v>
      </c>
      <c r="I628" s="15" t="s">
        <v>259</v>
      </c>
      <c r="J628" s="53" t="s">
        <v>261</v>
      </c>
      <c r="K628" s="53" t="s">
        <v>262</v>
      </c>
      <c r="L628" s="53">
        <v>1</v>
      </c>
    </row>
    <row r="629" spans="1:12">
      <c r="A629" s="53" t="s">
        <v>1130</v>
      </c>
      <c r="D629" s="53" t="s">
        <v>260</v>
      </c>
      <c r="E629" s="14" t="s">
        <v>1380</v>
      </c>
      <c r="F629" s="5">
        <v>41821</v>
      </c>
      <c r="G629" s="5">
        <v>44593</v>
      </c>
      <c r="H629" s="53">
        <v>92</v>
      </c>
      <c r="I629" s="15" t="s">
        <v>259</v>
      </c>
      <c r="J629" s="53" t="s">
        <v>261</v>
      </c>
      <c r="K629" s="53" t="s">
        <v>262</v>
      </c>
      <c r="L629" s="53">
        <v>1</v>
      </c>
    </row>
    <row r="630" spans="1:12">
      <c r="A630" s="53" t="s">
        <v>1131</v>
      </c>
      <c r="D630" s="53" t="s">
        <v>260</v>
      </c>
      <c r="E630" s="14" t="s">
        <v>1381</v>
      </c>
      <c r="F630" s="5">
        <v>41821</v>
      </c>
      <c r="G630" s="5">
        <v>44593</v>
      </c>
      <c r="H630" s="53">
        <v>92</v>
      </c>
      <c r="I630" s="15" t="s">
        <v>259</v>
      </c>
      <c r="J630" s="53" t="s">
        <v>261</v>
      </c>
      <c r="K630" s="53" t="s">
        <v>262</v>
      </c>
      <c r="L630" s="53">
        <v>1</v>
      </c>
    </row>
    <row r="631" spans="1:12">
      <c r="A631" s="53" t="s">
        <v>1132</v>
      </c>
      <c r="D631" s="53" t="s">
        <v>260</v>
      </c>
      <c r="E631" s="14" t="s">
        <v>1382</v>
      </c>
      <c r="F631" s="5">
        <v>41821</v>
      </c>
      <c r="G631" s="5">
        <v>44593</v>
      </c>
      <c r="H631" s="53">
        <v>92</v>
      </c>
      <c r="I631" s="15" t="s">
        <v>259</v>
      </c>
      <c r="J631" s="53" t="s">
        <v>261</v>
      </c>
      <c r="K631" s="53" t="s">
        <v>262</v>
      </c>
      <c r="L631" s="53">
        <v>1</v>
      </c>
    </row>
    <row r="632" spans="1:12">
      <c r="A632" s="53" t="s">
        <v>1133</v>
      </c>
      <c r="D632" s="53" t="s">
        <v>260</v>
      </c>
      <c r="E632" s="14" t="s">
        <v>1383</v>
      </c>
      <c r="F632" s="5">
        <v>41821</v>
      </c>
      <c r="G632" s="5">
        <v>44593</v>
      </c>
      <c r="H632" s="53">
        <v>92</v>
      </c>
      <c r="I632" s="15" t="s">
        <v>259</v>
      </c>
      <c r="J632" s="53" t="s">
        <v>261</v>
      </c>
      <c r="K632" s="53" t="s">
        <v>262</v>
      </c>
      <c r="L632" s="53">
        <v>1</v>
      </c>
    </row>
    <row r="633" spans="1:12">
      <c r="A633" s="53" t="s">
        <v>1134</v>
      </c>
      <c r="D633" s="53" t="s">
        <v>260</v>
      </c>
      <c r="E633" s="14" t="s">
        <v>1384</v>
      </c>
      <c r="F633" s="5">
        <v>41821</v>
      </c>
      <c r="G633" s="5">
        <v>44593</v>
      </c>
      <c r="H633" s="53">
        <v>92</v>
      </c>
      <c r="I633" s="15" t="s">
        <v>259</v>
      </c>
      <c r="J633" s="53" t="s">
        <v>261</v>
      </c>
      <c r="K633" s="53" t="s">
        <v>262</v>
      </c>
      <c r="L633" s="53">
        <v>1</v>
      </c>
    </row>
    <row r="634" spans="1:12">
      <c r="A634" s="53" t="s">
        <v>1135</v>
      </c>
      <c r="D634" s="53" t="s">
        <v>260</v>
      </c>
      <c r="E634" s="14" t="s">
        <v>1385</v>
      </c>
      <c r="F634" s="5">
        <v>41821</v>
      </c>
      <c r="G634" s="5">
        <v>44593</v>
      </c>
      <c r="H634" s="53">
        <v>92</v>
      </c>
      <c r="I634" s="15" t="s">
        <v>259</v>
      </c>
      <c r="J634" s="53" t="s">
        <v>261</v>
      </c>
      <c r="K634" s="53" t="s">
        <v>262</v>
      </c>
      <c r="L634" s="53">
        <v>1</v>
      </c>
    </row>
    <row r="635" spans="1:12">
      <c r="A635" s="53" t="s">
        <v>1136</v>
      </c>
      <c r="D635" s="53" t="s">
        <v>260</v>
      </c>
      <c r="E635" s="14" t="s">
        <v>1386</v>
      </c>
      <c r="F635" s="5">
        <v>41821</v>
      </c>
      <c r="G635" s="5">
        <v>44593</v>
      </c>
      <c r="H635" s="53">
        <v>92</v>
      </c>
      <c r="I635" s="15" t="s">
        <v>259</v>
      </c>
      <c r="J635" s="53" t="s">
        <v>261</v>
      </c>
      <c r="K635" s="53" t="s">
        <v>262</v>
      </c>
      <c r="L635" s="53">
        <v>1</v>
      </c>
    </row>
    <row r="636" spans="1:12">
      <c r="A636" s="53" t="s">
        <v>1137</v>
      </c>
      <c r="D636" s="53" t="s">
        <v>260</v>
      </c>
      <c r="E636" s="14" t="s">
        <v>1387</v>
      </c>
      <c r="F636" s="5">
        <v>41821</v>
      </c>
      <c r="G636" s="5">
        <v>44593</v>
      </c>
      <c r="H636" s="53">
        <v>92</v>
      </c>
      <c r="I636" s="15" t="s">
        <v>259</v>
      </c>
      <c r="J636" s="53" t="s">
        <v>261</v>
      </c>
      <c r="K636" s="53" t="s">
        <v>262</v>
      </c>
      <c r="L636" s="53">
        <v>1</v>
      </c>
    </row>
    <row r="637" spans="1:12">
      <c r="A637" s="53" t="s">
        <v>1138</v>
      </c>
      <c r="D637" s="53" t="s">
        <v>260</v>
      </c>
      <c r="E637" s="14" t="s">
        <v>1388</v>
      </c>
      <c r="F637" s="5">
        <v>41821</v>
      </c>
      <c r="G637" s="5">
        <v>44593</v>
      </c>
      <c r="H637" s="53">
        <v>92</v>
      </c>
      <c r="I637" s="15" t="s">
        <v>259</v>
      </c>
      <c r="J637" s="53" t="s">
        <v>261</v>
      </c>
      <c r="K637" s="53" t="s">
        <v>262</v>
      </c>
      <c r="L637" s="53">
        <v>1</v>
      </c>
    </row>
    <row r="638" spans="1:12">
      <c r="A638" s="53" t="s">
        <v>1139</v>
      </c>
      <c r="D638" s="53" t="s">
        <v>260</v>
      </c>
      <c r="E638" s="14" t="s">
        <v>1389</v>
      </c>
      <c r="F638" s="5">
        <v>41821</v>
      </c>
      <c r="G638" s="5">
        <v>44593</v>
      </c>
      <c r="H638" s="53">
        <v>92</v>
      </c>
      <c r="I638" s="15" t="s">
        <v>259</v>
      </c>
      <c r="J638" s="53" t="s">
        <v>261</v>
      </c>
      <c r="K638" s="53" t="s">
        <v>262</v>
      </c>
      <c r="L638" s="53">
        <v>1</v>
      </c>
    </row>
    <row r="639" spans="1:12">
      <c r="A639" s="53" t="s">
        <v>1140</v>
      </c>
      <c r="D639" s="53" t="s">
        <v>260</v>
      </c>
      <c r="E639" s="14" t="s">
        <v>1390</v>
      </c>
      <c r="F639" s="5">
        <v>41821</v>
      </c>
      <c r="G639" s="5">
        <v>44593</v>
      </c>
      <c r="H639" s="53">
        <v>92</v>
      </c>
      <c r="I639" s="15" t="s">
        <v>259</v>
      </c>
      <c r="J639" s="53" t="s">
        <v>261</v>
      </c>
      <c r="K639" s="53" t="s">
        <v>262</v>
      </c>
      <c r="L639" s="53">
        <v>1</v>
      </c>
    </row>
    <row r="640" spans="1:12">
      <c r="A640" s="53" t="s">
        <v>1141</v>
      </c>
      <c r="D640" s="53" t="s">
        <v>260</v>
      </c>
      <c r="E640" s="14" t="s">
        <v>1391</v>
      </c>
      <c r="F640" s="5">
        <v>41821</v>
      </c>
      <c r="G640" s="5">
        <v>44593</v>
      </c>
      <c r="H640" s="53">
        <v>92</v>
      </c>
      <c r="I640" s="15" t="s">
        <v>259</v>
      </c>
      <c r="J640" s="53" t="s">
        <v>261</v>
      </c>
      <c r="K640" s="53" t="s">
        <v>262</v>
      </c>
      <c r="L640" s="53">
        <v>1</v>
      </c>
    </row>
    <row r="641" spans="1:12">
      <c r="A641" s="53" t="s">
        <v>1142</v>
      </c>
      <c r="D641" s="53" t="s">
        <v>260</v>
      </c>
      <c r="E641" s="14" t="s">
        <v>1392</v>
      </c>
      <c r="F641" s="5">
        <v>41821</v>
      </c>
      <c r="G641" s="5">
        <v>44593</v>
      </c>
      <c r="H641" s="53">
        <v>92</v>
      </c>
      <c r="I641" s="15" t="s">
        <v>259</v>
      </c>
      <c r="J641" s="53" t="s">
        <v>261</v>
      </c>
      <c r="K641" s="53" t="s">
        <v>262</v>
      </c>
      <c r="L641" s="53">
        <v>1</v>
      </c>
    </row>
    <row r="642" spans="1:12">
      <c r="A642" s="53" t="s">
        <v>1143</v>
      </c>
      <c r="D642" s="53" t="s">
        <v>260</v>
      </c>
      <c r="E642" s="14" t="s">
        <v>1393</v>
      </c>
      <c r="F642" s="5">
        <v>41821</v>
      </c>
      <c r="G642" s="5">
        <v>44593</v>
      </c>
      <c r="H642" s="53">
        <v>92</v>
      </c>
      <c r="I642" s="15" t="s">
        <v>259</v>
      </c>
      <c r="J642" s="53" t="s">
        <v>261</v>
      </c>
      <c r="K642" s="53" t="s">
        <v>262</v>
      </c>
      <c r="L642" s="53">
        <v>1</v>
      </c>
    </row>
    <row r="643" spans="1:12">
      <c r="A643" s="53" t="s">
        <v>1144</v>
      </c>
      <c r="D643" s="53" t="s">
        <v>260</v>
      </c>
      <c r="E643" s="14" t="s">
        <v>1394</v>
      </c>
      <c r="F643" s="5">
        <v>41821</v>
      </c>
      <c r="G643" s="5">
        <v>44593</v>
      </c>
      <c r="H643" s="53">
        <v>92</v>
      </c>
      <c r="I643" s="15" t="s">
        <v>259</v>
      </c>
      <c r="J643" s="53" t="s">
        <v>261</v>
      </c>
      <c r="K643" s="53" t="s">
        <v>262</v>
      </c>
      <c r="L643" s="53">
        <v>1</v>
      </c>
    </row>
    <row r="644" spans="1:12">
      <c r="A644" s="53" t="s">
        <v>1145</v>
      </c>
      <c r="D644" s="53" t="s">
        <v>260</v>
      </c>
      <c r="E644" s="14" t="s">
        <v>1395</v>
      </c>
      <c r="F644" s="5">
        <v>41821</v>
      </c>
      <c r="G644" s="5">
        <v>44593</v>
      </c>
      <c r="H644" s="53">
        <v>92</v>
      </c>
      <c r="I644" s="15" t="s">
        <v>259</v>
      </c>
      <c r="J644" s="53" t="s">
        <v>261</v>
      </c>
      <c r="K644" s="53" t="s">
        <v>262</v>
      </c>
      <c r="L644" s="53">
        <v>1</v>
      </c>
    </row>
    <row r="645" spans="1:12">
      <c r="A645" s="53" t="s">
        <v>1146</v>
      </c>
      <c r="D645" s="53" t="s">
        <v>260</v>
      </c>
      <c r="E645" s="14" t="s">
        <v>1396</v>
      </c>
      <c r="F645" s="5">
        <v>41821</v>
      </c>
      <c r="G645" s="5">
        <v>44593</v>
      </c>
      <c r="H645" s="53">
        <v>92</v>
      </c>
      <c r="I645" s="15" t="s">
        <v>259</v>
      </c>
      <c r="J645" s="53" t="s">
        <v>261</v>
      </c>
      <c r="K645" s="53" t="s">
        <v>262</v>
      </c>
      <c r="L645" s="53">
        <v>1</v>
      </c>
    </row>
    <row r="646" spans="1:12">
      <c r="A646" s="53" t="s">
        <v>1147</v>
      </c>
      <c r="D646" s="53" t="s">
        <v>260</v>
      </c>
      <c r="E646" s="14" t="s">
        <v>1397</v>
      </c>
      <c r="F646" s="5">
        <v>41821</v>
      </c>
      <c r="G646" s="5">
        <v>44593</v>
      </c>
      <c r="H646" s="53">
        <v>92</v>
      </c>
      <c r="I646" s="15" t="s">
        <v>259</v>
      </c>
      <c r="J646" s="53" t="s">
        <v>261</v>
      </c>
      <c r="K646" s="53" t="s">
        <v>262</v>
      </c>
      <c r="L646" s="53">
        <v>1</v>
      </c>
    </row>
    <row r="647" spans="1:12">
      <c r="A647" s="53" t="s">
        <v>1148</v>
      </c>
      <c r="D647" s="53" t="s">
        <v>260</v>
      </c>
      <c r="E647" s="14" t="s">
        <v>1398</v>
      </c>
      <c r="F647" s="5">
        <v>41821</v>
      </c>
      <c r="G647" s="5">
        <v>44593</v>
      </c>
      <c r="H647" s="53">
        <v>92</v>
      </c>
      <c r="I647" s="15" t="s">
        <v>259</v>
      </c>
      <c r="J647" s="53" t="s">
        <v>261</v>
      </c>
      <c r="K647" s="53" t="s">
        <v>262</v>
      </c>
      <c r="L647" s="53">
        <v>1</v>
      </c>
    </row>
    <row r="648" spans="1:12">
      <c r="A648" s="53" t="s">
        <v>1149</v>
      </c>
      <c r="D648" s="53" t="s">
        <v>260</v>
      </c>
      <c r="E648" s="14" t="s">
        <v>1399</v>
      </c>
      <c r="F648" s="5">
        <v>41821</v>
      </c>
      <c r="G648" s="5">
        <v>44593</v>
      </c>
      <c r="H648" s="53">
        <v>92</v>
      </c>
      <c r="I648" s="15" t="s">
        <v>259</v>
      </c>
      <c r="J648" s="53" t="s">
        <v>261</v>
      </c>
      <c r="K648" s="53" t="s">
        <v>262</v>
      </c>
      <c r="L648" s="53">
        <v>1</v>
      </c>
    </row>
    <row r="649" spans="1:12">
      <c r="A649" s="53" t="s">
        <v>1150</v>
      </c>
      <c r="D649" s="53" t="s">
        <v>260</v>
      </c>
      <c r="E649" s="14" t="s">
        <v>1400</v>
      </c>
      <c r="F649" s="5">
        <v>41821</v>
      </c>
      <c r="G649" s="5">
        <v>44593</v>
      </c>
      <c r="H649" s="53">
        <v>92</v>
      </c>
      <c r="I649" s="15" t="s">
        <v>259</v>
      </c>
      <c r="J649" s="53" t="s">
        <v>261</v>
      </c>
      <c r="K649" s="53" t="s">
        <v>262</v>
      </c>
      <c r="L649" s="53">
        <v>1</v>
      </c>
    </row>
    <row r="650" spans="1:12">
      <c r="A650" s="53" t="s">
        <v>1151</v>
      </c>
      <c r="D650" s="53" t="s">
        <v>260</v>
      </c>
      <c r="E650" s="14" t="s">
        <v>1401</v>
      </c>
      <c r="F650" s="5">
        <v>41821</v>
      </c>
      <c r="G650" s="5">
        <v>44593</v>
      </c>
      <c r="H650" s="53">
        <v>92</v>
      </c>
      <c r="I650" s="15" t="s">
        <v>259</v>
      </c>
      <c r="J650" s="53" t="s">
        <v>261</v>
      </c>
      <c r="K650" s="53" t="s">
        <v>262</v>
      </c>
      <c r="L650" s="53">
        <v>1</v>
      </c>
    </row>
    <row r="651" spans="1:12">
      <c r="A651" s="53" t="s">
        <v>1152</v>
      </c>
      <c r="D651" s="53" t="s">
        <v>260</v>
      </c>
      <c r="E651" s="14" t="s">
        <v>1402</v>
      </c>
      <c r="F651" s="5">
        <v>41821</v>
      </c>
      <c r="G651" s="5">
        <v>44593</v>
      </c>
      <c r="H651" s="53">
        <v>92</v>
      </c>
      <c r="I651" s="15" t="s">
        <v>259</v>
      </c>
      <c r="J651" s="53" t="s">
        <v>261</v>
      </c>
      <c r="K651" s="53" t="s">
        <v>262</v>
      </c>
      <c r="L651" s="53">
        <v>1</v>
      </c>
    </row>
    <row r="652" spans="1:12">
      <c r="A652" s="53" t="s">
        <v>1153</v>
      </c>
      <c r="D652" s="53" t="s">
        <v>260</v>
      </c>
      <c r="E652" s="14" t="s">
        <v>1403</v>
      </c>
      <c r="F652" s="5">
        <v>41821</v>
      </c>
      <c r="G652" s="5">
        <v>44593</v>
      </c>
      <c r="H652" s="53">
        <v>92</v>
      </c>
      <c r="I652" s="15" t="s">
        <v>259</v>
      </c>
      <c r="J652" s="53" t="s">
        <v>261</v>
      </c>
      <c r="K652" s="53" t="s">
        <v>262</v>
      </c>
      <c r="L652" s="53">
        <v>1</v>
      </c>
    </row>
    <row r="653" spans="1:12">
      <c r="A653" s="53" t="s">
        <v>1154</v>
      </c>
      <c r="D653" s="53" t="s">
        <v>260</v>
      </c>
      <c r="E653" s="14" t="s">
        <v>1404</v>
      </c>
      <c r="F653" s="5">
        <v>41821</v>
      </c>
      <c r="G653" s="5">
        <v>44593</v>
      </c>
      <c r="H653" s="53">
        <v>92</v>
      </c>
      <c r="I653" s="15" t="s">
        <v>259</v>
      </c>
      <c r="J653" s="53" t="s">
        <v>261</v>
      </c>
      <c r="K653" s="53" t="s">
        <v>262</v>
      </c>
      <c r="L653" s="53">
        <v>1</v>
      </c>
    </row>
    <row r="654" spans="1:12">
      <c r="A654" s="53" t="s">
        <v>1155</v>
      </c>
      <c r="D654" s="53" t="s">
        <v>260</v>
      </c>
      <c r="E654" s="14" t="s">
        <v>1405</v>
      </c>
      <c r="F654" s="5">
        <v>41821</v>
      </c>
      <c r="G654" s="5">
        <v>44593</v>
      </c>
      <c r="H654" s="53">
        <v>92</v>
      </c>
      <c r="I654" s="15" t="s">
        <v>259</v>
      </c>
      <c r="J654" s="53" t="s">
        <v>261</v>
      </c>
      <c r="K654" s="53" t="s">
        <v>262</v>
      </c>
      <c r="L654" s="53">
        <v>1</v>
      </c>
    </row>
    <row r="655" spans="1:12">
      <c r="A655" s="53" t="s">
        <v>1156</v>
      </c>
      <c r="D655" s="53" t="s">
        <v>260</v>
      </c>
      <c r="E655" s="14" t="s">
        <v>1406</v>
      </c>
      <c r="F655" s="5">
        <v>41821</v>
      </c>
      <c r="G655" s="5">
        <v>44593</v>
      </c>
      <c r="H655" s="53">
        <v>92</v>
      </c>
      <c r="I655" s="15" t="s">
        <v>259</v>
      </c>
      <c r="J655" s="53" t="s">
        <v>261</v>
      </c>
      <c r="K655" s="53" t="s">
        <v>262</v>
      </c>
      <c r="L655" s="53">
        <v>1</v>
      </c>
    </row>
    <row r="656" spans="1:12">
      <c r="A656" s="53" t="s">
        <v>1157</v>
      </c>
      <c r="D656" s="53" t="s">
        <v>260</v>
      </c>
      <c r="E656" s="14" t="s">
        <v>1407</v>
      </c>
      <c r="F656" s="5">
        <v>41821</v>
      </c>
      <c r="G656" s="5">
        <v>44593</v>
      </c>
      <c r="H656" s="53">
        <v>92</v>
      </c>
      <c r="I656" s="15" t="s">
        <v>259</v>
      </c>
      <c r="J656" s="53" t="s">
        <v>261</v>
      </c>
      <c r="K656" s="53" t="s">
        <v>262</v>
      </c>
      <c r="L656" s="53">
        <v>1</v>
      </c>
    </row>
    <row r="657" spans="1:12">
      <c r="A657" s="53" t="s">
        <v>1158</v>
      </c>
      <c r="D657" s="53" t="s">
        <v>260</v>
      </c>
      <c r="E657" s="14" t="s">
        <v>1408</v>
      </c>
      <c r="F657" s="5">
        <v>41821</v>
      </c>
      <c r="G657" s="5">
        <v>44593</v>
      </c>
      <c r="H657" s="53">
        <v>92</v>
      </c>
      <c r="I657" s="15" t="s">
        <v>259</v>
      </c>
      <c r="J657" s="53" t="s">
        <v>261</v>
      </c>
      <c r="K657" s="53" t="s">
        <v>262</v>
      </c>
      <c r="L657" s="53">
        <v>1</v>
      </c>
    </row>
    <row r="658" spans="1:12">
      <c r="A658" s="53" t="s">
        <v>1159</v>
      </c>
      <c r="D658" s="53" t="s">
        <v>260</v>
      </c>
      <c r="E658" s="14" t="s">
        <v>1409</v>
      </c>
      <c r="F658" s="5">
        <v>41821</v>
      </c>
      <c r="G658" s="5">
        <v>44593</v>
      </c>
      <c r="H658" s="53">
        <v>92</v>
      </c>
      <c r="I658" s="15" t="s">
        <v>259</v>
      </c>
      <c r="J658" s="53" t="s">
        <v>261</v>
      </c>
      <c r="K658" s="53" t="s">
        <v>262</v>
      </c>
      <c r="L658" s="53">
        <v>1</v>
      </c>
    </row>
    <row r="659" spans="1:12">
      <c r="A659" s="53" t="s">
        <v>1160</v>
      </c>
      <c r="D659" s="53" t="s">
        <v>260</v>
      </c>
      <c r="E659" s="14" t="s">
        <v>1410</v>
      </c>
      <c r="F659" s="5">
        <v>41821</v>
      </c>
      <c r="G659" s="5">
        <v>44593</v>
      </c>
      <c r="H659" s="53">
        <v>92</v>
      </c>
      <c r="I659" s="15" t="s">
        <v>259</v>
      </c>
      <c r="J659" s="53" t="s">
        <v>261</v>
      </c>
      <c r="K659" s="53" t="s">
        <v>262</v>
      </c>
      <c r="L659" s="53">
        <v>1</v>
      </c>
    </row>
    <row r="660" spans="1:12">
      <c r="A660" s="53" t="s">
        <v>1161</v>
      </c>
      <c r="D660" s="53" t="s">
        <v>260</v>
      </c>
      <c r="E660" s="14" t="s">
        <v>1411</v>
      </c>
      <c r="F660" s="5">
        <v>41821</v>
      </c>
      <c r="G660" s="5">
        <v>44593</v>
      </c>
      <c r="H660" s="53">
        <v>92</v>
      </c>
      <c r="I660" s="15" t="s">
        <v>259</v>
      </c>
      <c r="J660" s="53" t="s">
        <v>261</v>
      </c>
      <c r="K660" s="53" t="s">
        <v>262</v>
      </c>
      <c r="L660" s="53">
        <v>1</v>
      </c>
    </row>
    <row r="661" spans="1:12">
      <c r="A661" s="53" t="s">
        <v>1162</v>
      </c>
      <c r="D661" s="53" t="s">
        <v>260</v>
      </c>
      <c r="E661" s="14" t="s">
        <v>1412</v>
      </c>
      <c r="F661" s="5">
        <v>41821</v>
      </c>
      <c r="G661" s="5">
        <v>44593</v>
      </c>
      <c r="H661" s="53">
        <v>92</v>
      </c>
      <c r="I661" s="15" t="s">
        <v>259</v>
      </c>
      <c r="J661" s="53" t="s">
        <v>261</v>
      </c>
      <c r="K661" s="53" t="s">
        <v>262</v>
      </c>
      <c r="L661" s="53">
        <v>1</v>
      </c>
    </row>
    <row r="662" spans="1:12">
      <c r="A662" s="53" t="s">
        <v>1163</v>
      </c>
      <c r="D662" s="53" t="s">
        <v>260</v>
      </c>
      <c r="E662" s="14" t="s">
        <v>1413</v>
      </c>
      <c r="F662" s="5">
        <v>41821</v>
      </c>
      <c r="G662" s="5">
        <v>44593</v>
      </c>
      <c r="H662" s="53">
        <v>92</v>
      </c>
      <c r="I662" s="15" t="s">
        <v>259</v>
      </c>
      <c r="J662" s="53" t="s">
        <v>261</v>
      </c>
      <c r="K662" s="53" t="s">
        <v>262</v>
      </c>
      <c r="L662" s="53">
        <v>1</v>
      </c>
    </row>
    <row r="663" spans="1:12">
      <c r="A663" s="53" t="s">
        <v>1164</v>
      </c>
      <c r="D663" s="53" t="s">
        <v>260</v>
      </c>
      <c r="E663" s="14" t="s">
        <v>1414</v>
      </c>
      <c r="F663" s="5">
        <v>41821</v>
      </c>
      <c r="G663" s="5">
        <v>44593</v>
      </c>
      <c r="H663" s="53">
        <v>92</v>
      </c>
      <c r="I663" s="15" t="s">
        <v>259</v>
      </c>
      <c r="J663" s="53" t="s">
        <v>261</v>
      </c>
      <c r="K663" s="53" t="s">
        <v>262</v>
      </c>
      <c r="L663" s="53">
        <v>1</v>
      </c>
    </row>
    <row r="664" spans="1:12">
      <c r="A664" s="53" t="s">
        <v>1165</v>
      </c>
      <c r="D664" s="53" t="s">
        <v>260</v>
      </c>
      <c r="E664" s="14" t="s">
        <v>1415</v>
      </c>
      <c r="F664" s="5">
        <v>41821</v>
      </c>
      <c r="G664" s="5">
        <v>44593</v>
      </c>
      <c r="H664" s="53">
        <v>92</v>
      </c>
      <c r="I664" s="15" t="s">
        <v>259</v>
      </c>
      <c r="J664" s="53" t="s">
        <v>261</v>
      </c>
      <c r="K664" s="53" t="s">
        <v>262</v>
      </c>
      <c r="L664" s="53">
        <v>1</v>
      </c>
    </row>
    <row r="665" spans="1:12">
      <c r="A665" s="53" t="s">
        <v>1166</v>
      </c>
      <c r="D665" s="53" t="s">
        <v>260</v>
      </c>
      <c r="E665" s="14" t="s">
        <v>1416</v>
      </c>
      <c r="F665" s="5">
        <v>41821</v>
      </c>
      <c r="G665" s="5">
        <v>44593</v>
      </c>
      <c r="H665" s="53">
        <v>92</v>
      </c>
      <c r="I665" s="15" t="s">
        <v>259</v>
      </c>
      <c r="J665" s="53" t="s">
        <v>261</v>
      </c>
      <c r="K665" s="53" t="s">
        <v>262</v>
      </c>
      <c r="L665" s="53">
        <v>1</v>
      </c>
    </row>
    <row r="666" spans="1:12">
      <c r="A666" s="53" t="s">
        <v>1167</v>
      </c>
      <c r="D666" s="53" t="s">
        <v>260</v>
      </c>
      <c r="E666" s="14" t="s">
        <v>1417</v>
      </c>
      <c r="F666" s="5">
        <v>41821</v>
      </c>
      <c r="G666" s="5">
        <v>44593</v>
      </c>
      <c r="H666" s="53">
        <v>92</v>
      </c>
      <c r="I666" s="15" t="s">
        <v>259</v>
      </c>
      <c r="J666" s="53" t="s">
        <v>261</v>
      </c>
      <c r="K666" s="53" t="s">
        <v>262</v>
      </c>
      <c r="L666" s="53">
        <v>1</v>
      </c>
    </row>
    <row r="667" spans="1:12">
      <c r="A667" s="53" t="s">
        <v>1168</v>
      </c>
      <c r="D667" s="53" t="s">
        <v>260</v>
      </c>
      <c r="E667" s="14" t="s">
        <v>1418</v>
      </c>
      <c r="F667" s="5">
        <v>41821</v>
      </c>
      <c r="G667" s="5">
        <v>44593</v>
      </c>
      <c r="H667" s="53">
        <v>92</v>
      </c>
      <c r="I667" s="15" t="s">
        <v>259</v>
      </c>
      <c r="J667" s="53" t="s">
        <v>261</v>
      </c>
      <c r="K667" s="53" t="s">
        <v>262</v>
      </c>
      <c r="L667" s="53">
        <v>1</v>
      </c>
    </row>
    <row r="668" spans="1:12">
      <c r="A668" s="53" t="s">
        <v>1169</v>
      </c>
      <c r="D668" s="53" t="s">
        <v>260</v>
      </c>
      <c r="E668" s="14" t="s">
        <v>1419</v>
      </c>
      <c r="F668" s="5">
        <v>41821</v>
      </c>
      <c r="G668" s="5">
        <v>44593</v>
      </c>
      <c r="H668" s="53">
        <v>92</v>
      </c>
      <c r="I668" s="15" t="s">
        <v>259</v>
      </c>
      <c r="J668" s="53" t="s">
        <v>261</v>
      </c>
      <c r="K668" s="53" t="s">
        <v>262</v>
      </c>
      <c r="L668" s="53">
        <v>1</v>
      </c>
    </row>
    <row r="669" spans="1:12">
      <c r="A669" s="53" t="s">
        <v>1170</v>
      </c>
      <c r="D669" s="53" t="s">
        <v>260</v>
      </c>
      <c r="E669" s="14" t="s">
        <v>1420</v>
      </c>
      <c r="F669" s="5">
        <v>41821</v>
      </c>
      <c r="G669" s="5">
        <v>44593</v>
      </c>
      <c r="H669" s="53">
        <v>92</v>
      </c>
      <c r="I669" s="15" t="s">
        <v>259</v>
      </c>
      <c r="J669" s="53" t="s">
        <v>261</v>
      </c>
      <c r="K669" s="53" t="s">
        <v>262</v>
      </c>
      <c r="L669" s="53">
        <v>1</v>
      </c>
    </row>
    <row r="670" spans="1:12">
      <c r="A670" s="53" t="s">
        <v>1171</v>
      </c>
      <c r="D670" s="53" t="s">
        <v>260</v>
      </c>
      <c r="E670" s="14" t="s">
        <v>1421</v>
      </c>
      <c r="F670" s="5">
        <v>41821</v>
      </c>
      <c r="G670" s="5">
        <v>44593</v>
      </c>
      <c r="H670" s="53">
        <v>92</v>
      </c>
      <c r="I670" s="15" t="s">
        <v>259</v>
      </c>
      <c r="J670" s="53" t="s">
        <v>261</v>
      </c>
      <c r="K670" s="53" t="s">
        <v>262</v>
      </c>
      <c r="L670" s="53">
        <v>1</v>
      </c>
    </row>
    <row r="671" spans="1:12">
      <c r="A671" s="53" t="s">
        <v>1172</v>
      </c>
      <c r="D671" s="53" t="s">
        <v>260</v>
      </c>
      <c r="E671" s="14" t="s">
        <v>1422</v>
      </c>
      <c r="F671" s="5">
        <v>41821</v>
      </c>
      <c r="G671" s="5">
        <v>44593</v>
      </c>
      <c r="H671" s="53">
        <v>92</v>
      </c>
      <c r="I671" s="15" t="s">
        <v>259</v>
      </c>
      <c r="J671" s="53" t="s">
        <v>261</v>
      </c>
      <c r="K671" s="53" t="s">
        <v>262</v>
      </c>
      <c r="L671" s="53">
        <v>1</v>
      </c>
    </row>
    <row r="672" spans="1:12">
      <c r="A672" s="53" t="s">
        <v>1173</v>
      </c>
      <c r="D672" s="53" t="s">
        <v>260</v>
      </c>
      <c r="E672" s="14" t="s">
        <v>1423</v>
      </c>
      <c r="F672" s="5">
        <v>41821</v>
      </c>
      <c r="G672" s="5">
        <v>44593</v>
      </c>
      <c r="H672" s="53">
        <v>92</v>
      </c>
      <c r="I672" s="15" t="s">
        <v>259</v>
      </c>
      <c r="J672" s="53" t="s">
        <v>261</v>
      </c>
      <c r="K672" s="53" t="s">
        <v>262</v>
      </c>
      <c r="L672" s="53">
        <v>1</v>
      </c>
    </row>
    <row r="673" spans="1:12">
      <c r="A673" s="53" t="s">
        <v>1174</v>
      </c>
      <c r="D673" s="53" t="s">
        <v>260</v>
      </c>
      <c r="E673" s="14" t="s">
        <v>1424</v>
      </c>
      <c r="F673" s="5">
        <v>41821</v>
      </c>
      <c r="G673" s="5">
        <v>44593</v>
      </c>
      <c r="H673" s="53">
        <v>92</v>
      </c>
      <c r="I673" s="15" t="s">
        <v>259</v>
      </c>
      <c r="J673" s="53" t="s">
        <v>261</v>
      </c>
      <c r="K673" s="53" t="s">
        <v>262</v>
      </c>
      <c r="L673" s="53">
        <v>1</v>
      </c>
    </row>
    <row r="674" spans="1:12">
      <c r="A674" s="53" t="s">
        <v>1175</v>
      </c>
      <c r="D674" s="53" t="s">
        <v>260</v>
      </c>
      <c r="E674" s="14" t="s">
        <v>1425</v>
      </c>
      <c r="F674" s="5">
        <v>41821</v>
      </c>
      <c r="G674" s="5">
        <v>44593</v>
      </c>
      <c r="H674" s="53">
        <v>92</v>
      </c>
      <c r="I674" s="15" t="s">
        <v>259</v>
      </c>
      <c r="J674" s="53" t="s">
        <v>261</v>
      </c>
      <c r="K674" s="53" t="s">
        <v>262</v>
      </c>
      <c r="L674" s="53">
        <v>1</v>
      </c>
    </row>
    <row r="675" spans="1:12">
      <c r="A675" s="53" t="s">
        <v>1176</v>
      </c>
      <c r="D675" s="53" t="s">
        <v>260</v>
      </c>
      <c r="E675" s="14" t="s">
        <v>1426</v>
      </c>
      <c r="F675" s="5">
        <v>41821</v>
      </c>
      <c r="G675" s="5">
        <v>44593</v>
      </c>
      <c r="H675" s="53">
        <v>92</v>
      </c>
      <c r="I675" s="15" t="s">
        <v>259</v>
      </c>
      <c r="J675" s="53" t="s">
        <v>261</v>
      </c>
      <c r="K675" s="53" t="s">
        <v>262</v>
      </c>
      <c r="L675" s="53">
        <v>1</v>
      </c>
    </row>
    <row r="676" spans="1:12">
      <c r="A676" s="53" t="s">
        <v>1177</v>
      </c>
      <c r="D676" s="53" t="s">
        <v>260</v>
      </c>
      <c r="E676" s="14" t="s">
        <v>1427</v>
      </c>
      <c r="F676" s="5">
        <v>41821</v>
      </c>
      <c r="G676" s="5">
        <v>44593</v>
      </c>
      <c r="H676" s="53">
        <v>92</v>
      </c>
      <c r="I676" s="15" t="s">
        <v>259</v>
      </c>
      <c r="J676" s="53" t="s">
        <v>261</v>
      </c>
      <c r="K676" s="53" t="s">
        <v>262</v>
      </c>
      <c r="L676" s="53">
        <v>1</v>
      </c>
    </row>
    <row r="677" spans="1:12">
      <c r="A677" s="53" t="s">
        <v>1178</v>
      </c>
      <c r="D677" s="53" t="s">
        <v>260</v>
      </c>
      <c r="E677" s="14" t="s">
        <v>1428</v>
      </c>
      <c r="F677" s="5">
        <v>41821</v>
      </c>
      <c r="G677" s="5">
        <v>44593</v>
      </c>
      <c r="H677" s="53">
        <v>92</v>
      </c>
      <c r="I677" s="15" t="s">
        <v>259</v>
      </c>
      <c r="J677" s="53" t="s">
        <v>261</v>
      </c>
      <c r="K677" s="53" t="s">
        <v>262</v>
      </c>
      <c r="L677" s="53">
        <v>1</v>
      </c>
    </row>
    <row r="678" spans="1:12">
      <c r="A678" s="53" t="s">
        <v>1179</v>
      </c>
      <c r="D678" s="53" t="s">
        <v>260</v>
      </c>
      <c r="E678" s="14" t="s">
        <v>1429</v>
      </c>
      <c r="F678" s="5">
        <v>41821</v>
      </c>
      <c r="G678" s="5">
        <v>44593</v>
      </c>
      <c r="H678" s="53">
        <v>92</v>
      </c>
      <c r="I678" s="15" t="s">
        <v>259</v>
      </c>
      <c r="J678" s="53" t="s">
        <v>261</v>
      </c>
      <c r="K678" s="53" t="s">
        <v>262</v>
      </c>
      <c r="L678" s="53">
        <v>1</v>
      </c>
    </row>
    <row r="679" spans="1:12">
      <c r="A679" s="53" t="s">
        <v>1180</v>
      </c>
      <c r="D679" s="53" t="s">
        <v>260</v>
      </c>
      <c r="E679" s="14" t="s">
        <v>1430</v>
      </c>
      <c r="F679" s="5">
        <v>41821</v>
      </c>
      <c r="G679" s="5">
        <v>44593</v>
      </c>
      <c r="H679" s="53">
        <v>92</v>
      </c>
      <c r="I679" s="15" t="s">
        <v>259</v>
      </c>
      <c r="J679" s="53" t="s">
        <v>261</v>
      </c>
      <c r="K679" s="53" t="s">
        <v>262</v>
      </c>
      <c r="L679" s="53">
        <v>1</v>
      </c>
    </row>
    <row r="680" spans="1:12">
      <c r="A680" s="53" t="s">
        <v>1181</v>
      </c>
      <c r="D680" s="53" t="s">
        <v>260</v>
      </c>
      <c r="E680" s="14" t="s">
        <v>1431</v>
      </c>
      <c r="F680" s="5">
        <v>41821</v>
      </c>
      <c r="G680" s="5">
        <v>44593</v>
      </c>
      <c r="H680" s="53">
        <v>92</v>
      </c>
      <c r="I680" s="15" t="s">
        <v>259</v>
      </c>
      <c r="J680" s="53" t="s">
        <v>261</v>
      </c>
      <c r="K680" s="53" t="s">
        <v>262</v>
      </c>
      <c r="L680" s="53">
        <v>1</v>
      </c>
    </row>
    <row r="681" spans="1:12">
      <c r="A681" s="53" t="s">
        <v>1182</v>
      </c>
      <c r="D681" s="53" t="s">
        <v>260</v>
      </c>
      <c r="E681" s="14" t="s">
        <v>1432</v>
      </c>
      <c r="F681" s="5">
        <v>41821</v>
      </c>
      <c r="G681" s="5">
        <v>44593</v>
      </c>
      <c r="H681" s="53">
        <v>92</v>
      </c>
      <c r="I681" s="15" t="s">
        <v>259</v>
      </c>
      <c r="J681" s="53" t="s">
        <v>261</v>
      </c>
      <c r="K681" s="53" t="s">
        <v>262</v>
      </c>
      <c r="L681" s="53">
        <v>1</v>
      </c>
    </row>
    <row r="682" spans="1:12">
      <c r="A682" s="53" t="s">
        <v>1183</v>
      </c>
      <c r="D682" s="53" t="s">
        <v>260</v>
      </c>
      <c r="E682" s="14" t="s">
        <v>1433</v>
      </c>
      <c r="F682" s="5">
        <v>41821</v>
      </c>
      <c r="G682" s="5">
        <v>44593</v>
      </c>
      <c r="H682" s="53">
        <v>92</v>
      </c>
      <c r="I682" s="15" t="s">
        <v>259</v>
      </c>
      <c r="J682" s="53" t="s">
        <v>261</v>
      </c>
      <c r="K682" s="53" t="s">
        <v>262</v>
      </c>
      <c r="L682" s="53">
        <v>1</v>
      </c>
    </row>
    <row r="683" spans="1:12">
      <c r="A683" s="53" t="s">
        <v>1184</v>
      </c>
      <c r="D683" s="53" t="s">
        <v>260</v>
      </c>
      <c r="E683" s="14" t="s">
        <v>1434</v>
      </c>
      <c r="F683" s="5">
        <v>41821</v>
      </c>
      <c r="G683" s="5">
        <v>44593</v>
      </c>
      <c r="H683" s="53">
        <v>92</v>
      </c>
      <c r="I683" s="15" t="s">
        <v>259</v>
      </c>
      <c r="J683" s="53" t="s">
        <v>261</v>
      </c>
      <c r="K683" s="53" t="s">
        <v>262</v>
      </c>
      <c r="L683" s="53">
        <v>1</v>
      </c>
    </row>
    <row r="684" spans="1:12">
      <c r="A684" s="53" t="s">
        <v>1185</v>
      </c>
      <c r="D684" s="53" t="s">
        <v>260</v>
      </c>
      <c r="E684" s="14" t="s">
        <v>1435</v>
      </c>
      <c r="F684" s="5">
        <v>41821</v>
      </c>
      <c r="G684" s="5">
        <v>44593</v>
      </c>
      <c r="H684" s="53">
        <v>92</v>
      </c>
      <c r="I684" s="15" t="s">
        <v>259</v>
      </c>
      <c r="J684" s="53" t="s">
        <v>261</v>
      </c>
      <c r="K684" s="53" t="s">
        <v>262</v>
      </c>
      <c r="L684" s="53">
        <v>1</v>
      </c>
    </row>
    <row r="685" spans="1:12">
      <c r="A685" s="53" t="s">
        <v>1186</v>
      </c>
      <c r="D685" s="53" t="s">
        <v>260</v>
      </c>
      <c r="E685" s="14" t="s">
        <v>1436</v>
      </c>
      <c r="F685" s="5">
        <v>41821</v>
      </c>
      <c r="G685" s="5">
        <v>44593</v>
      </c>
      <c r="H685" s="53">
        <v>92</v>
      </c>
      <c r="I685" s="15" t="s">
        <v>259</v>
      </c>
      <c r="J685" s="53" t="s">
        <v>261</v>
      </c>
      <c r="K685" s="53" t="s">
        <v>262</v>
      </c>
      <c r="L685" s="53">
        <v>1</v>
      </c>
    </row>
    <row r="686" spans="1:12">
      <c r="A686" s="53" t="s">
        <v>1187</v>
      </c>
      <c r="D686" s="53" t="s">
        <v>260</v>
      </c>
      <c r="E686" s="14" t="s">
        <v>1437</v>
      </c>
      <c r="F686" s="5">
        <v>41821</v>
      </c>
      <c r="G686" s="5">
        <v>44593</v>
      </c>
      <c r="H686" s="53">
        <v>92</v>
      </c>
      <c r="I686" s="15" t="s">
        <v>259</v>
      </c>
      <c r="J686" s="53" t="s">
        <v>261</v>
      </c>
      <c r="K686" s="53" t="s">
        <v>262</v>
      </c>
      <c r="L686" s="53">
        <v>1</v>
      </c>
    </row>
    <row r="687" spans="1:12">
      <c r="A687" s="53" t="s">
        <v>1188</v>
      </c>
      <c r="D687" s="53" t="s">
        <v>260</v>
      </c>
      <c r="E687" s="14" t="s">
        <v>1438</v>
      </c>
      <c r="F687" s="5">
        <v>41821</v>
      </c>
      <c r="G687" s="5">
        <v>44593</v>
      </c>
      <c r="H687" s="53">
        <v>92</v>
      </c>
      <c r="I687" s="15" t="s">
        <v>259</v>
      </c>
      <c r="J687" s="53" t="s">
        <v>261</v>
      </c>
      <c r="K687" s="53" t="s">
        <v>262</v>
      </c>
      <c r="L687" s="53">
        <v>1</v>
      </c>
    </row>
    <row r="688" spans="1:12">
      <c r="A688" s="53" t="s">
        <v>1189</v>
      </c>
      <c r="D688" s="53" t="s">
        <v>260</v>
      </c>
      <c r="E688" s="14" t="s">
        <v>1439</v>
      </c>
      <c r="F688" s="5">
        <v>41821</v>
      </c>
      <c r="G688" s="5">
        <v>44593</v>
      </c>
      <c r="H688" s="53">
        <v>92</v>
      </c>
      <c r="I688" s="15" t="s">
        <v>259</v>
      </c>
      <c r="J688" s="53" t="s">
        <v>261</v>
      </c>
      <c r="K688" s="53" t="s">
        <v>262</v>
      </c>
      <c r="L688" s="53">
        <v>1</v>
      </c>
    </row>
    <row r="689" spans="1:12">
      <c r="A689" s="53" t="s">
        <v>1190</v>
      </c>
      <c r="D689" s="53" t="s">
        <v>260</v>
      </c>
      <c r="E689" s="14" t="s">
        <v>1440</v>
      </c>
      <c r="F689" s="5">
        <v>41821</v>
      </c>
      <c r="G689" s="5">
        <v>44593</v>
      </c>
      <c r="H689" s="53">
        <v>92</v>
      </c>
      <c r="I689" s="15" t="s">
        <v>259</v>
      </c>
      <c r="J689" s="53" t="s">
        <v>261</v>
      </c>
      <c r="K689" s="53" t="s">
        <v>262</v>
      </c>
      <c r="L689" s="53">
        <v>1</v>
      </c>
    </row>
    <row r="690" spans="1:12">
      <c r="A690" s="53" t="s">
        <v>1191</v>
      </c>
      <c r="D690" s="53" t="s">
        <v>260</v>
      </c>
      <c r="E690" s="14" t="s">
        <v>1441</v>
      </c>
      <c r="F690" s="5">
        <v>41821</v>
      </c>
      <c r="G690" s="5">
        <v>44593</v>
      </c>
      <c r="H690" s="53">
        <v>92</v>
      </c>
      <c r="I690" s="15" t="s">
        <v>259</v>
      </c>
      <c r="J690" s="53" t="s">
        <v>261</v>
      </c>
      <c r="K690" s="53" t="s">
        <v>262</v>
      </c>
      <c r="L690" s="53">
        <v>1</v>
      </c>
    </row>
    <row r="691" spans="1:12">
      <c r="A691" s="53" t="s">
        <v>1192</v>
      </c>
      <c r="D691" s="53" t="s">
        <v>260</v>
      </c>
      <c r="E691" s="14" t="s">
        <v>1442</v>
      </c>
      <c r="F691" s="5">
        <v>41821</v>
      </c>
      <c r="G691" s="5">
        <v>44593</v>
      </c>
      <c r="H691" s="53">
        <v>92</v>
      </c>
      <c r="I691" s="15" t="s">
        <v>259</v>
      </c>
      <c r="J691" s="53" t="s">
        <v>261</v>
      </c>
      <c r="K691" s="53" t="s">
        <v>262</v>
      </c>
      <c r="L691" s="53">
        <v>1</v>
      </c>
    </row>
    <row r="692" spans="1:12">
      <c r="A692" s="53" t="s">
        <v>1193</v>
      </c>
      <c r="D692" s="53" t="s">
        <v>260</v>
      </c>
      <c r="E692" s="14" t="s">
        <v>1443</v>
      </c>
      <c r="F692" s="5">
        <v>41821</v>
      </c>
      <c r="G692" s="5">
        <v>44593</v>
      </c>
      <c r="H692" s="53">
        <v>92</v>
      </c>
      <c r="I692" s="15" t="s">
        <v>259</v>
      </c>
      <c r="J692" s="53" t="s">
        <v>261</v>
      </c>
      <c r="K692" s="53" t="s">
        <v>262</v>
      </c>
      <c r="L692" s="53">
        <v>1</v>
      </c>
    </row>
    <row r="693" spans="1:12">
      <c r="A693" s="53" t="s">
        <v>1194</v>
      </c>
      <c r="D693" s="53" t="s">
        <v>260</v>
      </c>
      <c r="E693" s="14" t="s">
        <v>1444</v>
      </c>
      <c r="F693" s="5">
        <v>41821</v>
      </c>
      <c r="G693" s="5">
        <v>44593</v>
      </c>
      <c r="H693" s="53">
        <v>92</v>
      </c>
      <c r="I693" s="15" t="s">
        <v>259</v>
      </c>
      <c r="J693" s="53" t="s">
        <v>261</v>
      </c>
      <c r="K693" s="53" t="s">
        <v>262</v>
      </c>
      <c r="L693" s="53">
        <v>1</v>
      </c>
    </row>
    <row r="694" spans="1:12">
      <c r="A694" s="53" t="s">
        <v>1195</v>
      </c>
      <c r="D694" s="53" t="s">
        <v>260</v>
      </c>
      <c r="E694" s="14" t="s">
        <v>1445</v>
      </c>
      <c r="F694" s="5">
        <v>41821</v>
      </c>
      <c r="G694" s="5">
        <v>44593</v>
      </c>
      <c r="H694" s="53">
        <v>92</v>
      </c>
      <c r="I694" s="15" t="s">
        <v>259</v>
      </c>
      <c r="J694" s="53" t="s">
        <v>261</v>
      </c>
      <c r="K694" s="53" t="s">
        <v>262</v>
      </c>
      <c r="L694" s="53">
        <v>1</v>
      </c>
    </row>
    <row r="695" spans="1:12">
      <c r="A695" s="53" t="s">
        <v>1196</v>
      </c>
      <c r="D695" s="53" t="s">
        <v>260</v>
      </c>
      <c r="E695" s="14" t="s">
        <v>1446</v>
      </c>
      <c r="F695" s="5">
        <v>41821</v>
      </c>
      <c r="G695" s="5">
        <v>44593</v>
      </c>
      <c r="H695" s="53">
        <v>92</v>
      </c>
      <c r="I695" s="15" t="s">
        <v>259</v>
      </c>
      <c r="J695" s="53" t="s">
        <v>261</v>
      </c>
      <c r="K695" s="53" t="s">
        <v>262</v>
      </c>
      <c r="L695" s="53">
        <v>1</v>
      </c>
    </row>
    <row r="696" spans="1:12">
      <c r="A696" s="53" t="s">
        <v>1197</v>
      </c>
      <c r="D696" s="53" t="s">
        <v>260</v>
      </c>
      <c r="E696" s="14" t="s">
        <v>1447</v>
      </c>
      <c r="F696" s="5">
        <v>41821</v>
      </c>
      <c r="G696" s="5">
        <v>44593</v>
      </c>
      <c r="H696" s="53">
        <v>92</v>
      </c>
      <c r="I696" s="15" t="s">
        <v>259</v>
      </c>
      <c r="J696" s="53" t="s">
        <v>261</v>
      </c>
      <c r="K696" s="53" t="s">
        <v>262</v>
      </c>
      <c r="L696" s="53">
        <v>1</v>
      </c>
    </row>
    <row r="697" spans="1:12">
      <c r="A697" s="53" t="s">
        <v>1198</v>
      </c>
      <c r="D697" s="53" t="s">
        <v>260</v>
      </c>
      <c r="E697" s="14" t="s">
        <v>1448</v>
      </c>
      <c r="F697" s="5">
        <v>41821</v>
      </c>
      <c r="G697" s="5">
        <v>44593</v>
      </c>
      <c r="H697" s="53">
        <v>92</v>
      </c>
      <c r="I697" s="15" t="s">
        <v>259</v>
      </c>
      <c r="J697" s="53" t="s">
        <v>261</v>
      </c>
      <c r="K697" s="53" t="s">
        <v>262</v>
      </c>
      <c r="L697" s="53">
        <v>1</v>
      </c>
    </row>
    <row r="698" spans="1:12">
      <c r="A698" s="53" t="s">
        <v>1199</v>
      </c>
      <c r="D698" s="53" t="s">
        <v>260</v>
      </c>
      <c r="E698" s="14" t="s">
        <v>1449</v>
      </c>
      <c r="F698" s="5">
        <v>41821</v>
      </c>
      <c r="G698" s="5">
        <v>44593</v>
      </c>
      <c r="H698" s="53">
        <v>92</v>
      </c>
      <c r="I698" s="15" t="s">
        <v>259</v>
      </c>
      <c r="J698" s="53" t="s">
        <v>261</v>
      </c>
      <c r="K698" s="53" t="s">
        <v>262</v>
      </c>
      <c r="L698" s="53">
        <v>1</v>
      </c>
    </row>
    <row r="699" spans="1:12">
      <c r="A699" s="53" t="s">
        <v>1200</v>
      </c>
      <c r="D699" s="53" t="s">
        <v>260</v>
      </c>
      <c r="E699" s="14" t="s">
        <v>1450</v>
      </c>
      <c r="F699" s="5">
        <v>41821</v>
      </c>
      <c r="G699" s="5">
        <v>44593</v>
      </c>
      <c r="H699" s="53">
        <v>92</v>
      </c>
      <c r="I699" s="15" t="s">
        <v>259</v>
      </c>
      <c r="J699" s="53" t="s">
        <v>261</v>
      </c>
      <c r="K699" s="53" t="s">
        <v>262</v>
      </c>
      <c r="L699" s="53">
        <v>1</v>
      </c>
    </row>
    <row r="700" spans="1:12">
      <c r="A700" s="53" t="s">
        <v>1201</v>
      </c>
      <c r="D700" s="53" t="s">
        <v>260</v>
      </c>
      <c r="E700" s="14" t="s">
        <v>1451</v>
      </c>
      <c r="F700" s="5">
        <v>41821</v>
      </c>
      <c r="G700" s="5">
        <v>44593</v>
      </c>
      <c r="H700" s="53">
        <v>92</v>
      </c>
      <c r="I700" s="15" t="s">
        <v>259</v>
      </c>
      <c r="J700" s="53" t="s">
        <v>261</v>
      </c>
      <c r="K700" s="53" t="s">
        <v>262</v>
      </c>
      <c r="L700" s="53">
        <v>1</v>
      </c>
    </row>
    <row r="701" spans="1:12">
      <c r="A701" s="53" t="s">
        <v>1202</v>
      </c>
      <c r="D701" s="53" t="s">
        <v>260</v>
      </c>
      <c r="E701" s="14" t="s">
        <v>1452</v>
      </c>
      <c r="F701" s="5">
        <v>41821</v>
      </c>
      <c r="G701" s="5">
        <v>44593</v>
      </c>
      <c r="H701" s="53">
        <v>92</v>
      </c>
      <c r="I701" s="15" t="s">
        <v>259</v>
      </c>
      <c r="J701" s="53" t="s">
        <v>261</v>
      </c>
      <c r="K701" s="53" t="s">
        <v>262</v>
      </c>
      <c r="L701" s="53">
        <v>1</v>
      </c>
    </row>
    <row r="702" spans="1:12">
      <c r="A702" s="53" t="s">
        <v>1203</v>
      </c>
      <c r="D702" s="53" t="s">
        <v>260</v>
      </c>
      <c r="E702" s="14" t="s">
        <v>1453</v>
      </c>
      <c r="F702" s="5">
        <v>41821</v>
      </c>
      <c r="G702" s="5">
        <v>44593</v>
      </c>
      <c r="H702" s="53">
        <v>92</v>
      </c>
      <c r="I702" s="15" t="s">
        <v>259</v>
      </c>
      <c r="J702" s="53" t="s">
        <v>261</v>
      </c>
      <c r="K702" s="53" t="s">
        <v>262</v>
      </c>
      <c r="L702" s="53">
        <v>1</v>
      </c>
    </row>
    <row r="703" spans="1:12">
      <c r="A703" s="53" t="s">
        <v>1204</v>
      </c>
      <c r="D703" s="53" t="s">
        <v>260</v>
      </c>
      <c r="E703" s="14" t="s">
        <v>1454</v>
      </c>
      <c r="F703" s="5">
        <v>41821</v>
      </c>
      <c r="G703" s="5">
        <v>44593</v>
      </c>
      <c r="H703" s="53">
        <v>92</v>
      </c>
      <c r="I703" s="15" t="s">
        <v>259</v>
      </c>
      <c r="J703" s="53" t="s">
        <v>261</v>
      </c>
      <c r="K703" s="53" t="s">
        <v>262</v>
      </c>
      <c r="L703" s="53">
        <v>1</v>
      </c>
    </row>
    <row r="704" spans="1:12">
      <c r="A704" s="53" t="s">
        <v>1205</v>
      </c>
      <c r="D704" s="53" t="s">
        <v>260</v>
      </c>
      <c r="E704" s="14" t="s">
        <v>1455</v>
      </c>
      <c r="F704" s="5">
        <v>41821</v>
      </c>
      <c r="G704" s="5">
        <v>44593</v>
      </c>
      <c r="H704" s="53">
        <v>92</v>
      </c>
      <c r="I704" s="15" t="s">
        <v>259</v>
      </c>
      <c r="J704" s="53" t="s">
        <v>261</v>
      </c>
      <c r="K704" s="53" t="s">
        <v>262</v>
      </c>
      <c r="L704" s="53">
        <v>1</v>
      </c>
    </row>
    <row r="705" spans="1:12">
      <c r="A705" s="53" t="s">
        <v>1206</v>
      </c>
      <c r="D705" s="53" t="s">
        <v>260</v>
      </c>
      <c r="E705" s="14" t="s">
        <v>1456</v>
      </c>
      <c r="F705" s="5">
        <v>41821</v>
      </c>
      <c r="G705" s="5">
        <v>44593</v>
      </c>
      <c r="H705" s="53">
        <v>92</v>
      </c>
      <c r="I705" s="15" t="s">
        <v>259</v>
      </c>
      <c r="J705" s="53" t="s">
        <v>261</v>
      </c>
      <c r="K705" s="53" t="s">
        <v>262</v>
      </c>
      <c r="L705" s="53">
        <v>1</v>
      </c>
    </row>
    <row r="706" spans="1:12">
      <c r="A706" s="53" t="s">
        <v>1207</v>
      </c>
      <c r="D706" s="53" t="s">
        <v>260</v>
      </c>
      <c r="E706" s="14" t="s">
        <v>1457</v>
      </c>
      <c r="F706" s="5">
        <v>41821</v>
      </c>
      <c r="G706" s="5">
        <v>44593</v>
      </c>
      <c r="H706" s="53">
        <v>92</v>
      </c>
      <c r="I706" s="15" t="s">
        <v>259</v>
      </c>
      <c r="J706" s="53" t="s">
        <v>261</v>
      </c>
      <c r="K706" s="53" t="s">
        <v>262</v>
      </c>
      <c r="L706" s="53">
        <v>1</v>
      </c>
    </row>
    <row r="707" spans="1:12">
      <c r="A707" s="53" t="s">
        <v>1208</v>
      </c>
      <c r="D707" s="53" t="s">
        <v>260</v>
      </c>
      <c r="E707" s="14" t="s">
        <v>1458</v>
      </c>
      <c r="F707" s="5">
        <v>41821</v>
      </c>
      <c r="G707" s="5">
        <v>44593</v>
      </c>
      <c r="H707" s="53">
        <v>92</v>
      </c>
      <c r="I707" s="15" t="s">
        <v>259</v>
      </c>
      <c r="J707" s="53" t="s">
        <v>261</v>
      </c>
      <c r="K707" s="53" t="s">
        <v>262</v>
      </c>
      <c r="L707" s="53">
        <v>1</v>
      </c>
    </row>
    <row r="708" spans="1:12">
      <c r="A708" s="53" t="s">
        <v>1209</v>
      </c>
      <c r="D708" s="53" t="s">
        <v>260</v>
      </c>
      <c r="E708" s="14" t="s">
        <v>1459</v>
      </c>
      <c r="F708" s="5">
        <v>41821</v>
      </c>
      <c r="G708" s="5">
        <v>44593</v>
      </c>
      <c r="H708" s="53">
        <v>92</v>
      </c>
      <c r="I708" s="15" t="s">
        <v>259</v>
      </c>
      <c r="J708" s="53" t="s">
        <v>261</v>
      </c>
      <c r="K708" s="53" t="s">
        <v>262</v>
      </c>
      <c r="L708" s="53">
        <v>1</v>
      </c>
    </row>
    <row r="709" spans="1:12">
      <c r="A709" s="53" t="s">
        <v>1210</v>
      </c>
      <c r="D709" s="53" t="s">
        <v>260</v>
      </c>
      <c r="E709" s="14" t="s">
        <v>1460</v>
      </c>
      <c r="F709" s="5">
        <v>41821</v>
      </c>
      <c r="G709" s="5">
        <v>44593</v>
      </c>
      <c r="H709" s="53">
        <v>92</v>
      </c>
      <c r="I709" s="15" t="s">
        <v>259</v>
      </c>
      <c r="J709" s="53" t="s">
        <v>261</v>
      </c>
      <c r="K709" s="53" t="s">
        <v>262</v>
      </c>
      <c r="L709" s="53">
        <v>1</v>
      </c>
    </row>
    <row r="710" spans="1:12">
      <c r="A710" s="53" t="s">
        <v>1211</v>
      </c>
      <c r="D710" s="53" t="s">
        <v>260</v>
      </c>
      <c r="E710" s="14" t="s">
        <v>1461</v>
      </c>
      <c r="F710" s="5">
        <v>41821</v>
      </c>
      <c r="G710" s="5">
        <v>44593</v>
      </c>
      <c r="H710" s="53">
        <v>92</v>
      </c>
      <c r="I710" s="15" t="s">
        <v>259</v>
      </c>
      <c r="J710" s="53" t="s">
        <v>261</v>
      </c>
      <c r="K710" s="53" t="s">
        <v>262</v>
      </c>
      <c r="L710" s="53">
        <v>1</v>
      </c>
    </row>
    <row r="711" spans="1:12">
      <c r="A711" s="53" t="s">
        <v>1212</v>
      </c>
      <c r="D711" s="53" t="s">
        <v>260</v>
      </c>
      <c r="E711" s="14" t="s">
        <v>1462</v>
      </c>
      <c r="F711" s="5">
        <v>41821</v>
      </c>
      <c r="G711" s="5">
        <v>44593</v>
      </c>
      <c r="H711" s="53">
        <v>92</v>
      </c>
      <c r="I711" s="15" t="s">
        <v>259</v>
      </c>
      <c r="J711" s="53" t="s">
        <v>261</v>
      </c>
      <c r="K711" s="53" t="s">
        <v>262</v>
      </c>
      <c r="L711" s="53">
        <v>1</v>
      </c>
    </row>
    <row r="712" spans="1:12">
      <c r="A712" s="53" t="s">
        <v>1213</v>
      </c>
      <c r="D712" s="53" t="s">
        <v>260</v>
      </c>
      <c r="E712" s="14" t="s">
        <v>1463</v>
      </c>
      <c r="F712" s="5">
        <v>41821</v>
      </c>
      <c r="G712" s="5">
        <v>44593</v>
      </c>
      <c r="H712" s="53">
        <v>92</v>
      </c>
      <c r="I712" s="15" t="s">
        <v>259</v>
      </c>
      <c r="J712" s="53" t="s">
        <v>261</v>
      </c>
      <c r="K712" s="53" t="s">
        <v>262</v>
      </c>
      <c r="L712" s="53">
        <v>1</v>
      </c>
    </row>
    <row r="713" spans="1:12">
      <c r="A713" s="53" t="s">
        <v>1214</v>
      </c>
      <c r="D713" s="53" t="s">
        <v>260</v>
      </c>
      <c r="E713" s="14" t="s">
        <v>1464</v>
      </c>
      <c r="F713" s="5">
        <v>41821</v>
      </c>
      <c r="G713" s="5">
        <v>44593</v>
      </c>
      <c r="H713" s="53">
        <v>92</v>
      </c>
      <c r="I713" s="15" t="s">
        <v>259</v>
      </c>
      <c r="J713" s="53" t="s">
        <v>261</v>
      </c>
      <c r="K713" s="53" t="s">
        <v>262</v>
      </c>
      <c r="L713" s="53">
        <v>1</v>
      </c>
    </row>
    <row r="714" spans="1:12">
      <c r="A714" s="53" t="s">
        <v>1215</v>
      </c>
      <c r="D714" s="53" t="s">
        <v>260</v>
      </c>
      <c r="E714" s="14" t="s">
        <v>1465</v>
      </c>
      <c r="F714" s="5">
        <v>41821</v>
      </c>
      <c r="G714" s="5">
        <v>44593</v>
      </c>
      <c r="H714" s="53">
        <v>92</v>
      </c>
      <c r="I714" s="15" t="s">
        <v>259</v>
      </c>
      <c r="J714" s="53" t="s">
        <v>261</v>
      </c>
      <c r="K714" s="53" t="s">
        <v>262</v>
      </c>
      <c r="L714" s="53">
        <v>1</v>
      </c>
    </row>
    <row r="715" spans="1:12">
      <c r="A715" s="53" t="s">
        <v>1216</v>
      </c>
      <c r="D715" s="53" t="s">
        <v>260</v>
      </c>
      <c r="E715" s="14" t="s">
        <v>1466</v>
      </c>
      <c r="F715" s="5">
        <v>41821</v>
      </c>
      <c r="G715" s="5">
        <v>44593</v>
      </c>
      <c r="H715" s="53">
        <v>92</v>
      </c>
      <c r="I715" s="15" t="s">
        <v>259</v>
      </c>
      <c r="J715" s="53" t="s">
        <v>261</v>
      </c>
      <c r="K715" s="53" t="s">
        <v>262</v>
      </c>
      <c r="L715" s="53">
        <v>1</v>
      </c>
    </row>
    <row r="716" spans="1:12">
      <c r="A716" s="53" t="s">
        <v>1217</v>
      </c>
      <c r="D716" s="53" t="s">
        <v>260</v>
      </c>
      <c r="E716" s="14" t="s">
        <v>1467</v>
      </c>
      <c r="F716" s="5">
        <v>41821</v>
      </c>
      <c r="G716" s="5">
        <v>44593</v>
      </c>
      <c r="H716" s="53">
        <v>92</v>
      </c>
      <c r="I716" s="15" t="s">
        <v>259</v>
      </c>
      <c r="J716" s="53" t="s">
        <v>261</v>
      </c>
      <c r="K716" s="53" t="s">
        <v>262</v>
      </c>
      <c r="L716" s="53">
        <v>1</v>
      </c>
    </row>
    <row r="717" spans="1:12">
      <c r="A717" s="53" t="s">
        <v>1218</v>
      </c>
      <c r="D717" s="53" t="s">
        <v>260</v>
      </c>
      <c r="E717" s="14" t="s">
        <v>1468</v>
      </c>
      <c r="F717" s="5">
        <v>41821</v>
      </c>
      <c r="G717" s="5">
        <v>44593</v>
      </c>
      <c r="H717" s="53">
        <v>92</v>
      </c>
      <c r="I717" s="15" t="s">
        <v>259</v>
      </c>
      <c r="J717" s="53" t="s">
        <v>261</v>
      </c>
      <c r="K717" s="53" t="s">
        <v>262</v>
      </c>
      <c r="L717" s="53">
        <v>1</v>
      </c>
    </row>
    <row r="718" spans="1:12">
      <c r="A718" s="53" t="s">
        <v>1219</v>
      </c>
      <c r="D718" s="53" t="s">
        <v>260</v>
      </c>
      <c r="E718" s="14" t="s">
        <v>1469</v>
      </c>
      <c r="F718" s="5">
        <v>41821</v>
      </c>
      <c r="G718" s="5">
        <v>44593</v>
      </c>
      <c r="H718" s="53">
        <v>92</v>
      </c>
      <c r="I718" s="15" t="s">
        <v>259</v>
      </c>
      <c r="J718" s="53" t="s">
        <v>261</v>
      </c>
      <c r="K718" s="53" t="s">
        <v>262</v>
      </c>
      <c r="L718" s="53">
        <v>1</v>
      </c>
    </row>
    <row r="719" spans="1:12">
      <c r="A719" s="53" t="s">
        <v>1220</v>
      </c>
      <c r="D719" s="53" t="s">
        <v>260</v>
      </c>
      <c r="E719" s="14" t="s">
        <v>1470</v>
      </c>
      <c r="F719" s="5">
        <v>41821</v>
      </c>
      <c r="G719" s="5">
        <v>44593</v>
      </c>
      <c r="H719" s="53">
        <v>92</v>
      </c>
      <c r="I719" s="15" t="s">
        <v>259</v>
      </c>
      <c r="J719" s="53" t="s">
        <v>261</v>
      </c>
      <c r="K719" s="53" t="s">
        <v>262</v>
      </c>
      <c r="L719" s="53">
        <v>1</v>
      </c>
    </row>
    <row r="720" spans="1:12">
      <c r="A720" s="53" t="s">
        <v>1221</v>
      </c>
      <c r="D720" s="53" t="s">
        <v>260</v>
      </c>
      <c r="E720" s="14" t="s">
        <v>1471</v>
      </c>
      <c r="F720" s="5">
        <v>41821</v>
      </c>
      <c r="G720" s="5">
        <v>44593</v>
      </c>
      <c r="H720" s="53">
        <v>92</v>
      </c>
      <c r="I720" s="15" t="s">
        <v>259</v>
      </c>
      <c r="J720" s="53" t="s">
        <v>261</v>
      </c>
      <c r="K720" s="53" t="s">
        <v>262</v>
      </c>
      <c r="L720" s="53">
        <v>1</v>
      </c>
    </row>
    <row r="721" spans="1:12">
      <c r="A721" s="53" t="s">
        <v>1222</v>
      </c>
      <c r="D721" s="53" t="s">
        <v>260</v>
      </c>
      <c r="E721" s="14" t="s">
        <v>1472</v>
      </c>
      <c r="F721" s="5">
        <v>41821</v>
      </c>
      <c r="G721" s="5">
        <v>44593</v>
      </c>
      <c r="H721" s="53">
        <v>92</v>
      </c>
      <c r="I721" s="15" t="s">
        <v>259</v>
      </c>
      <c r="J721" s="53" t="s">
        <v>261</v>
      </c>
      <c r="K721" s="53" t="s">
        <v>262</v>
      </c>
      <c r="L721" s="53">
        <v>1</v>
      </c>
    </row>
    <row r="722" spans="1:12">
      <c r="A722" s="53" t="s">
        <v>1223</v>
      </c>
      <c r="D722" s="53" t="s">
        <v>260</v>
      </c>
      <c r="E722" s="14" t="s">
        <v>1473</v>
      </c>
      <c r="F722" s="5">
        <v>41821</v>
      </c>
      <c r="G722" s="5">
        <v>44593</v>
      </c>
      <c r="H722" s="53">
        <v>92</v>
      </c>
      <c r="I722" s="15" t="s">
        <v>259</v>
      </c>
      <c r="J722" s="53" t="s">
        <v>261</v>
      </c>
      <c r="K722" s="53" t="s">
        <v>262</v>
      </c>
      <c r="L722" s="53">
        <v>1</v>
      </c>
    </row>
    <row r="723" spans="1:12">
      <c r="A723" s="53" t="s">
        <v>1224</v>
      </c>
      <c r="D723" s="53" t="s">
        <v>260</v>
      </c>
      <c r="E723" s="14" t="s">
        <v>1474</v>
      </c>
      <c r="F723" s="5">
        <v>41821</v>
      </c>
      <c r="G723" s="5">
        <v>44593</v>
      </c>
      <c r="H723" s="53">
        <v>92</v>
      </c>
      <c r="I723" s="15" t="s">
        <v>259</v>
      </c>
      <c r="J723" s="53" t="s">
        <v>261</v>
      </c>
      <c r="K723" s="53" t="s">
        <v>262</v>
      </c>
      <c r="L723" s="53">
        <v>1</v>
      </c>
    </row>
    <row r="724" spans="1:12">
      <c r="A724" s="53" t="s">
        <v>1225</v>
      </c>
      <c r="D724" s="53" t="s">
        <v>260</v>
      </c>
      <c r="E724" s="14" t="s">
        <v>1475</v>
      </c>
      <c r="F724" s="5">
        <v>41821</v>
      </c>
      <c r="G724" s="5">
        <v>44593</v>
      </c>
      <c r="H724" s="53">
        <v>92</v>
      </c>
      <c r="I724" s="15" t="s">
        <v>259</v>
      </c>
      <c r="J724" s="53" t="s">
        <v>261</v>
      </c>
      <c r="K724" s="53" t="s">
        <v>262</v>
      </c>
      <c r="L724" s="53">
        <v>1</v>
      </c>
    </row>
    <row r="725" spans="1:12">
      <c r="A725" s="53" t="s">
        <v>1226</v>
      </c>
      <c r="D725" s="53" t="s">
        <v>260</v>
      </c>
      <c r="E725" s="14" t="s">
        <v>1476</v>
      </c>
      <c r="F725" s="5">
        <v>41821</v>
      </c>
      <c r="G725" s="5">
        <v>44593</v>
      </c>
      <c r="H725" s="53">
        <v>92</v>
      </c>
      <c r="I725" s="15" t="s">
        <v>259</v>
      </c>
      <c r="J725" s="53" t="s">
        <v>261</v>
      </c>
      <c r="K725" s="53" t="s">
        <v>262</v>
      </c>
      <c r="L725" s="53">
        <v>1</v>
      </c>
    </row>
    <row r="726" spans="1:12">
      <c r="A726" s="53" t="s">
        <v>1227</v>
      </c>
      <c r="D726" s="53" t="s">
        <v>260</v>
      </c>
      <c r="E726" s="14" t="s">
        <v>1477</v>
      </c>
      <c r="F726" s="5">
        <v>41821</v>
      </c>
      <c r="G726" s="5">
        <v>44593</v>
      </c>
      <c r="H726" s="53">
        <v>92</v>
      </c>
      <c r="I726" s="15" t="s">
        <v>259</v>
      </c>
      <c r="J726" s="53" t="s">
        <v>261</v>
      </c>
      <c r="K726" s="53" t="s">
        <v>262</v>
      </c>
      <c r="L726" s="53">
        <v>1</v>
      </c>
    </row>
    <row r="727" spans="1:12">
      <c r="A727" s="53" t="s">
        <v>1228</v>
      </c>
      <c r="D727" s="53" t="s">
        <v>260</v>
      </c>
      <c r="E727" s="14" t="s">
        <v>1478</v>
      </c>
      <c r="F727" s="5">
        <v>41821</v>
      </c>
      <c r="G727" s="5">
        <v>44593</v>
      </c>
      <c r="H727" s="53">
        <v>92</v>
      </c>
      <c r="I727" s="15" t="s">
        <v>259</v>
      </c>
      <c r="J727" s="53" t="s">
        <v>261</v>
      </c>
      <c r="K727" s="53" t="s">
        <v>262</v>
      </c>
      <c r="L727" s="53">
        <v>1</v>
      </c>
    </row>
    <row r="728" spans="1:12">
      <c r="A728" s="53" t="s">
        <v>1229</v>
      </c>
      <c r="D728" s="53" t="s">
        <v>260</v>
      </c>
      <c r="E728" s="14" t="s">
        <v>1479</v>
      </c>
      <c r="F728" s="5">
        <v>41821</v>
      </c>
      <c r="G728" s="5">
        <v>44593</v>
      </c>
      <c r="H728" s="53">
        <v>92</v>
      </c>
      <c r="I728" s="15" t="s">
        <v>259</v>
      </c>
      <c r="J728" s="53" t="s">
        <v>261</v>
      </c>
      <c r="K728" s="53" t="s">
        <v>262</v>
      </c>
      <c r="L728" s="53">
        <v>1</v>
      </c>
    </row>
    <row r="729" spans="1:12">
      <c r="A729" s="53" t="s">
        <v>1230</v>
      </c>
      <c r="D729" s="53" t="s">
        <v>260</v>
      </c>
      <c r="E729" s="14" t="s">
        <v>1480</v>
      </c>
      <c r="F729" s="5">
        <v>41821</v>
      </c>
      <c r="G729" s="5">
        <v>44593</v>
      </c>
      <c r="H729" s="53">
        <v>92</v>
      </c>
      <c r="I729" s="15" t="s">
        <v>259</v>
      </c>
      <c r="J729" s="53" t="s">
        <v>261</v>
      </c>
      <c r="K729" s="53" t="s">
        <v>262</v>
      </c>
      <c r="L729" s="53">
        <v>1</v>
      </c>
    </row>
    <row r="730" spans="1:12">
      <c r="A730" s="53" t="s">
        <v>1231</v>
      </c>
      <c r="D730" s="53" t="s">
        <v>260</v>
      </c>
      <c r="E730" s="14" t="s">
        <v>1481</v>
      </c>
      <c r="F730" s="5">
        <v>41821</v>
      </c>
      <c r="G730" s="5">
        <v>44593</v>
      </c>
      <c r="H730" s="53">
        <v>92</v>
      </c>
      <c r="I730" s="15" t="s">
        <v>259</v>
      </c>
      <c r="J730" s="53" t="s">
        <v>261</v>
      </c>
      <c r="K730" s="53" t="s">
        <v>262</v>
      </c>
      <c r="L730" s="53">
        <v>1</v>
      </c>
    </row>
    <row r="731" spans="1:12">
      <c r="A731" s="53" t="s">
        <v>1232</v>
      </c>
      <c r="D731" s="53" t="s">
        <v>260</v>
      </c>
      <c r="E731" s="14" t="s">
        <v>1482</v>
      </c>
      <c r="F731" s="5">
        <v>41821</v>
      </c>
      <c r="G731" s="5">
        <v>44593</v>
      </c>
      <c r="H731" s="53">
        <v>92</v>
      </c>
      <c r="I731" s="15" t="s">
        <v>259</v>
      </c>
      <c r="J731" s="53" t="s">
        <v>261</v>
      </c>
      <c r="K731" s="53" t="s">
        <v>262</v>
      </c>
      <c r="L731" s="53">
        <v>1</v>
      </c>
    </row>
    <row r="732" spans="1:12">
      <c r="A732" s="53" t="s">
        <v>1233</v>
      </c>
      <c r="D732" s="53" t="s">
        <v>260</v>
      </c>
      <c r="E732" s="14" t="s">
        <v>1483</v>
      </c>
      <c r="F732" s="5">
        <v>41821</v>
      </c>
      <c r="G732" s="5">
        <v>44593</v>
      </c>
      <c r="H732" s="53">
        <v>92</v>
      </c>
      <c r="I732" s="15" t="s">
        <v>259</v>
      </c>
      <c r="J732" s="53" t="s">
        <v>261</v>
      </c>
      <c r="K732" s="53" t="s">
        <v>262</v>
      </c>
      <c r="L732" s="53">
        <v>1</v>
      </c>
    </row>
    <row r="733" spans="1:12">
      <c r="A733" s="53" t="s">
        <v>1234</v>
      </c>
      <c r="D733" s="53" t="s">
        <v>260</v>
      </c>
      <c r="E733" s="14" t="s">
        <v>1484</v>
      </c>
      <c r="F733" s="5">
        <v>41821</v>
      </c>
      <c r="G733" s="5">
        <v>44593</v>
      </c>
      <c r="H733" s="53">
        <v>92</v>
      </c>
      <c r="I733" s="15" t="s">
        <v>259</v>
      </c>
      <c r="J733" s="53" t="s">
        <v>261</v>
      </c>
      <c r="K733" s="53" t="s">
        <v>262</v>
      </c>
      <c r="L733" s="53">
        <v>1</v>
      </c>
    </row>
    <row r="734" spans="1:12">
      <c r="A734" s="53" t="s">
        <v>1235</v>
      </c>
      <c r="D734" s="53" t="s">
        <v>260</v>
      </c>
      <c r="E734" s="14" t="s">
        <v>1485</v>
      </c>
      <c r="F734" s="5">
        <v>41821</v>
      </c>
      <c r="G734" s="5">
        <v>44593</v>
      </c>
      <c r="H734" s="53">
        <v>92</v>
      </c>
      <c r="I734" s="15" t="s">
        <v>259</v>
      </c>
      <c r="J734" s="53" t="s">
        <v>261</v>
      </c>
      <c r="K734" s="53" t="s">
        <v>262</v>
      </c>
      <c r="L734" s="53">
        <v>1</v>
      </c>
    </row>
    <row r="735" spans="1:12">
      <c r="A735" s="53" t="s">
        <v>1236</v>
      </c>
      <c r="D735" s="53" t="s">
        <v>260</v>
      </c>
      <c r="E735" s="14" t="s">
        <v>1486</v>
      </c>
      <c r="F735" s="5">
        <v>41821</v>
      </c>
      <c r="G735" s="5">
        <v>44593</v>
      </c>
      <c r="H735" s="53">
        <v>92</v>
      </c>
      <c r="I735" s="15" t="s">
        <v>259</v>
      </c>
      <c r="J735" s="53" t="s">
        <v>261</v>
      </c>
      <c r="K735" s="53" t="s">
        <v>262</v>
      </c>
      <c r="L735" s="53">
        <v>1</v>
      </c>
    </row>
    <row r="736" spans="1:12">
      <c r="A736" s="53" t="s">
        <v>1237</v>
      </c>
      <c r="D736" s="53" t="s">
        <v>260</v>
      </c>
      <c r="E736" s="14" t="s">
        <v>1487</v>
      </c>
      <c r="F736" s="5">
        <v>41821</v>
      </c>
      <c r="G736" s="5">
        <v>44593</v>
      </c>
      <c r="H736" s="53">
        <v>92</v>
      </c>
      <c r="I736" s="15" t="s">
        <v>259</v>
      </c>
      <c r="J736" s="53" t="s">
        <v>261</v>
      </c>
      <c r="K736" s="53" t="s">
        <v>262</v>
      </c>
      <c r="L736" s="53">
        <v>1</v>
      </c>
    </row>
    <row r="737" spans="1:12">
      <c r="A737" s="53" t="s">
        <v>1238</v>
      </c>
      <c r="D737" s="53" t="s">
        <v>260</v>
      </c>
      <c r="E737" s="14" t="s">
        <v>1488</v>
      </c>
      <c r="F737" s="5">
        <v>41821</v>
      </c>
      <c r="G737" s="5">
        <v>44593</v>
      </c>
      <c r="H737" s="53">
        <v>92</v>
      </c>
      <c r="I737" s="15" t="s">
        <v>259</v>
      </c>
      <c r="J737" s="53" t="s">
        <v>261</v>
      </c>
      <c r="K737" s="53" t="s">
        <v>262</v>
      </c>
      <c r="L737" s="53">
        <v>1</v>
      </c>
    </row>
    <row r="738" spans="1:12">
      <c r="A738" s="53" t="s">
        <v>1239</v>
      </c>
      <c r="D738" s="53" t="s">
        <v>260</v>
      </c>
      <c r="E738" s="14" t="s">
        <v>1489</v>
      </c>
      <c r="F738" s="5">
        <v>41821</v>
      </c>
      <c r="G738" s="5">
        <v>44593</v>
      </c>
      <c r="H738" s="53">
        <v>92</v>
      </c>
      <c r="I738" s="15" t="s">
        <v>259</v>
      </c>
      <c r="J738" s="53" t="s">
        <v>261</v>
      </c>
      <c r="K738" s="53" t="s">
        <v>262</v>
      </c>
      <c r="L738" s="53">
        <v>1</v>
      </c>
    </row>
    <row r="739" spans="1:12">
      <c r="A739" s="53" t="s">
        <v>1240</v>
      </c>
      <c r="D739" s="53" t="s">
        <v>260</v>
      </c>
      <c r="E739" s="14" t="s">
        <v>1490</v>
      </c>
      <c r="F739" s="5">
        <v>41821</v>
      </c>
      <c r="G739" s="5">
        <v>44593</v>
      </c>
      <c r="H739" s="53">
        <v>92</v>
      </c>
      <c r="I739" s="15" t="s">
        <v>259</v>
      </c>
      <c r="J739" s="53" t="s">
        <v>261</v>
      </c>
      <c r="K739" s="53" t="s">
        <v>262</v>
      </c>
      <c r="L739" s="53">
        <v>1</v>
      </c>
    </row>
    <row r="740" spans="1:12">
      <c r="A740" s="53" t="s">
        <v>1241</v>
      </c>
      <c r="D740" s="53" t="s">
        <v>260</v>
      </c>
      <c r="E740" s="14" t="s">
        <v>1491</v>
      </c>
      <c r="F740" s="5">
        <v>41821</v>
      </c>
      <c r="G740" s="5">
        <v>44593</v>
      </c>
      <c r="H740" s="53">
        <v>92</v>
      </c>
      <c r="I740" s="15" t="s">
        <v>259</v>
      </c>
      <c r="J740" s="53" t="s">
        <v>261</v>
      </c>
      <c r="K740" s="53" t="s">
        <v>262</v>
      </c>
      <c r="L740" s="53">
        <v>1</v>
      </c>
    </row>
    <row r="741" spans="1:12">
      <c r="A741" s="53" t="s">
        <v>1242</v>
      </c>
      <c r="D741" s="53" t="s">
        <v>260</v>
      </c>
      <c r="E741" s="14" t="s">
        <v>1492</v>
      </c>
      <c r="F741" s="5">
        <v>41821</v>
      </c>
      <c r="G741" s="5">
        <v>44593</v>
      </c>
      <c r="H741" s="53">
        <v>92</v>
      </c>
      <c r="I741" s="15" t="s">
        <v>259</v>
      </c>
      <c r="J741" s="53" t="s">
        <v>261</v>
      </c>
      <c r="K741" s="53" t="s">
        <v>262</v>
      </c>
      <c r="L741" s="53">
        <v>1</v>
      </c>
    </row>
    <row r="742" spans="1:12">
      <c r="A742" s="53" t="s">
        <v>1243</v>
      </c>
      <c r="D742" s="53" t="s">
        <v>260</v>
      </c>
      <c r="E742" s="14" t="s">
        <v>1493</v>
      </c>
      <c r="F742" s="5">
        <v>41821</v>
      </c>
      <c r="G742" s="5">
        <v>44593</v>
      </c>
      <c r="H742" s="53">
        <v>92</v>
      </c>
      <c r="I742" s="15" t="s">
        <v>259</v>
      </c>
      <c r="J742" s="53" t="s">
        <v>261</v>
      </c>
      <c r="K742" s="53" t="s">
        <v>262</v>
      </c>
      <c r="L742" s="53">
        <v>1</v>
      </c>
    </row>
    <row r="743" spans="1:12">
      <c r="A743" s="53" t="s">
        <v>1244</v>
      </c>
      <c r="D743" s="53" t="s">
        <v>260</v>
      </c>
      <c r="E743" s="14" t="s">
        <v>1494</v>
      </c>
      <c r="F743" s="5">
        <v>41821</v>
      </c>
      <c r="G743" s="5">
        <v>44593</v>
      </c>
      <c r="H743" s="53">
        <v>92</v>
      </c>
      <c r="I743" s="15" t="s">
        <v>259</v>
      </c>
      <c r="J743" s="53" t="s">
        <v>261</v>
      </c>
      <c r="K743" s="53" t="s">
        <v>262</v>
      </c>
      <c r="L743" s="53">
        <v>1</v>
      </c>
    </row>
    <row r="744" spans="1:12">
      <c r="A744" s="53" t="s">
        <v>1245</v>
      </c>
      <c r="D744" s="53" t="s">
        <v>260</v>
      </c>
      <c r="E744" s="14" t="s">
        <v>1495</v>
      </c>
      <c r="F744" s="5">
        <v>41821</v>
      </c>
      <c r="G744" s="5">
        <v>44593</v>
      </c>
      <c r="H744" s="53">
        <v>92</v>
      </c>
      <c r="I744" s="15" t="s">
        <v>259</v>
      </c>
      <c r="J744" s="53" t="s">
        <v>261</v>
      </c>
      <c r="K744" s="53" t="s">
        <v>262</v>
      </c>
      <c r="L744" s="53">
        <v>1</v>
      </c>
    </row>
    <row r="745" spans="1:12">
      <c r="A745" s="53" t="s">
        <v>1246</v>
      </c>
      <c r="D745" s="53" t="s">
        <v>260</v>
      </c>
      <c r="E745" s="14" t="s">
        <v>1496</v>
      </c>
      <c r="F745" s="5">
        <v>41821</v>
      </c>
      <c r="G745" s="5">
        <v>44593</v>
      </c>
      <c r="H745" s="53">
        <v>92</v>
      </c>
      <c r="I745" s="15" t="s">
        <v>259</v>
      </c>
      <c r="J745" s="53" t="s">
        <v>261</v>
      </c>
      <c r="K745" s="53" t="s">
        <v>262</v>
      </c>
      <c r="L745" s="53">
        <v>1</v>
      </c>
    </row>
    <row r="746" spans="1:12">
      <c r="A746" s="53" t="s">
        <v>1247</v>
      </c>
      <c r="D746" s="53" t="s">
        <v>260</v>
      </c>
      <c r="E746" s="14" t="s">
        <v>1497</v>
      </c>
      <c r="F746" s="5">
        <v>41821</v>
      </c>
      <c r="G746" s="5">
        <v>44593</v>
      </c>
      <c r="H746" s="53">
        <v>92</v>
      </c>
      <c r="I746" s="15" t="s">
        <v>259</v>
      </c>
      <c r="J746" s="53" t="s">
        <v>261</v>
      </c>
      <c r="K746" s="53" t="s">
        <v>262</v>
      </c>
      <c r="L746" s="53">
        <v>1</v>
      </c>
    </row>
    <row r="747" spans="1:12">
      <c r="A747" s="53" t="s">
        <v>1248</v>
      </c>
      <c r="D747" s="53" t="s">
        <v>260</v>
      </c>
      <c r="E747" s="14" t="s">
        <v>1498</v>
      </c>
      <c r="F747" s="5">
        <v>41821</v>
      </c>
      <c r="G747" s="5">
        <v>44593</v>
      </c>
      <c r="H747" s="53">
        <v>92</v>
      </c>
      <c r="I747" s="15" t="s">
        <v>259</v>
      </c>
      <c r="J747" s="53" t="s">
        <v>261</v>
      </c>
      <c r="K747" s="53" t="s">
        <v>262</v>
      </c>
      <c r="L747" s="53">
        <v>1</v>
      </c>
    </row>
    <row r="748" spans="1:12">
      <c r="A748" s="53" t="s">
        <v>1249</v>
      </c>
      <c r="D748" s="53" t="s">
        <v>260</v>
      </c>
      <c r="E748" s="14" t="s">
        <v>1499</v>
      </c>
      <c r="F748" s="5">
        <v>41821</v>
      </c>
      <c r="G748" s="5">
        <v>44593</v>
      </c>
      <c r="H748" s="53">
        <v>92</v>
      </c>
      <c r="I748" s="15" t="s">
        <v>259</v>
      </c>
      <c r="J748" s="53" t="s">
        <v>261</v>
      </c>
      <c r="K748" s="53" t="s">
        <v>262</v>
      </c>
      <c r="L748" s="53">
        <v>1</v>
      </c>
    </row>
    <row r="749" spans="1:12">
      <c r="A749" s="53" t="s">
        <v>1250</v>
      </c>
      <c r="D749" s="53" t="s">
        <v>260</v>
      </c>
      <c r="E749" s="14" t="s">
        <v>1500</v>
      </c>
      <c r="F749" s="5">
        <v>41821</v>
      </c>
      <c r="G749" s="5">
        <v>44593</v>
      </c>
      <c r="H749" s="53">
        <v>92</v>
      </c>
      <c r="I749" s="15" t="s">
        <v>259</v>
      </c>
      <c r="J749" s="53" t="s">
        <v>261</v>
      </c>
      <c r="K749" s="53" t="s">
        <v>262</v>
      </c>
      <c r="L749" s="53">
        <v>1</v>
      </c>
    </row>
    <row r="750" spans="1:12">
      <c r="A750" s="53" t="s">
        <v>1251</v>
      </c>
      <c r="D750" s="53" t="s">
        <v>260</v>
      </c>
      <c r="E750" s="14" t="s">
        <v>1501</v>
      </c>
      <c r="F750" s="5">
        <v>41821</v>
      </c>
      <c r="G750" s="5">
        <v>44593</v>
      </c>
      <c r="H750" s="53">
        <v>92</v>
      </c>
      <c r="I750" s="15" t="s">
        <v>259</v>
      </c>
      <c r="J750" s="53" t="s">
        <v>261</v>
      </c>
      <c r="K750" s="53" t="s">
        <v>262</v>
      </c>
      <c r="L750" s="53">
        <v>1</v>
      </c>
    </row>
    <row r="751" spans="1:12">
      <c r="A751" s="53" t="s">
        <v>1252</v>
      </c>
      <c r="D751" s="53" t="s">
        <v>260</v>
      </c>
      <c r="E751" s="14" t="s">
        <v>1502</v>
      </c>
      <c r="F751" s="5">
        <v>41821</v>
      </c>
      <c r="G751" s="5">
        <v>44593</v>
      </c>
      <c r="H751" s="53">
        <v>92</v>
      </c>
      <c r="I751" s="15" t="s">
        <v>259</v>
      </c>
      <c r="J751" s="53" t="s">
        <v>261</v>
      </c>
      <c r="K751" s="53" t="s">
        <v>262</v>
      </c>
      <c r="L751" s="53">
        <v>1</v>
      </c>
    </row>
    <row r="752" spans="1:12">
      <c r="A752" s="53" t="s">
        <v>1253</v>
      </c>
      <c r="D752" s="53" t="s">
        <v>260</v>
      </c>
      <c r="E752" s="14" t="s">
        <v>1503</v>
      </c>
      <c r="F752" s="5">
        <v>41821</v>
      </c>
      <c r="G752" s="5">
        <v>44593</v>
      </c>
      <c r="H752" s="53">
        <v>92</v>
      </c>
      <c r="I752" s="15" t="s">
        <v>259</v>
      </c>
      <c r="J752" s="53" t="s">
        <v>261</v>
      </c>
      <c r="K752" s="53" t="s">
        <v>262</v>
      </c>
      <c r="L752" s="53">
        <v>1</v>
      </c>
    </row>
    <row r="753" spans="1:12">
      <c r="A753" s="53" t="s">
        <v>1254</v>
      </c>
      <c r="D753" s="53" t="s">
        <v>260</v>
      </c>
      <c r="E753" s="14" t="s">
        <v>1504</v>
      </c>
      <c r="F753" s="5">
        <v>41821</v>
      </c>
      <c r="G753" s="5">
        <v>44593</v>
      </c>
      <c r="H753" s="53">
        <v>92</v>
      </c>
      <c r="I753" s="15" t="s">
        <v>259</v>
      </c>
      <c r="J753" s="53" t="s">
        <v>261</v>
      </c>
      <c r="K753" s="53" t="s">
        <v>262</v>
      </c>
      <c r="L753" s="53">
        <v>1</v>
      </c>
    </row>
    <row r="754" spans="1:12">
      <c r="A754" s="53" t="s">
        <v>1255</v>
      </c>
      <c r="D754" s="53" t="s">
        <v>260</v>
      </c>
      <c r="E754" s="14" t="s">
        <v>1505</v>
      </c>
      <c r="F754" s="5">
        <v>41821</v>
      </c>
      <c r="G754" s="5">
        <v>44593</v>
      </c>
      <c r="H754" s="53">
        <v>92</v>
      </c>
      <c r="I754" s="15" t="s">
        <v>259</v>
      </c>
      <c r="J754" s="53" t="s">
        <v>261</v>
      </c>
      <c r="K754" s="53" t="s">
        <v>262</v>
      </c>
      <c r="L754" s="53">
        <v>1</v>
      </c>
    </row>
    <row r="755" spans="1:12">
      <c r="A755" s="53" t="s">
        <v>1256</v>
      </c>
      <c r="D755" s="53" t="s">
        <v>260</v>
      </c>
      <c r="E755" s="14" t="s">
        <v>1506</v>
      </c>
      <c r="F755" s="5">
        <v>41821</v>
      </c>
      <c r="G755" s="5">
        <v>44593</v>
      </c>
      <c r="H755" s="53">
        <v>92</v>
      </c>
      <c r="I755" s="15" t="s">
        <v>259</v>
      </c>
      <c r="J755" s="53" t="s">
        <v>261</v>
      </c>
      <c r="K755" s="53" t="s">
        <v>262</v>
      </c>
      <c r="L755" s="53">
        <v>1</v>
      </c>
    </row>
    <row r="756" spans="1:12">
      <c r="A756" s="53" t="s">
        <v>1257</v>
      </c>
      <c r="D756" s="53" t="s">
        <v>260</v>
      </c>
      <c r="E756" s="14" t="s">
        <v>1507</v>
      </c>
      <c r="F756" s="5">
        <v>41821</v>
      </c>
      <c r="G756" s="5">
        <v>44593</v>
      </c>
      <c r="H756" s="53">
        <v>92</v>
      </c>
      <c r="I756" s="15" t="s">
        <v>259</v>
      </c>
      <c r="J756" s="53" t="s">
        <v>261</v>
      </c>
      <c r="K756" s="53" t="s">
        <v>262</v>
      </c>
      <c r="L756" s="53">
        <v>1</v>
      </c>
    </row>
    <row r="757" spans="1:12">
      <c r="A757" s="53" t="s">
        <v>1258</v>
      </c>
      <c r="D757" s="53" t="s">
        <v>260</v>
      </c>
      <c r="E757" s="14" t="s">
        <v>1508</v>
      </c>
      <c r="F757" s="5">
        <v>41821</v>
      </c>
      <c r="G757" s="5">
        <v>44593</v>
      </c>
      <c r="H757" s="53">
        <v>92</v>
      </c>
      <c r="I757" s="15" t="s">
        <v>259</v>
      </c>
      <c r="J757" s="53" t="s">
        <v>261</v>
      </c>
      <c r="K757" s="53" t="s">
        <v>262</v>
      </c>
      <c r="L757" s="53">
        <v>1</v>
      </c>
    </row>
    <row r="758" spans="1:12">
      <c r="A758" s="53" t="s">
        <v>1259</v>
      </c>
      <c r="D758" s="53" t="s">
        <v>260</v>
      </c>
      <c r="E758" s="14" t="s">
        <v>1509</v>
      </c>
      <c r="F758" s="5">
        <v>41821</v>
      </c>
      <c r="G758" s="5">
        <v>44593</v>
      </c>
      <c r="H758" s="53">
        <v>92</v>
      </c>
      <c r="I758" s="15" t="s">
        <v>259</v>
      </c>
      <c r="J758" s="53" t="s">
        <v>261</v>
      </c>
      <c r="K758" s="53" t="s">
        <v>262</v>
      </c>
      <c r="L758" s="53">
        <v>1</v>
      </c>
    </row>
    <row r="759" spans="1:12">
      <c r="A759" s="53" t="s">
        <v>1260</v>
      </c>
      <c r="D759" s="53" t="s">
        <v>260</v>
      </c>
      <c r="E759" s="14" t="s">
        <v>1510</v>
      </c>
      <c r="F759" s="5">
        <v>41821</v>
      </c>
      <c r="G759" s="5">
        <v>44593</v>
      </c>
      <c r="H759" s="53">
        <v>92</v>
      </c>
      <c r="I759" s="15" t="s">
        <v>259</v>
      </c>
      <c r="J759" s="53" t="s">
        <v>261</v>
      </c>
      <c r="K759" s="53" t="s">
        <v>262</v>
      </c>
      <c r="L759" s="53">
        <v>1</v>
      </c>
    </row>
    <row r="760" spans="1:12">
      <c r="A760" s="53" t="s">
        <v>1261</v>
      </c>
      <c r="D760" s="53" t="s">
        <v>260</v>
      </c>
      <c r="E760" s="14" t="s">
        <v>1511</v>
      </c>
      <c r="F760" s="5">
        <v>41821</v>
      </c>
      <c r="G760" s="5">
        <v>44593</v>
      </c>
      <c r="H760" s="53">
        <v>92</v>
      </c>
      <c r="I760" s="15" t="s">
        <v>259</v>
      </c>
      <c r="J760" s="53" t="s">
        <v>261</v>
      </c>
      <c r="K760" s="53" t="s">
        <v>262</v>
      </c>
      <c r="L760" s="53">
        <v>1</v>
      </c>
    </row>
    <row r="761" spans="1:12">
      <c r="A761" s="53" t="s">
        <v>1262</v>
      </c>
      <c r="D761" s="53" t="s">
        <v>260</v>
      </c>
      <c r="E761" s="14" t="s">
        <v>1512</v>
      </c>
      <c r="F761" s="5">
        <v>41821</v>
      </c>
      <c r="G761" s="5">
        <v>44593</v>
      </c>
      <c r="H761" s="53">
        <v>92</v>
      </c>
      <c r="I761" s="15" t="s">
        <v>259</v>
      </c>
      <c r="J761" s="53" t="s">
        <v>261</v>
      </c>
      <c r="K761" s="53" t="s">
        <v>262</v>
      </c>
      <c r="L761" s="53">
        <v>1</v>
      </c>
    </row>
    <row r="762" spans="1:12">
      <c r="A762" s="53" t="s">
        <v>1513</v>
      </c>
      <c r="D762" s="53" t="s">
        <v>260</v>
      </c>
      <c r="E762" s="14" t="s">
        <v>1618</v>
      </c>
      <c r="F762" s="5">
        <v>41821</v>
      </c>
      <c r="G762" s="5">
        <v>44593</v>
      </c>
      <c r="H762" s="53">
        <v>92</v>
      </c>
      <c r="I762" s="15" t="s">
        <v>259</v>
      </c>
      <c r="J762" s="53" t="s">
        <v>261</v>
      </c>
      <c r="K762" s="53" t="s">
        <v>262</v>
      </c>
      <c r="L762" s="53">
        <v>1</v>
      </c>
    </row>
    <row r="763" spans="1:12">
      <c r="A763" s="53" t="s">
        <v>1514</v>
      </c>
      <c r="D763" s="53" t="s">
        <v>260</v>
      </c>
      <c r="E763" s="14" t="s">
        <v>1619</v>
      </c>
      <c r="F763" s="5">
        <v>41821</v>
      </c>
      <c r="G763" s="5">
        <v>44593</v>
      </c>
      <c r="H763" s="53">
        <v>92</v>
      </c>
      <c r="I763" s="15" t="s">
        <v>259</v>
      </c>
      <c r="J763" s="53" t="s">
        <v>261</v>
      </c>
      <c r="K763" s="53" t="s">
        <v>262</v>
      </c>
      <c r="L763" s="53">
        <v>1</v>
      </c>
    </row>
    <row r="764" spans="1:12">
      <c r="A764" s="53" t="s">
        <v>1515</v>
      </c>
      <c r="D764" s="53" t="s">
        <v>260</v>
      </c>
      <c r="E764" s="14" t="s">
        <v>1620</v>
      </c>
      <c r="F764" s="5">
        <v>41821</v>
      </c>
      <c r="G764" s="5">
        <v>44593</v>
      </c>
      <c r="H764" s="53">
        <v>92</v>
      </c>
      <c r="I764" s="15" t="s">
        <v>259</v>
      </c>
      <c r="J764" s="53" t="s">
        <v>261</v>
      </c>
      <c r="K764" s="53" t="s">
        <v>262</v>
      </c>
      <c r="L764" s="53">
        <v>1</v>
      </c>
    </row>
    <row r="765" spans="1:12">
      <c r="A765" s="53" t="s">
        <v>1516</v>
      </c>
      <c r="D765" s="53" t="s">
        <v>260</v>
      </c>
      <c r="E765" s="14" t="s">
        <v>1621</v>
      </c>
      <c r="F765" s="5">
        <v>41821</v>
      </c>
      <c r="G765" s="5">
        <v>44593</v>
      </c>
      <c r="H765" s="53">
        <v>92</v>
      </c>
      <c r="I765" s="15" t="s">
        <v>259</v>
      </c>
      <c r="J765" s="53" t="s">
        <v>261</v>
      </c>
      <c r="K765" s="53" t="s">
        <v>262</v>
      </c>
      <c r="L765" s="53">
        <v>1</v>
      </c>
    </row>
    <row r="766" spans="1:12">
      <c r="A766" s="53" t="s">
        <v>1517</v>
      </c>
      <c r="D766" s="53" t="s">
        <v>260</v>
      </c>
      <c r="E766" s="14" t="s">
        <v>1622</v>
      </c>
      <c r="F766" s="5">
        <v>41821</v>
      </c>
      <c r="G766" s="5">
        <v>44593</v>
      </c>
      <c r="H766" s="53">
        <v>92</v>
      </c>
      <c r="I766" s="15" t="s">
        <v>259</v>
      </c>
      <c r="J766" s="53" t="s">
        <v>261</v>
      </c>
      <c r="K766" s="53" t="s">
        <v>262</v>
      </c>
      <c r="L766" s="53">
        <v>1</v>
      </c>
    </row>
    <row r="767" spans="1:12">
      <c r="A767" s="53" t="s">
        <v>1518</v>
      </c>
      <c r="D767" s="53" t="s">
        <v>260</v>
      </c>
      <c r="E767" s="14" t="s">
        <v>1623</v>
      </c>
      <c r="F767" s="5">
        <v>41821</v>
      </c>
      <c r="G767" s="5">
        <v>44593</v>
      </c>
      <c r="H767" s="53">
        <v>92</v>
      </c>
      <c r="I767" s="15" t="s">
        <v>259</v>
      </c>
      <c r="J767" s="53" t="s">
        <v>261</v>
      </c>
      <c r="K767" s="53" t="s">
        <v>262</v>
      </c>
      <c r="L767" s="53">
        <v>1</v>
      </c>
    </row>
    <row r="768" spans="1:12">
      <c r="A768" s="53" t="s">
        <v>1519</v>
      </c>
      <c r="D768" s="53" t="s">
        <v>260</v>
      </c>
      <c r="E768" s="14" t="s">
        <v>1624</v>
      </c>
      <c r="F768" s="5">
        <v>41821</v>
      </c>
      <c r="G768" s="5">
        <v>44593</v>
      </c>
      <c r="H768" s="53">
        <v>92</v>
      </c>
      <c r="I768" s="15" t="s">
        <v>259</v>
      </c>
      <c r="J768" s="53" t="s">
        <v>261</v>
      </c>
      <c r="K768" s="53" t="s">
        <v>262</v>
      </c>
      <c r="L768" s="53">
        <v>1</v>
      </c>
    </row>
    <row r="769" spans="1:12">
      <c r="A769" s="53" t="s">
        <v>1520</v>
      </c>
      <c r="D769" s="53" t="s">
        <v>260</v>
      </c>
      <c r="E769" s="14" t="s">
        <v>1625</v>
      </c>
      <c r="F769" s="5">
        <v>41821</v>
      </c>
      <c r="G769" s="5">
        <v>44593</v>
      </c>
      <c r="H769" s="53">
        <v>92</v>
      </c>
      <c r="I769" s="15" t="s">
        <v>259</v>
      </c>
      <c r="J769" s="53" t="s">
        <v>261</v>
      </c>
      <c r="K769" s="53" t="s">
        <v>262</v>
      </c>
      <c r="L769" s="53">
        <v>1</v>
      </c>
    </row>
    <row r="770" spans="1:12">
      <c r="A770" s="53" t="s">
        <v>1521</v>
      </c>
      <c r="D770" s="53" t="s">
        <v>260</v>
      </c>
      <c r="E770" s="14" t="s">
        <v>1626</v>
      </c>
      <c r="F770" s="5">
        <v>41821</v>
      </c>
      <c r="G770" s="5">
        <v>44593</v>
      </c>
      <c r="H770" s="53">
        <v>92</v>
      </c>
      <c r="I770" s="15" t="s">
        <v>259</v>
      </c>
      <c r="J770" s="53" t="s">
        <v>261</v>
      </c>
      <c r="K770" s="53" t="s">
        <v>262</v>
      </c>
      <c r="L770" s="53">
        <v>1</v>
      </c>
    </row>
    <row r="771" spans="1:12">
      <c r="A771" s="53" t="s">
        <v>1522</v>
      </c>
      <c r="D771" s="53" t="s">
        <v>260</v>
      </c>
      <c r="E771" s="14" t="s">
        <v>1627</v>
      </c>
      <c r="F771" s="5">
        <v>41821</v>
      </c>
      <c r="G771" s="5">
        <v>44593</v>
      </c>
      <c r="H771" s="53">
        <v>92</v>
      </c>
      <c r="I771" s="15" t="s">
        <v>259</v>
      </c>
      <c r="J771" s="53" t="s">
        <v>261</v>
      </c>
      <c r="K771" s="53" t="s">
        <v>262</v>
      </c>
      <c r="L771" s="53">
        <v>1</v>
      </c>
    </row>
    <row r="772" spans="1:12">
      <c r="A772" s="53" t="s">
        <v>1523</v>
      </c>
      <c r="D772" s="53" t="s">
        <v>260</v>
      </c>
      <c r="E772" s="14" t="s">
        <v>1628</v>
      </c>
      <c r="F772" s="5">
        <v>41821</v>
      </c>
      <c r="G772" s="5">
        <v>44593</v>
      </c>
      <c r="H772" s="53">
        <v>92</v>
      </c>
      <c r="I772" s="15" t="s">
        <v>259</v>
      </c>
      <c r="J772" s="53" t="s">
        <v>261</v>
      </c>
      <c r="K772" s="53" t="s">
        <v>262</v>
      </c>
      <c r="L772" s="53">
        <v>1</v>
      </c>
    </row>
    <row r="773" spans="1:12">
      <c r="A773" s="53" t="s">
        <v>1524</v>
      </c>
      <c r="D773" s="53" t="s">
        <v>260</v>
      </c>
      <c r="E773" s="14" t="s">
        <v>1629</v>
      </c>
      <c r="F773" s="5">
        <v>41821</v>
      </c>
      <c r="G773" s="5">
        <v>44593</v>
      </c>
      <c r="H773" s="53">
        <v>92</v>
      </c>
      <c r="I773" s="15" t="s">
        <v>259</v>
      </c>
      <c r="J773" s="53" t="s">
        <v>261</v>
      </c>
      <c r="K773" s="53" t="s">
        <v>262</v>
      </c>
      <c r="L773" s="53">
        <v>1</v>
      </c>
    </row>
    <row r="774" spans="1:12">
      <c r="A774" s="53" t="s">
        <v>1525</v>
      </c>
      <c r="D774" s="53" t="s">
        <v>260</v>
      </c>
      <c r="E774" s="14" t="s">
        <v>1630</v>
      </c>
      <c r="F774" s="5">
        <v>41821</v>
      </c>
      <c r="G774" s="5">
        <v>44593</v>
      </c>
      <c r="H774" s="53">
        <v>92</v>
      </c>
      <c r="I774" s="15" t="s">
        <v>259</v>
      </c>
      <c r="J774" s="53" t="s">
        <v>261</v>
      </c>
      <c r="K774" s="53" t="s">
        <v>262</v>
      </c>
      <c r="L774" s="53">
        <v>1</v>
      </c>
    </row>
    <row r="775" spans="1:12">
      <c r="A775" s="53" t="s">
        <v>1526</v>
      </c>
      <c r="D775" s="53" t="s">
        <v>260</v>
      </c>
      <c r="E775" s="14" t="s">
        <v>1631</v>
      </c>
      <c r="F775" s="5">
        <v>41821</v>
      </c>
      <c r="G775" s="5">
        <v>44593</v>
      </c>
      <c r="H775" s="53">
        <v>92</v>
      </c>
      <c r="I775" s="15" t="s">
        <v>259</v>
      </c>
      <c r="J775" s="53" t="s">
        <v>261</v>
      </c>
      <c r="K775" s="53" t="s">
        <v>262</v>
      </c>
      <c r="L775" s="53">
        <v>1</v>
      </c>
    </row>
    <row r="776" spans="1:12">
      <c r="A776" s="53" t="s">
        <v>1527</v>
      </c>
      <c r="D776" s="53" t="s">
        <v>260</v>
      </c>
      <c r="E776" s="14" t="s">
        <v>1632</v>
      </c>
      <c r="F776" s="5">
        <v>41821</v>
      </c>
      <c r="G776" s="5">
        <v>44593</v>
      </c>
      <c r="H776" s="53">
        <v>92</v>
      </c>
      <c r="I776" s="15" t="s">
        <v>259</v>
      </c>
      <c r="J776" s="53" t="s">
        <v>261</v>
      </c>
      <c r="K776" s="53" t="s">
        <v>262</v>
      </c>
      <c r="L776" s="53">
        <v>1</v>
      </c>
    </row>
    <row r="777" spans="1:12">
      <c r="A777" s="53" t="s">
        <v>1528</v>
      </c>
      <c r="D777" s="53" t="s">
        <v>260</v>
      </c>
      <c r="E777" s="14" t="s">
        <v>1633</v>
      </c>
      <c r="F777" s="5">
        <v>41821</v>
      </c>
      <c r="G777" s="5">
        <v>44593</v>
      </c>
      <c r="H777" s="53">
        <v>92</v>
      </c>
      <c r="I777" s="15" t="s">
        <v>259</v>
      </c>
      <c r="J777" s="53" t="s">
        <v>261</v>
      </c>
      <c r="K777" s="53" t="s">
        <v>262</v>
      </c>
      <c r="L777" s="53">
        <v>1</v>
      </c>
    </row>
    <row r="778" spans="1:12">
      <c r="A778" s="53" t="s">
        <v>1529</v>
      </c>
      <c r="D778" s="53" t="s">
        <v>260</v>
      </c>
      <c r="E778" s="14" t="s">
        <v>1634</v>
      </c>
      <c r="F778" s="5">
        <v>41821</v>
      </c>
      <c r="G778" s="5">
        <v>44593</v>
      </c>
      <c r="H778" s="53">
        <v>92</v>
      </c>
      <c r="I778" s="15" t="s">
        <v>259</v>
      </c>
      <c r="J778" s="53" t="s">
        <v>261</v>
      </c>
      <c r="K778" s="53" t="s">
        <v>262</v>
      </c>
      <c r="L778" s="53">
        <v>1</v>
      </c>
    </row>
    <row r="779" spans="1:12">
      <c r="A779" s="53" t="s">
        <v>1530</v>
      </c>
      <c r="D779" s="53" t="s">
        <v>260</v>
      </c>
      <c r="E779" s="14" t="s">
        <v>1635</v>
      </c>
      <c r="F779" s="5">
        <v>41821</v>
      </c>
      <c r="G779" s="5">
        <v>44593</v>
      </c>
      <c r="H779" s="53">
        <v>92</v>
      </c>
      <c r="I779" s="15" t="s">
        <v>259</v>
      </c>
      <c r="J779" s="53" t="s">
        <v>261</v>
      </c>
      <c r="K779" s="53" t="s">
        <v>262</v>
      </c>
      <c r="L779" s="53">
        <v>1</v>
      </c>
    </row>
    <row r="780" spans="1:12">
      <c r="A780" s="53" t="s">
        <v>1531</v>
      </c>
      <c r="D780" s="53" t="s">
        <v>260</v>
      </c>
      <c r="E780" s="14" t="s">
        <v>1636</v>
      </c>
      <c r="F780" s="5">
        <v>41821</v>
      </c>
      <c r="G780" s="5">
        <v>44593</v>
      </c>
      <c r="H780" s="53">
        <v>92</v>
      </c>
      <c r="I780" s="15" t="s">
        <v>259</v>
      </c>
      <c r="J780" s="53" t="s">
        <v>261</v>
      </c>
      <c r="K780" s="53" t="s">
        <v>262</v>
      </c>
      <c r="L780" s="53">
        <v>1</v>
      </c>
    </row>
    <row r="781" spans="1:12">
      <c r="A781" s="53" t="s">
        <v>1532</v>
      </c>
      <c r="D781" s="53" t="s">
        <v>260</v>
      </c>
      <c r="E781" s="14" t="s">
        <v>1637</v>
      </c>
      <c r="F781" s="5">
        <v>41821</v>
      </c>
      <c r="G781" s="5">
        <v>44593</v>
      </c>
      <c r="H781" s="53">
        <v>92</v>
      </c>
      <c r="I781" s="15" t="s">
        <v>259</v>
      </c>
      <c r="J781" s="53" t="s">
        <v>261</v>
      </c>
      <c r="K781" s="53" t="s">
        <v>262</v>
      </c>
      <c r="L781" s="53">
        <v>1</v>
      </c>
    </row>
    <row r="782" spans="1:12">
      <c r="A782" s="53" t="s">
        <v>1533</v>
      </c>
      <c r="D782" s="53" t="s">
        <v>260</v>
      </c>
      <c r="E782" s="14" t="s">
        <v>1638</v>
      </c>
      <c r="F782" s="5">
        <v>41821</v>
      </c>
      <c r="G782" s="5">
        <v>44593</v>
      </c>
      <c r="H782" s="53">
        <v>92</v>
      </c>
      <c r="I782" s="15" t="s">
        <v>259</v>
      </c>
      <c r="J782" s="53" t="s">
        <v>261</v>
      </c>
      <c r="K782" s="53" t="s">
        <v>262</v>
      </c>
      <c r="L782" s="53">
        <v>1</v>
      </c>
    </row>
    <row r="783" spans="1:12">
      <c r="A783" s="53" t="s">
        <v>1534</v>
      </c>
      <c r="D783" s="53" t="s">
        <v>260</v>
      </c>
      <c r="E783" s="14" t="s">
        <v>1639</v>
      </c>
      <c r="F783" s="5">
        <v>41821</v>
      </c>
      <c r="G783" s="5">
        <v>44593</v>
      </c>
      <c r="H783" s="53">
        <v>92</v>
      </c>
      <c r="I783" s="15" t="s">
        <v>259</v>
      </c>
      <c r="J783" s="53" t="s">
        <v>261</v>
      </c>
      <c r="K783" s="53" t="s">
        <v>262</v>
      </c>
      <c r="L783" s="53">
        <v>1</v>
      </c>
    </row>
    <row r="784" spans="1:12">
      <c r="A784" s="53" t="s">
        <v>1535</v>
      </c>
      <c r="D784" s="53" t="s">
        <v>260</v>
      </c>
      <c r="E784" s="14" t="s">
        <v>1640</v>
      </c>
      <c r="F784" s="5">
        <v>41821</v>
      </c>
      <c r="G784" s="5">
        <v>44593</v>
      </c>
      <c r="H784" s="53">
        <v>92</v>
      </c>
      <c r="I784" s="15" t="s">
        <v>259</v>
      </c>
      <c r="J784" s="53" t="s">
        <v>261</v>
      </c>
      <c r="K784" s="53" t="s">
        <v>262</v>
      </c>
      <c r="L784" s="53">
        <v>1</v>
      </c>
    </row>
    <row r="785" spans="1:12">
      <c r="A785" s="53" t="s">
        <v>1536</v>
      </c>
      <c r="D785" s="53" t="s">
        <v>260</v>
      </c>
      <c r="E785" s="14" t="s">
        <v>1641</v>
      </c>
      <c r="F785" s="5">
        <v>41821</v>
      </c>
      <c r="G785" s="5">
        <v>44593</v>
      </c>
      <c r="H785" s="53">
        <v>92</v>
      </c>
      <c r="I785" s="15" t="s">
        <v>259</v>
      </c>
      <c r="J785" s="53" t="s">
        <v>261</v>
      </c>
      <c r="K785" s="53" t="s">
        <v>262</v>
      </c>
      <c r="L785" s="53">
        <v>1</v>
      </c>
    </row>
    <row r="786" spans="1:12">
      <c r="A786" s="53" t="s">
        <v>1537</v>
      </c>
      <c r="D786" s="53" t="s">
        <v>260</v>
      </c>
      <c r="E786" s="14" t="s">
        <v>1642</v>
      </c>
      <c r="F786" s="5">
        <v>41821</v>
      </c>
      <c r="G786" s="5">
        <v>44593</v>
      </c>
      <c r="H786" s="53">
        <v>92</v>
      </c>
      <c r="I786" s="15" t="s">
        <v>259</v>
      </c>
      <c r="J786" s="53" t="s">
        <v>261</v>
      </c>
      <c r="K786" s="53" t="s">
        <v>262</v>
      </c>
      <c r="L786" s="53">
        <v>1</v>
      </c>
    </row>
    <row r="787" spans="1:12">
      <c r="A787" s="53" t="s">
        <v>1538</v>
      </c>
      <c r="D787" s="53" t="s">
        <v>260</v>
      </c>
      <c r="E787" s="14" t="s">
        <v>1643</v>
      </c>
      <c r="F787" s="5">
        <v>41821</v>
      </c>
      <c r="G787" s="5">
        <v>44593</v>
      </c>
      <c r="H787" s="53">
        <v>92</v>
      </c>
      <c r="I787" s="15" t="s">
        <v>259</v>
      </c>
      <c r="J787" s="53" t="s">
        <v>261</v>
      </c>
      <c r="K787" s="53" t="s">
        <v>262</v>
      </c>
      <c r="L787" s="53">
        <v>1</v>
      </c>
    </row>
    <row r="788" spans="1:12">
      <c r="A788" s="53" t="s">
        <v>1539</v>
      </c>
      <c r="D788" s="53" t="s">
        <v>260</v>
      </c>
      <c r="E788" s="14" t="s">
        <v>1644</v>
      </c>
      <c r="F788" s="5">
        <v>41821</v>
      </c>
      <c r="G788" s="5">
        <v>44593</v>
      </c>
      <c r="H788" s="53">
        <v>92</v>
      </c>
      <c r="I788" s="15" t="s">
        <v>259</v>
      </c>
      <c r="J788" s="53" t="s">
        <v>261</v>
      </c>
      <c r="K788" s="53" t="s">
        <v>262</v>
      </c>
      <c r="L788" s="53">
        <v>1</v>
      </c>
    </row>
    <row r="789" spans="1:12">
      <c r="A789" s="53" t="s">
        <v>1540</v>
      </c>
      <c r="D789" s="53" t="s">
        <v>260</v>
      </c>
      <c r="E789" s="14" t="s">
        <v>1645</v>
      </c>
      <c r="F789" s="5">
        <v>41821</v>
      </c>
      <c r="G789" s="5">
        <v>44593</v>
      </c>
      <c r="H789" s="53">
        <v>92</v>
      </c>
      <c r="I789" s="15" t="s">
        <v>259</v>
      </c>
      <c r="J789" s="53" t="s">
        <v>261</v>
      </c>
      <c r="K789" s="53" t="s">
        <v>262</v>
      </c>
      <c r="L789" s="53">
        <v>1</v>
      </c>
    </row>
    <row r="790" spans="1:12">
      <c r="A790" s="53" t="s">
        <v>1541</v>
      </c>
      <c r="D790" s="53" t="s">
        <v>260</v>
      </c>
      <c r="E790" s="14" t="s">
        <v>1646</v>
      </c>
      <c r="F790" s="5">
        <v>41821</v>
      </c>
      <c r="G790" s="5">
        <v>44593</v>
      </c>
      <c r="H790" s="53">
        <v>92</v>
      </c>
      <c r="I790" s="15" t="s">
        <v>259</v>
      </c>
      <c r="J790" s="53" t="s">
        <v>261</v>
      </c>
      <c r="K790" s="53" t="s">
        <v>262</v>
      </c>
      <c r="L790" s="53">
        <v>1</v>
      </c>
    </row>
    <row r="791" spans="1:12">
      <c r="A791" s="53" t="s">
        <v>1542</v>
      </c>
      <c r="D791" s="53" t="s">
        <v>260</v>
      </c>
      <c r="E791" s="14" t="s">
        <v>1647</v>
      </c>
      <c r="F791" s="5">
        <v>41821</v>
      </c>
      <c r="G791" s="5">
        <v>44593</v>
      </c>
      <c r="H791" s="53">
        <v>92</v>
      </c>
      <c r="I791" s="15" t="s">
        <v>259</v>
      </c>
      <c r="J791" s="53" t="s">
        <v>261</v>
      </c>
      <c r="K791" s="53" t="s">
        <v>262</v>
      </c>
      <c r="L791" s="53">
        <v>1</v>
      </c>
    </row>
    <row r="792" spans="1:12">
      <c r="A792" s="53" t="s">
        <v>1543</v>
      </c>
      <c r="D792" s="53" t="s">
        <v>260</v>
      </c>
      <c r="E792" s="14" t="s">
        <v>1648</v>
      </c>
      <c r="F792" s="5">
        <v>41821</v>
      </c>
      <c r="G792" s="5">
        <v>44593</v>
      </c>
      <c r="H792" s="53">
        <v>92</v>
      </c>
      <c r="I792" s="15" t="s">
        <v>259</v>
      </c>
      <c r="J792" s="53" t="s">
        <v>261</v>
      </c>
      <c r="K792" s="53" t="s">
        <v>262</v>
      </c>
      <c r="L792" s="53">
        <v>1</v>
      </c>
    </row>
    <row r="793" spans="1:12">
      <c r="A793" s="53" t="s">
        <v>1544</v>
      </c>
      <c r="D793" s="53" t="s">
        <v>260</v>
      </c>
      <c r="E793" s="14" t="s">
        <v>1649</v>
      </c>
      <c r="F793" s="5">
        <v>41821</v>
      </c>
      <c r="G793" s="5">
        <v>44593</v>
      </c>
      <c r="H793" s="53">
        <v>92</v>
      </c>
      <c r="I793" s="15" t="s">
        <v>259</v>
      </c>
      <c r="J793" s="53" t="s">
        <v>261</v>
      </c>
      <c r="K793" s="53" t="s">
        <v>262</v>
      </c>
      <c r="L793" s="53">
        <v>1</v>
      </c>
    </row>
    <row r="794" spans="1:12">
      <c r="A794" s="53" t="s">
        <v>1545</v>
      </c>
      <c r="D794" s="53" t="s">
        <v>260</v>
      </c>
      <c r="E794" s="14" t="s">
        <v>1650</v>
      </c>
      <c r="F794" s="5">
        <v>41821</v>
      </c>
      <c r="G794" s="5">
        <v>44593</v>
      </c>
      <c r="H794" s="53">
        <v>92</v>
      </c>
      <c r="I794" s="15" t="s">
        <v>259</v>
      </c>
      <c r="J794" s="53" t="s">
        <v>261</v>
      </c>
      <c r="K794" s="53" t="s">
        <v>262</v>
      </c>
      <c r="L794" s="53">
        <v>1</v>
      </c>
    </row>
    <row r="795" spans="1:12">
      <c r="A795" s="53" t="s">
        <v>1546</v>
      </c>
      <c r="D795" s="53" t="s">
        <v>260</v>
      </c>
      <c r="E795" s="14" t="s">
        <v>1651</v>
      </c>
      <c r="F795" s="5">
        <v>41821</v>
      </c>
      <c r="G795" s="5">
        <v>44593</v>
      </c>
      <c r="H795" s="53">
        <v>92</v>
      </c>
      <c r="I795" s="15" t="s">
        <v>259</v>
      </c>
      <c r="J795" s="53" t="s">
        <v>261</v>
      </c>
      <c r="K795" s="53" t="s">
        <v>262</v>
      </c>
      <c r="L795" s="53">
        <v>1</v>
      </c>
    </row>
    <row r="796" spans="1:12">
      <c r="A796" s="53" t="s">
        <v>1547</v>
      </c>
      <c r="D796" s="53" t="s">
        <v>260</v>
      </c>
      <c r="E796" s="14" t="s">
        <v>1652</v>
      </c>
      <c r="F796" s="5">
        <v>41821</v>
      </c>
      <c r="G796" s="5">
        <v>44593</v>
      </c>
      <c r="H796" s="53">
        <v>92</v>
      </c>
      <c r="I796" s="15" t="s">
        <v>259</v>
      </c>
      <c r="J796" s="53" t="s">
        <v>261</v>
      </c>
      <c r="K796" s="53" t="s">
        <v>262</v>
      </c>
      <c r="L796" s="53">
        <v>1</v>
      </c>
    </row>
    <row r="797" spans="1:12">
      <c r="A797" s="53" t="s">
        <v>1548</v>
      </c>
      <c r="D797" s="53" t="s">
        <v>260</v>
      </c>
      <c r="E797" s="14" t="s">
        <v>1653</v>
      </c>
      <c r="F797" s="5">
        <v>41821</v>
      </c>
      <c r="G797" s="5">
        <v>44593</v>
      </c>
      <c r="H797" s="53">
        <v>92</v>
      </c>
      <c r="I797" s="15" t="s">
        <v>259</v>
      </c>
      <c r="J797" s="53" t="s">
        <v>261</v>
      </c>
      <c r="K797" s="53" t="s">
        <v>262</v>
      </c>
      <c r="L797" s="53">
        <v>1</v>
      </c>
    </row>
    <row r="798" spans="1:12">
      <c r="A798" s="53" t="s">
        <v>1549</v>
      </c>
      <c r="D798" s="53" t="s">
        <v>260</v>
      </c>
      <c r="E798" s="14" t="s">
        <v>1654</v>
      </c>
      <c r="F798" s="5">
        <v>41821</v>
      </c>
      <c r="G798" s="5">
        <v>44593</v>
      </c>
      <c r="H798" s="53">
        <v>92</v>
      </c>
      <c r="I798" s="15" t="s">
        <v>259</v>
      </c>
      <c r="J798" s="53" t="s">
        <v>261</v>
      </c>
      <c r="K798" s="53" t="s">
        <v>262</v>
      </c>
      <c r="L798" s="53">
        <v>1</v>
      </c>
    </row>
    <row r="799" spans="1:12">
      <c r="A799" s="53" t="s">
        <v>1550</v>
      </c>
      <c r="D799" s="53" t="s">
        <v>260</v>
      </c>
      <c r="E799" s="14" t="s">
        <v>1655</v>
      </c>
      <c r="F799" s="5">
        <v>41821</v>
      </c>
      <c r="G799" s="5">
        <v>44593</v>
      </c>
      <c r="H799" s="53">
        <v>92</v>
      </c>
      <c r="I799" s="15" t="s">
        <v>259</v>
      </c>
      <c r="J799" s="53" t="s">
        <v>261</v>
      </c>
      <c r="K799" s="53" t="s">
        <v>262</v>
      </c>
      <c r="L799" s="53">
        <v>1</v>
      </c>
    </row>
    <row r="800" spans="1:12">
      <c r="A800" s="53" t="s">
        <v>1551</v>
      </c>
      <c r="D800" s="53" t="s">
        <v>260</v>
      </c>
      <c r="E800" s="14" t="s">
        <v>1656</v>
      </c>
      <c r="F800" s="5">
        <v>41821</v>
      </c>
      <c r="G800" s="5">
        <v>44593</v>
      </c>
      <c r="H800" s="53">
        <v>92</v>
      </c>
      <c r="I800" s="15" t="s">
        <v>259</v>
      </c>
      <c r="J800" s="53" t="s">
        <v>261</v>
      </c>
      <c r="K800" s="53" t="s">
        <v>262</v>
      </c>
      <c r="L800" s="53">
        <v>1</v>
      </c>
    </row>
    <row r="801" spans="1:12">
      <c r="A801" s="53" t="s">
        <v>1552</v>
      </c>
      <c r="D801" s="53" t="s">
        <v>260</v>
      </c>
      <c r="E801" s="14" t="s">
        <v>1657</v>
      </c>
      <c r="F801" s="5">
        <v>41821</v>
      </c>
      <c r="G801" s="5">
        <v>44593</v>
      </c>
      <c r="H801" s="53">
        <v>92</v>
      </c>
      <c r="I801" s="15" t="s">
        <v>259</v>
      </c>
      <c r="J801" s="53" t="s">
        <v>261</v>
      </c>
      <c r="K801" s="53" t="s">
        <v>262</v>
      </c>
      <c r="L801" s="53">
        <v>1</v>
      </c>
    </row>
    <row r="802" spans="1:12">
      <c r="A802" s="53" t="s">
        <v>1553</v>
      </c>
      <c r="D802" s="53" t="s">
        <v>260</v>
      </c>
      <c r="E802" s="14" t="s">
        <v>1658</v>
      </c>
      <c r="F802" s="5">
        <v>41821</v>
      </c>
      <c r="G802" s="5">
        <v>44593</v>
      </c>
      <c r="H802" s="53">
        <v>92</v>
      </c>
      <c r="I802" s="15" t="s">
        <v>259</v>
      </c>
      <c r="J802" s="53" t="s">
        <v>261</v>
      </c>
      <c r="K802" s="53" t="s">
        <v>262</v>
      </c>
      <c r="L802" s="53">
        <v>1</v>
      </c>
    </row>
    <row r="803" spans="1:12">
      <c r="A803" s="53" t="s">
        <v>1554</v>
      </c>
      <c r="D803" s="53" t="s">
        <v>260</v>
      </c>
      <c r="E803" s="14" t="s">
        <v>1659</v>
      </c>
      <c r="F803" s="5">
        <v>41821</v>
      </c>
      <c r="G803" s="5">
        <v>44593</v>
      </c>
      <c r="H803" s="53">
        <v>92</v>
      </c>
      <c r="I803" s="15" t="s">
        <v>259</v>
      </c>
      <c r="J803" s="53" t="s">
        <v>261</v>
      </c>
      <c r="K803" s="53" t="s">
        <v>262</v>
      </c>
      <c r="L803" s="53">
        <v>1</v>
      </c>
    </row>
    <row r="804" spans="1:12">
      <c r="A804" s="53" t="s">
        <v>1555</v>
      </c>
      <c r="D804" s="53" t="s">
        <v>260</v>
      </c>
      <c r="E804" s="14" t="s">
        <v>1660</v>
      </c>
      <c r="F804" s="5">
        <v>41821</v>
      </c>
      <c r="G804" s="5">
        <v>44593</v>
      </c>
      <c r="H804" s="53">
        <v>92</v>
      </c>
      <c r="I804" s="15" t="s">
        <v>259</v>
      </c>
      <c r="J804" s="53" t="s">
        <v>261</v>
      </c>
      <c r="K804" s="53" t="s">
        <v>262</v>
      </c>
      <c r="L804" s="53">
        <v>1</v>
      </c>
    </row>
    <row r="805" spans="1:12">
      <c r="A805" s="53" t="s">
        <v>1556</v>
      </c>
      <c r="D805" s="53" t="s">
        <v>260</v>
      </c>
      <c r="E805" s="14" t="s">
        <v>1661</v>
      </c>
      <c r="F805" s="5">
        <v>41821</v>
      </c>
      <c r="G805" s="5">
        <v>44593</v>
      </c>
      <c r="H805" s="53">
        <v>92</v>
      </c>
      <c r="I805" s="15" t="s">
        <v>259</v>
      </c>
      <c r="J805" s="53" t="s">
        <v>261</v>
      </c>
      <c r="K805" s="53" t="s">
        <v>262</v>
      </c>
      <c r="L805" s="53">
        <v>1</v>
      </c>
    </row>
    <row r="806" spans="1:12">
      <c r="A806" s="53" t="s">
        <v>1557</v>
      </c>
      <c r="D806" s="53" t="s">
        <v>260</v>
      </c>
      <c r="E806" s="14" t="s">
        <v>1662</v>
      </c>
      <c r="F806" s="5">
        <v>41821</v>
      </c>
      <c r="G806" s="5">
        <v>44593</v>
      </c>
      <c r="H806" s="53">
        <v>92</v>
      </c>
      <c r="I806" s="15" t="s">
        <v>259</v>
      </c>
      <c r="J806" s="53" t="s">
        <v>261</v>
      </c>
      <c r="K806" s="53" t="s">
        <v>262</v>
      </c>
      <c r="L806" s="53">
        <v>1</v>
      </c>
    </row>
    <row r="807" spans="1:12">
      <c r="A807" s="53" t="s">
        <v>1558</v>
      </c>
      <c r="D807" s="53" t="s">
        <v>260</v>
      </c>
      <c r="E807" s="14" t="s">
        <v>1663</v>
      </c>
      <c r="F807" s="5">
        <v>41821</v>
      </c>
      <c r="G807" s="5">
        <v>44593</v>
      </c>
      <c r="H807" s="53">
        <v>92</v>
      </c>
      <c r="I807" s="15" t="s">
        <v>259</v>
      </c>
      <c r="J807" s="53" t="s">
        <v>261</v>
      </c>
      <c r="K807" s="53" t="s">
        <v>262</v>
      </c>
      <c r="L807" s="53">
        <v>1</v>
      </c>
    </row>
    <row r="808" spans="1:12">
      <c r="A808" s="53" t="s">
        <v>1559</v>
      </c>
      <c r="D808" s="53" t="s">
        <v>260</v>
      </c>
      <c r="E808" s="14" t="s">
        <v>1664</v>
      </c>
      <c r="F808" s="5">
        <v>41821</v>
      </c>
      <c r="G808" s="5">
        <v>44593</v>
      </c>
      <c r="H808" s="53">
        <v>92</v>
      </c>
      <c r="I808" s="15" t="s">
        <v>259</v>
      </c>
      <c r="J808" s="53" t="s">
        <v>261</v>
      </c>
      <c r="K808" s="53" t="s">
        <v>262</v>
      </c>
      <c r="L808" s="53">
        <v>1</v>
      </c>
    </row>
    <row r="809" spans="1:12">
      <c r="A809" s="53" t="s">
        <v>1560</v>
      </c>
      <c r="D809" s="53" t="s">
        <v>260</v>
      </c>
      <c r="E809" s="14" t="s">
        <v>1665</v>
      </c>
      <c r="F809" s="5">
        <v>41821</v>
      </c>
      <c r="G809" s="5">
        <v>44593</v>
      </c>
      <c r="H809" s="53">
        <v>92</v>
      </c>
      <c r="I809" s="15" t="s">
        <v>259</v>
      </c>
      <c r="J809" s="53" t="s">
        <v>261</v>
      </c>
      <c r="K809" s="53" t="s">
        <v>262</v>
      </c>
      <c r="L809" s="53">
        <v>1</v>
      </c>
    </row>
    <row r="810" spans="1:12">
      <c r="A810" s="53" t="s">
        <v>1561</v>
      </c>
      <c r="D810" s="53" t="s">
        <v>260</v>
      </c>
      <c r="E810" s="14" t="s">
        <v>1666</v>
      </c>
      <c r="F810" s="5">
        <v>41821</v>
      </c>
      <c r="G810" s="5">
        <v>44593</v>
      </c>
      <c r="H810" s="53">
        <v>92</v>
      </c>
      <c r="I810" s="15" t="s">
        <v>259</v>
      </c>
      <c r="J810" s="53" t="s">
        <v>261</v>
      </c>
      <c r="K810" s="53" t="s">
        <v>262</v>
      </c>
      <c r="L810" s="53">
        <v>1</v>
      </c>
    </row>
    <row r="811" spans="1:12">
      <c r="A811" s="53" t="s">
        <v>1562</v>
      </c>
      <c r="D811" s="53" t="s">
        <v>260</v>
      </c>
      <c r="E811" s="14" t="s">
        <v>1667</v>
      </c>
      <c r="F811" s="5">
        <v>41821</v>
      </c>
      <c r="G811" s="5">
        <v>44593</v>
      </c>
      <c r="H811" s="53">
        <v>92</v>
      </c>
      <c r="I811" s="15" t="s">
        <v>259</v>
      </c>
      <c r="J811" s="53" t="s">
        <v>261</v>
      </c>
      <c r="K811" s="53" t="s">
        <v>262</v>
      </c>
      <c r="L811" s="53">
        <v>1</v>
      </c>
    </row>
    <row r="812" spans="1:12">
      <c r="A812" s="53" t="s">
        <v>1563</v>
      </c>
      <c r="D812" s="53" t="s">
        <v>260</v>
      </c>
      <c r="E812" s="14" t="s">
        <v>1668</v>
      </c>
      <c r="F812" s="5">
        <v>41821</v>
      </c>
      <c r="G812" s="5">
        <v>44593</v>
      </c>
      <c r="H812" s="53">
        <v>92</v>
      </c>
      <c r="I812" s="15" t="s">
        <v>259</v>
      </c>
      <c r="J812" s="53" t="s">
        <v>261</v>
      </c>
      <c r="K812" s="53" t="s">
        <v>262</v>
      </c>
      <c r="L812" s="53">
        <v>1</v>
      </c>
    </row>
    <row r="813" spans="1:12">
      <c r="A813" s="53" t="s">
        <v>1564</v>
      </c>
      <c r="D813" s="53" t="s">
        <v>260</v>
      </c>
      <c r="E813" s="14" t="s">
        <v>1669</v>
      </c>
      <c r="F813" s="5">
        <v>41821</v>
      </c>
      <c r="G813" s="5">
        <v>44593</v>
      </c>
      <c r="H813" s="53">
        <v>92</v>
      </c>
      <c r="I813" s="15" t="s">
        <v>259</v>
      </c>
      <c r="J813" s="53" t="s">
        <v>261</v>
      </c>
      <c r="K813" s="53" t="s">
        <v>262</v>
      </c>
      <c r="L813" s="53">
        <v>1</v>
      </c>
    </row>
    <row r="814" spans="1:12">
      <c r="A814" s="53" t="s">
        <v>1565</v>
      </c>
      <c r="D814" s="53" t="s">
        <v>260</v>
      </c>
      <c r="E814" s="14" t="s">
        <v>1670</v>
      </c>
      <c r="F814" s="5">
        <v>41821</v>
      </c>
      <c r="G814" s="5">
        <v>44593</v>
      </c>
      <c r="H814" s="53">
        <v>92</v>
      </c>
      <c r="I814" s="15" t="s">
        <v>259</v>
      </c>
      <c r="J814" s="53" t="s">
        <v>261</v>
      </c>
      <c r="K814" s="53" t="s">
        <v>262</v>
      </c>
      <c r="L814" s="53">
        <v>1</v>
      </c>
    </row>
    <row r="815" spans="1:12">
      <c r="A815" s="53" t="s">
        <v>1566</v>
      </c>
      <c r="D815" s="53" t="s">
        <v>260</v>
      </c>
      <c r="E815" s="14" t="s">
        <v>1671</v>
      </c>
      <c r="F815" s="5">
        <v>41821</v>
      </c>
      <c r="G815" s="5">
        <v>44593</v>
      </c>
      <c r="H815" s="53">
        <v>92</v>
      </c>
      <c r="I815" s="15" t="s">
        <v>259</v>
      </c>
      <c r="J815" s="53" t="s">
        <v>261</v>
      </c>
      <c r="K815" s="53" t="s">
        <v>262</v>
      </c>
      <c r="L815" s="53">
        <v>1</v>
      </c>
    </row>
    <row r="816" spans="1:12">
      <c r="A816" s="53" t="s">
        <v>1567</v>
      </c>
      <c r="D816" s="53" t="s">
        <v>260</v>
      </c>
      <c r="E816" s="14" t="s">
        <v>1672</v>
      </c>
      <c r="F816" s="5">
        <v>41821</v>
      </c>
      <c r="G816" s="5">
        <v>44593</v>
      </c>
      <c r="H816" s="53">
        <v>92</v>
      </c>
      <c r="I816" s="15" t="s">
        <v>259</v>
      </c>
      <c r="J816" s="53" t="s">
        <v>261</v>
      </c>
      <c r="K816" s="53" t="s">
        <v>262</v>
      </c>
      <c r="L816" s="53">
        <v>1</v>
      </c>
    </row>
    <row r="817" spans="1:12">
      <c r="A817" s="53" t="s">
        <v>1568</v>
      </c>
      <c r="D817" s="53" t="s">
        <v>260</v>
      </c>
      <c r="E817" s="14" t="s">
        <v>1673</v>
      </c>
      <c r="F817" s="5">
        <v>41821</v>
      </c>
      <c r="G817" s="5">
        <v>44593</v>
      </c>
      <c r="H817" s="53">
        <v>92</v>
      </c>
      <c r="I817" s="15" t="s">
        <v>259</v>
      </c>
      <c r="J817" s="53" t="s">
        <v>261</v>
      </c>
      <c r="K817" s="53" t="s">
        <v>262</v>
      </c>
      <c r="L817" s="53">
        <v>1</v>
      </c>
    </row>
    <row r="818" spans="1:12">
      <c r="A818" s="53" t="s">
        <v>1569</v>
      </c>
      <c r="D818" s="53" t="s">
        <v>260</v>
      </c>
      <c r="E818" s="14" t="s">
        <v>1674</v>
      </c>
      <c r="F818" s="5">
        <v>41821</v>
      </c>
      <c r="G818" s="5">
        <v>44593</v>
      </c>
      <c r="H818" s="53">
        <v>92</v>
      </c>
      <c r="I818" s="15" t="s">
        <v>259</v>
      </c>
      <c r="J818" s="53" t="s">
        <v>261</v>
      </c>
      <c r="K818" s="53" t="s">
        <v>262</v>
      </c>
      <c r="L818" s="53">
        <v>1</v>
      </c>
    </row>
    <row r="819" spans="1:12">
      <c r="A819" s="53" t="s">
        <v>1570</v>
      </c>
      <c r="D819" s="53" t="s">
        <v>260</v>
      </c>
      <c r="E819" s="14" t="s">
        <v>1675</v>
      </c>
      <c r="F819" s="5">
        <v>41821</v>
      </c>
      <c r="G819" s="5">
        <v>44593</v>
      </c>
      <c r="H819" s="53">
        <v>92</v>
      </c>
      <c r="I819" s="15" t="s">
        <v>259</v>
      </c>
      <c r="J819" s="53" t="s">
        <v>261</v>
      </c>
      <c r="K819" s="53" t="s">
        <v>262</v>
      </c>
      <c r="L819" s="53">
        <v>1</v>
      </c>
    </row>
    <row r="820" spans="1:12">
      <c r="A820" s="53" t="s">
        <v>1571</v>
      </c>
      <c r="D820" s="53" t="s">
        <v>260</v>
      </c>
      <c r="E820" s="14" t="s">
        <v>1676</v>
      </c>
      <c r="F820" s="5">
        <v>41821</v>
      </c>
      <c r="G820" s="5">
        <v>44593</v>
      </c>
      <c r="H820" s="53">
        <v>92</v>
      </c>
      <c r="I820" s="15" t="s">
        <v>259</v>
      </c>
      <c r="J820" s="53" t="s">
        <v>261</v>
      </c>
      <c r="K820" s="53" t="s">
        <v>262</v>
      </c>
      <c r="L820" s="53">
        <v>1</v>
      </c>
    </row>
    <row r="821" spans="1:12">
      <c r="A821" s="53" t="s">
        <v>1572</v>
      </c>
      <c r="D821" s="53" t="s">
        <v>260</v>
      </c>
      <c r="E821" s="14" t="s">
        <v>1677</v>
      </c>
      <c r="F821" s="5">
        <v>41821</v>
      </c>
      <c r="G821" s="5">
        <v>44593</v>
      </c>
      <c r="H821" s="53">
        <v>92</v>
      </c>
      <c r="I821" s="15" t="s">
        <v>259</v>
      </c>
      <c r="J821" s="53" t="s">
        <v>261</v>
      </c>
      <c r="K821" s="53" t="s">
        <v>262</v>
      </c>
      <c r="L821" s="53">
        <v>1</v>
      </c>
    </row>
    <row r="822" spans="1:12">
      <c r="A822" s="53" t="s">
        <v>1573</v>
      </c>
      <c r="D822" s="53" t="s">
        <v>260</v>
      </c>
      <c r="E822" s="14" t="s">
        <v>1678</v>
      </c>
      <c r="F822" s="5">
        <v>41821</v>
      </c>
      <c r="G822" s="5">
        <v>44593</v>
      </c>
      <c r="H822" s="53">
        <v>92</v>
      </c>
      <c r="I822" s="15" t="s">
        <v>259</v>
      </c>
      <c r="J822" s="53" t="s">
        <v>261</v>
      </c>
      <c r="K822" s="53" t="s">
        <v>262</v>
      </c>
      <c r="L822" s="53">
        <v>1</v>
      </c>
    </row>
    <row r="823" spans="1:12">
      <c r="A823" s="53" t="s">
        <v>1574</v>
      </c>
      <c r="D823" s="53" t="s">
        <v>260</v>
      </c>
      <c r="E823" s="14" t="s">
        <v>1679</v>
      </c>
      <c r="F823" s="5">
        <v>41821</v>
      </c>
      <c r="G823" s="5">
        <v>44593</v>
      </c>
      <c r="H823" s="53">
        <v>92</v>
      </c>
      <c r="I823" s="15" t="s">
        <v>259</v>
      </c>
      <c r="J823" s="53" t="s">
        <v>261</v>
      </c>
      <c r="K823" s="53" t="s">
        <v>262</v>
      </c>
      <c r="L823" s="53">
        <v>1</v>
      </c>
    </row>
    <row r="824" spans="1:12">
      <c r="A824" s="53" t="s">
        <v>1575</v>
      </c>
      <c r="D824" s="53" t="s">
        <v>260</v>
      </c>
      <c r="E824" s="14" t="s">
        <v>1680</v>
      </c>
      <c r="F824" s="5">
        <v>41821</v>
      </c>
      <c r="G824" s="5">
        <v>44593</v>
      </c>
      <c r="H824" s="53">
        <v>92</v>
      </c>
      <c r="I824" s="15" t="s">
        <v>259</v>
      </c>
      <c r="J824" s="53" t="s">
        <v>261</v>
      </c>
      <c r="K824" s="53" t="s">
        <v>262</v>
      </c>
      <c r="L824" s="53">
        <v>1</v>
      </c>
    </row>
    <row r="825" spans="1:12">
      <c r="A825" s="53" t="s">
        <v>1576</v>
      </c>
      <c r="D825" s="53" t="s">
        <v>260</v>
      </c>
      <c r="E825" s="14" t="s">
        <v>1681</v>
      </c>
      <c r="F825" s="5">
        <v>41821</v>
      </c>
      <c r="G825" s="5">
        <v>44593</v>
      </c>
      <c r="H825" s="53">
        <v>92</v>
      </c>
      <c r="I825" s="15" t="s">
        <v>259</v>
      </c>
      <c r="J825" s="53" t="s">
        <v>261</v>
      </c>
      <c r="K825" s="53" t="s">
        <v>262</v>
      </c>
      <c r="L825" s="53">
        <v>1</v>
      </c>
    </row>
    <row r="826" spans="1:12">
      <c r="A826" s="53" t="s">
        <v>1577</v>
      </c>
      <c r="D826" s="53" t="s">
        <v>260</v>
      </c>
      <c r="E826" s="14" t="s">
        <v>1682</v>
      </c>
      <c r="F826" s="5">
        <v>41821</v>
      </c>
      <c r="G826" s="5">
        <v>44593</v>
      </c>
      <c r="H826" s="53">
        <v>92</v>
      </c>
      <c r="I826" s="15" t="s">
        <v>259</v>
      </c>
      <c r="J826" s="53" t="s">
        <v>261</v>
      </c>
      <c r="K826" s="53" t="s">
        <v>262</v>
      </c>
      <c r="L826" s="53">
        <v>1</v>
      </c>
    </row>
    <row r="827" spans="1:12">
      <c r="A827" s="53" t="s">
        <v>1578</v>
      </c>
      <c r="D827" s="53" t="s">
        <v>260</v>
      </c>
      <c r="E827" s="14" t="s">
        <v>1683</v>
      </c>
      <c r="F827" s="5">
        <v>41821</v>
      </c>
      <c r="G827" s="5">
        <v>44593</v>
      </c>
      <c r="H827" s="53">
        <v>92</v>
      </c>
      <c r="I827" s="15" t="s">
        <v>259</v>
      </c>
      <c r="J827" s="53" t="s">
        <v>261</v>
      </c>
      <c r="K827" s="53" t="s">
        <v>262</v>
      </c>
      <c r="L827" s="53">
        <v>1</v>
      </c>
    </row>
    <row r="828" spans="1:12">
      <c r="A828" s="53" t="s">
        <v>1579</v>
      </c>
      <c r="D828" s="53" t="s">
        <v>260</v>
      </c>
      <c r="E828" s="14" t="s">
        <v>1684</v>
      </c>
      <c r="F828" s="5">
        <v>41821</v>
      </c>
      <c r="G828" s="5">
        <v>44593</v>
      </c>
      <c r="H828" s="53">
        <v>92</v>
      </c>
      <c r="I828" s="15" t="s">
        <v>259</v>
      </c>
      <c r="J828" s="53" t="s">
        <v>261</v>
      </c>
      <c r="K828" s="53" t="s">
        <v>262</v>
      </c>
      <c r="L828" s="53">
        <v>1</v>
      </c>
    </row>
    <row r="829" spans="1:12">
      <c r="A829" s="53" t="s">
        <v>1580</v>
      </c>
      <c r="D829" s="53" t="s">
        <v>260</v>
      </c>
      <c r="E829" s="14" t="s">
        <v>1685</v>
      </c>
      <c r="F829" s="5">
        <v>41821</v>
      </c>
      <c r="G829" s="5">
        <v>44593</v>
      </c>
      <c r="H829" s="53">
        <v>92</v>
      </c>
      <c r="I829" s="15" t="s">
        <v>259</v>
      </c>
      <c r="J829" s="53" t="s">
        <v>261</v>
      </c>
      <c r="K829" s="53" t="s">
        <v>262</v>
      </c>
      <c r="L829" s="53">
        <v>1</v>
      </c>
    </row>
    <row r="830" spans="1:12">
      <c r="A830" s="53" t="s">
        <v>1581</v>
      </c>
      <c r="D830" s="53" t="s">
        <v>260</v>
      </c>
      <c r="E830" s="14" t="s">
        <v>1686</v>
      </c>
      <c r="F830" s="5">
        <v>41821</v>
      </c>
      <c r="G830" s="5">
        <v>44593</v>
      </c>
      <c r="H830" s="53">
        <v>92</v>
      </c>
      <c r="I830" s="15" t="s">
        <v>259</v>
      </c>
      <c r="J830" s="53" t="s">
        <v>261</v>
      </c>
      <c r="K830" s="53" t="s">
        <v>262</v>
      </c>
      <c r="L830" s="53">
        <v>1</v>
      </c>
    </row>
    <row r="831" spans="1:12">
      <c r="A831" s="53" t="s">
        <v>1582</v>
      </c>
      <c r="D831" s="53" t="s">
        <v>260</v>
      </c>
      <c r="E831" s="14" t="s">
        <v>1687</v>
      </c>
      <c r="F831" s="5">
        <v>41821</v>
      </c>
      <c r="G831" s="5">
        <v>44593</v>
      </c>
      <c r="H831" s="53">
        <v>92</v>
      </c>
      <c r="I831" s="15" t="s">
        <v>259</v>
      </c>
      <c r="J831" s="53" t="s">
        <v>261</v>
      </c>
      <c r="K831" s="53" t="s">
        <v>262</v>
      </c>
      <c r="L831" s="53">
        <v>1</v>
      </c>
    </row>
    <row r="832" spans="1:12">
      <c r="A832" s="53" t="s">
        <v>1583</v>
      </c>
      <c r="D832" s="53" t="s">
        <v>260</v>
      </c>
      <c r="E832" s="14" t="s">
        <v>1688</v>
      </c>
      <c r="F832" s="5">
        <v>41821</v>
      </c>
      <c r="G832" s="5">
        <v>44593</v>
      </c>
      <c r="H832" s="53">
        <v>92</v>
      </c>
      <c r="I832" s="15" t="s">
        <v>259</v>
      </c>
      <c r="J832" s="53" t="s">
        <v>261</v>
      </c>
      <c r="K832" s="53" t="s">
        <v>262</v>
      </c>
      <c r="L832" s="53">
        <v>1</v>
      </c>
    </row>
    <row r="833" spans="1:12">
      <c r="A833" s="53" t="s">
        <v>1584</v>
      </c>
      <c r="D833" s="53" t="s">
        <v>260</v>
      </c>
      <c r="E833" s="14" t="s">
        <v>1689</v>
      </c>
      <c r="F833" s="5">
        <v>41821</v>
      </c>
      <c r="G833" s="5">
        <v>44593</v>
      </c>
      <c r="H833" s="53">
        <v>92</v>
      </c>
      <c r="I833" s="15" t="s">
        <v>259</v>
      </c>
      <c r="J833" s="53" t="s">
        <v>261</v>
      </c>
      <c r="K833" s="53" t="s">
        <v>262</v>
      </c>
      <c r="L833" s="53">
        <v>1</v>
      </c>
    </row>
    <row r="834" spans="1:12">
      <c r="A834" s="53" t="s">
        <v>1585</v>
      </c>
      <c r="D834" s="53" t="s">
        <v>260</v>
      </c>
      <c r="E834" s="14" t="s">
        <v>1690</v>
      </c>
      <c r="F834" s="5">
        <v>41821</v>
      </c>
      <c r="G834" s="5">
        <v>44593</v>
      </c>
      <c r="H834" s="53">
        <v>92</v>
      </c>
      <c r="I834" s="15" t="s">
        <v>259</v>
      </c>
      <c r="J834" s="53" t="s">
        <v>261</v>
      </c>
      <c r="K834" s="53" t="s">
        <v>262</v>
      </c>
      <c r="L834" s="53">
        <v>1</v>
      </c>
    </row>
    <row r="835" spans="1:12">
      <c r="A835" s="53" t="s">
        <v>1586</v>
      </c>
      <c r="D835" s="53" t="s">
        <v>260</v>
      </c>
      <c r="E835" s="14" t="s">
        <v>1691</v>
      </c>
      <c r="F835" s="5">
        <v>41821</v>
      </c>
      <c r="G835" s="5">
        <v>44593</v>
      </c>
      <c r="H835" s="53">
        <v>92</v>
      </c>
      <c r="I835" s="15" t="s">
        <v>259</v>
      </c>
      <c r="J835" s="53" t="s">
        <v>261</v>
      </c>
      <c r="K835" s="53" t="s">
        <v>262</v>
      </c>
      <c r="L835" s="53">
        <v>1</v>
      </c>
    </row>
    <row r="836" spans="1:12">
      <c r="A836" s="53" t="s">
        <v>1587</v>
      </c>
      <c r="D836" s="53" t="s">
        <v>260</v>
      </c>
      <c r="E836" s="14" t="s">
        <v>1692</v>
      </c>
      <c r="F836" s="5">
        <v>41821</v>
      </c>
      <c r="G836" s="5">
        <v>44593</v>
      </c>
      <c r="H836" s="53">
        <v>92</v>
      </c>
      <c r="I836" s="15" t="s">
        <v>259</v>
      </c>
      <c r="J836" s="53" t="s">
        <v>261</v>
      </c>
      <c r="K836" s="53" t="s">
        <v>262</v>
      </c>
      <c r="L836" s="53">
        <v>1</v>
      </c>
    </row>
    <row r="837" spans="1:12">
      <c r="A837" s="53" t="s">
        <v>1588</v>
      </c>
      <c r="D837" s="53" t="s">
        <v>260</v>
      </c>
      <c r="E837" s="14" t="s">
        <v>1693</v>
      </c>
      <c r="F837" s="5">
        <v>41821</v>
      </c>
      <c r="G837" s="5">
        <v>44593</v>
      </c>
      <c r="H837" s="53">
        <v>92</v>
      </c>
      <c r="I837" s="15" t="s">
        <v>259</v>
      </c>
      <c r="J837" s="53" t="s">
        <v>261</v>
      </c>
      <c r="K837" s="53" t="s">
        <v>262</v>
      </c>
      <c r="L837" s="53">
        <v>1</v>
      </c>
    </row>
    <row r="838" spans="1:12">
      <c r="A838" s="53" t="s">
        <v>1589</v>
      </c>
      <c r="D838" s="53" t="s">
        <v>260</v>
      </c>
      <c r="E838" s="14" t="s">
        <v>1694</v>
      </c>
      <c r="F838" s="5">
        <v>41821</v>
      </c>
      <c r="G838" s="5">
        <v>44593</v>
      </c>
      <c r="H838" s="53">
        <v>92</v>
      </c>
      <c r="I838" s="15" t="s">
        <v>259</v>
      </c>
      <c r="J838" s="53" t="s">
        <v>261</v>
      </c>
      <c r="K838" s="53" t="s">
        <v>262</v>
      </c>
      <c r="L838" s="53">
        <v>1</v>
      </c>
    </row>
    <row r="839" spans="1:12">
      <c r="A839" s="53" t="s">
        <v>1590</v>
      </c>
      <c r="D839" s="53" t="s">
        <v>260</v>
      </c>
      <c r="E839" s="14" t="s">
        <v>1695</v>
      </c>
      <c r="F839" s="5">
        <v>41821</v>
      </c>
      <c r="G839" s="5">
        <v>44593</v>
      </c>
      <c r="H839" s="53">
        <v>92</v>
      </c>
      <c r="I839" s="15" t="s">
        <v>259</v>
      </c>
      <c r="J839" s="53" t="s">
        <v>261</v>
      </c>
      <c r="K839" s="53" t="s">
        <v>262</v>
      </c>
      <c r="L839" s="53">
        <v>1</v>
      </c>
    </row>
    <row r="840" spans="1:12">
      <c r="A840" s="53" t="s">
        <v>1591</v>
      </c>
      <c r="D840" s="53" t="s">
        <v>260</v>
      </c>
      <c r="E840" s="14" t="s">
        <v>1696</v>
      </c>
      <c r="F840" s="5">
        <v>41821</v>
      </c>
      <c r="G840" s="5">
        <v>44593</v>
      </c>
      <c r="H840" s="53">
        <v>92</v>
      </c>
      <c r="I840" s="15" t="s">
        <v>259</v>
      </c>
      <c r="J840" s="53" t="s">
        <v>261</v>
      </c>
      <c r="K840" s="53" t="s">
        <v>262</v>
      </c>
      <c r="L840" s="53">
        <v>1</v>
      </c>
    </row>
    <row r="841" spans="1:12">
      <c r="A841" s="53" t="s">
        <v>1592</v>
      </c>
      <c r="D841" s="53" t="s">
        <v>260</v>
      </c>
      <c r="E841" s="14" t="s">
        <v>1697</v>
      </c>
      <c r="F841" s="5">
        <v>41821</v>
      </c>
      <c r="G841" s="5">
        <v>44593</v>
      </c>
      <c r="H841" s="53">
        <v>92</v>
      </c>
      <c r="I841" s="15" t="s">
        <v>259</v>
      </c>
      <c r="J841" s="53" t="s">
        <v>261</v>
      </c>
      <c r="K841" s="53" t="s">
        <v>262</v>
      </c>
      <c r="L841" s="53">
        <v>1</v>
      </c>
    </row>
    <row r="842" spans="1:12">
      <c r="A842" s="53" t="s">
        <v>1593</v>
      </c>
      <c r="D842" s="53" t="s">
        <v>260</v>
      </c>
      <c r="E842" s="14" t="s">
        <v>1698</v>
      </c>
      <c r="F842" s="5">
        <v>41821</v>
      </c>
      <c r="G842" s="5">
        <v>44593</v>
      </c>
      <c r="H842" s="53">
        <v>92</v>
      </c>
      <c r="I842" s="15" t="s">
        <v>259</v>
      </c>
      <c r="J842" s="53" t="s">
        <v>261</v>
      </c>
      <c r="K842" s="53" t="s">
        <v>262</v>
      </c>
      <c r="L842" s="53">
        <v>1</v>
      </c>
    </row>
    <row r="843" spans="1:12">
      <c r="A843" s="53" t="s">
        <v>1594</v>
      </c>
      <c r="D843" s="53" t="s">
        <v>260</v>
      </c>
      <c r="E843" s="14" t="s">
        <v>1699</v>
      </c>
      <c r="F843" s="5">
        <v>41821</v>
      </c>
      <c r="G843" s="5">
        <v>44593</v>
      </c>
      <c r="H843" s="53">
        <v>92</v>
      </c>
      <c r="I843" s="15" t="s">
        <v>259</v>
      </c>
      <c r="J843" s="53" t="s">
        <v>261</v>
      </c>
      <c r="K843" s="53" t="s">
        <v>262</v>
      </c>
      <c r="L843" s="53">
        <v>1</v>
      </c>
    </row>
    <row r="844" spans="1:12">
      <c r="A844" s="53" t="s">
        <v>1595</v>
      </c>
      <c r="D844" s="53" t="s">
        <v>260</v>
      </c>
      <c r="E844" s="14" t="s">
        <v>1700</v>
      </c>
      <c r="F844" s="5">
        <v>41821</v>
      </c>
      <c r="G844" s="5">
        <v>44593</v>
      </c>
      <c r="H844" s="53">
        <v>92</v>
      </c>
      <c r="I844" s="15" t="s">
        <v>259</v>
      </c>
      <c r="J844" s="53" t="s">
        <v>261</v>
      </c>
      <c r="K844" s="53" t="s">
        <v>262</v>
      </c>
      <c r="L844" s="53">
        <v>1</v>
      </c>
    </row>
    <row r="845" spans="1:12">
      <c r="A845" s="53" t="s">
        <v>1596</v>
      </c>
      <c r="D845" s="53" t="s">
        <v>260</v>
      </c>
      <c r="E845" s="14" t="s">
        <v>1701</v>
      </c>
      <c r="F845" s="5">
        <v>41821</v>
      </c>
      <c r="G845" s="5">
        <v>44593</v>
      </c>
      <c r="H845" s="53">
        <v>92</v>
      </c>
      <c r="I845" s="15" t="s">
        <v>259</v>
      </c>
      <c r="J845" s="53" t="s">
        <v>261</v>
      </c>
      <c r="K845" s="53" t="s">
        <v>262</v>
      </c>
      <c r="L845" s="53">
        <v>1</v>
      </c>
    </row>
    <row r="846" spans="1:12">
      <c r="A846" s="53" t="s">
        <v>1597</v>
      </c>
      <c r="D846" s="53" t="s">
        <v>260</v>
      </c>
      <c r="E846" s="14" t="s">
        <v>1702</v>
      </c>
      <c r="F846" s="5">
        <v>41821</v>
      </c>
      <c r="G846" s="5">
        <v>44593</v>
      </c>
      <c r="H846" s="53">
        <v>92</v>
      </c>
      <c r="I846" s="15" t="s">
        <v>259</v>
      </c>
      <c r="J846" s="53" t="s">
        <v>261</v>
      </c>
      <c r="K846" s="53" t="s">
        <v>262</v>
      </c>
      <c r="L846" s="53">
        <v>1</v>
      </c>
    </row>
    <row r="847" spans="1:12">
      <c r="A847" s="53" t="s">
        <v>1598</v>
      </c>
      <c r="D847" s="53" t="s">
        <v>260</v>
      </c>
      <c r="E847" s="14" t="s">
        <v>1703</v>
      </c>
      <c r="F847" s="5">
        <v>41821</v>
      </c>
      <c r="G847" s="5">
        <v>44593</v>
      </c>
      <c r="H847" s="53">
        <v>92</v>
      </c>
      <c r="I847" s="15" t="s">
        <v>259</v>
      </c>
      <c r="J847" s="53" t="s">
        <v>261</v>
      </c>
      <c r="K847" s="53" t="s">
        <v>262</v>
      </c>
      <c r="L847" s="53">
        <v>1</v>
      </c>
    </row>
    <row r="848" spans="1:12">
      <c r="A848" s="53" t="s">
        <v>1599</v>
      </c>
      <c r="D848" s="53" t="s">
        <v>260</v>
      </c>
      <c r="E848" s="14" t="s">
        <v>1704</v>
      </c>
      <c r="F848" s="5">
        <v>41821</v>
      </c>
      <c r="G848" s="5">
        <v>44593</v>
      </c>
      <c r="H848" s="53">
        <v>92</v>
      </c>
      <c r="I848" s="15" t="s">
        <v>259</v>
      </c>
      <c r="J848" s="53" t="s">
        <v>261</v>
      </c>
      <c r="K848" s="53" t="s">
        <v>262</v>
      </c>
      <c r="L848" s="53">
        <v>1</v>
      </c>
    </row>
    <row r="849" spans="1:12">
      <c r="A849" s="53" t="s">
        <v>1600</v>
      </c>
      <c r="D849" s="53" t="s">
        <v>260</v>
      </c>
      <c r="E849" s="14" t="s">
        <v>1705</v>
      </c>
      <c r="F849" s="5">
        <v>41821</v>
      </c>
      <c r="G849" s="5">
        <v>44593</v>
      </c>
      <c r="H849" s="53">
        <v>92</v>
      </c>
      <c r="I849" s="15" t="s">
        <v>259</v>
      </c>
      <c r="J849" s="53" t="s">
        <v>261</v>
      </c>
      <c r="K849" s="53" t="s">
        <v>262</v>
      </c>
      <c r="L849" s="53">
        <v>1</v>
      </c>
    </row>
    <row r="850" spans="1:12">
      <c r="A850" s="53" t="s">
        <v>1601</v>
      </c>
      <c r="D850" s="53" t="s">
        <v>260</v>
      </c>
      <c r="E850" s="14" t="s">
        <v>1706</v>
      </c>
      <c r="F850" s="5">
        <v>41821</v>
      </c>
      <c r="G850" s="5">
        <v>44593</v>
      </c>
      <c r="H850" s="53">
        <v>92</v>
      </c>
      <c r="I850" s="15" t="s">
        <v>259</v>
      </c>
      <c r="J850" s="53" t="s">
        <v>261</v>
      </c>
      <c r="K850" s="53" t="s">
        <v>262</v>
      </c>
      <c r="L850" s="53">
        <v>1</v>
      </c>
    </row>
    <row r="851" spans="1:12">
      <c r="A851" s="53" t="s">
        <v>1602</v>
      </c>
      <c r="D851" s="53" t="s">
        <v>260</v>
      </c>
      <c r="E851" s="14" t="s">
        <v>1707</v>
      </c>
      <c r="F851" s="5">
        <v>41821</v>
      </c>
      <c r="G851" s="5">
        <v>44593</v>
      </c>
      <c r="H851" s="53">
        <v>92</v>
      </c>
      <c r="I851" s="15" t="s">
        <v>259</v>
      </c>
      <c r="J851" s="53" t="s">
        <v>261</v>
      </c>
      <c r="K851" s="53" t="s">
        <v>262</v>
      </c>
      <c r="L851" s="53">
        <v>1</v>
      </c>
    </row>
    <row r="852" spans="1:12">
      <c r="A852" s="53" t="s">
        <v>1603</v>
      </c>
      <c r="D852" s="53" t="s">
        <v>260</v>
      </c>
      <c r="E852" s="14" t="s">
        <v>1708</v>
      </c>
      <c r="F852" s="5">
        <v>41821</v>
      </c>
      <c r="G852" s="5">
        <v>44593</v>
      </c>
      <c r="H852" s="53">
        <v>92</v>
      </c>
      <c r="I852" s="15" t="s">
        <v>259</v>
      </c>
      <c r="J852" s="53" t="s">
        <v>261</v>
      </c>
      <c r="K852" s="53" t="s">
        <v>262</v>
      </c>
      <c r="L852" s="53">
        <v>1</v>
      </c>
    </row>
    <row r="853" spans="1:12">
      <c r="A853" s="53" t="s">
        <v>1604</v>
      </c>
      <c r="D853" s="53" t="s">
        <v>260</v>
      </c>
      <c r="E853" s="14" t="s">
        <v>1709</v>
      </c>
      <c r="F853" s="5">
        <v>41821</v>
      </c>
      <c r="G853" s="5">
        <v>44593</v>
      </c>
      <c r="H853" s="53">
        <v>92</v>
      </c>
      <c r="I853" s="15" t="s">
        <v>259</v>
      </c>
      <c r="J853" s="53" t="s">
        <v>261</v>
      </c>
      <c r="K853" s="53" t="s">
        <v>262</v>
      </c>
      <c r="L853" s="53">
        <v>1</v>
      </c>
    </row>
    <row r="854" spans="1:12">
      <c r="A854" s="53" t="s">
        <v>1605</v>
      </c>
      <c r="D854" s="53" t="s">
        <v>260</v>
      </c>
      <c r="E854" s="14" t="s">
        <v>1710</v>
      </c>
      <c r="F854" s="5">
        <v>41821</v>
      </c>
      <c r="G854" s="5">
        <v>44593</v>
      </c>
      <c r="H854" s="53">
        <v>92</v>
      </c>
      <c r="I854" s="15" t="s">
        <v>259</v>
      </c>
      <c r="J854" s="53" t="s">
        <v>261</v>
      </c>
      <c r="K854" s="53" t="s">
        <v>262</v>
      </c>
      <c r="L854" s="53">
        <v>1</v>
      </c>
    </row>
    <row r="855" spans="1:12">
      <c r="A855" s="53" t="s">
        <v>1606</v>
      </c>
      <c r="D855" s="53" t="s">
        <v>260</v>
      </c>
      <c r="E855" s="14" t="s">
        <v>1711</v>
      </c>
      <c r="F855" s="5">
        <v>41821</v>
      </c>
      <c r="G855" s="5">
        <v>44593</v>
      </c>
      <c r="H855" s="53">
        <v>92</v>
      </c>
      <c r="I855" s="15" t="s">
        <v>259</v>
      </c>
      <c r="J855" s="53" t="s">
        <v>261</v>
      </c>
      <c r="K855" s="53" t="s">
        <v>262</v>
      </c>
      <c r="L855" s="53">
        <v>1</v>
      </c>
    </row>
    <row r="856" spans="1:12">
      <c r="A856" s="53" t="s">
        <v>1607</v>
      </c>
      <c r="D856" s="53" t="s">
        <v>260</v>
      </c>
      <c r="E856" s="14" t="s">
        <v>1712</v>
      </c>
      <c r="F856" s="5">
        <v>41821</v>
      </c>
      <c r="G856" s="5">
        <v>44593</v>
      </c>
      <c r="H856" s="53">
        <v>92</v>
      </c>
      <c r="I856" s="15" t="s">
        <v>259</v>
      </c>
      <c r="J856" s="53" t="s">
        <v>261</v>
      </c>
      <c r="K856" s="53" t="s">
        <v>262</v>
      </c>
      <c r="L856" s="53">
        <v>1</v>
      </c>
    </row>
    <row r="857" spans="1:12">
      <c r="A857" s="53" t="s">
        <v>1608</v>
      </c>
      <c r="D857" s="53" t="s">
        <v>260</v>
      </c>
      <c r="E857" s="14" t="s">
        <v>1713</v>
      </c>
      <c r="F857" s="5">
        <v>41821</v>
      </c>
      <c r="G857" s="5">
        <v>44593</v>
      </c>
      <c r="H857" s="53">
        <v>92</v>
      </c>
      <c r="I857" s="15" t="s">
        <v>259</v>
      </c>
      <c r="J857" s="53" t="s">
        <v>261</v>
      </c>
      <c r="K857" s="53" t="s">
        <v>262</v>
      </c>
      <c r="L857" s="53">
        <v>1</v>
      </c>
    </row>
    <row r="858" spans="1:12">
      <c r="A858" s="53" t="s">
        <v>1609</v>
      </c>
      <c r="D858" s="53" t="s">
        <v>260</v>
      </c>
      <c r="E858" s="14" t="s">
        <v>1714</v>
      </c>
      <c r="F858" s="5">
        <v>41821</v>
      </c>
      <c r="G858" s="5">
        <v>44593</v>
      </c>
      <c r="H858" s="53">
        <v>92</v>
      </c>
      <c r="I858" s="15" t="s">
        <v>259</v>
      </c>
      <c r="J858" s="53" t="s">
        <v>261</v>
      </c>
      <c r="K858" s="53" t="s">
        <v>262</v>
      </c>
      <c r="L858" s="53">
        <v>1</v>
      </c>
    </row>
    <row r="859" spans="1:12">
      <c r="A859" s="53" t="s">
        <v>1610</v>
      </c>
      <c r="D859" s="53" t="s">
        <v>260</v>
      </c>
      <c r="E859" s="14" t="s">
        <v>1715</v>
      </c>
      <c r="F859" s="5">
        <v>41821</v>
      </c>
      <c r="G859" s="5">
        <v>44593</v>
      </c>
      <c r="H859" s="53">
        <v>92</v>
      </c>
      <c r="I859" s="15" t="s">
        <v>259</v>
      </c>
      <c r="J859" s="53" t="s">
        <v>261</v>
      </c>
      <c r="K859" s="53" t="s">
        <v>262</v>
      </c>
      <c r="L859" s="53">
        <v>1</v>
      </c>
    </row>
    <row r="860" spans="1:12">
      <c r="A860" s="53" t="s">
        <v>1611</v>
      </c>
      <c r="D860" s="53" t="s">
        <v>260</v>
      </c>
      <c r="E860" s="14" t="s">
        <v>1716</v>
      </c>
      <c r="F860" s="5">
        <v>41821</v>
      </c>
      <c r="G860" s="5">
        <v>44593</v>
      </c>
      <c r="H860" s="53">
        <v>92</v>
      </c>
      <c r="I860" s="15" t="s">
        <v>259</v>
      </c>
      <c r="J860" s="53" t="s">
        <v>261</v>
      </c>
      <c r="K860" s="53" t="s">
        <v>262</v>
      </c>
      <c r="L860" s="53">
        <v>1</v>
      </c>
    </row>
    <row r="861" spans="1:12">
      <c r="A861" s="53" t="s">
        <v>1612</v>
      </c>
      <c r="D861" s="53" t="s">
        <v>260</v>
      </c>
      <c r="E861" s="14" t="s">
        <v>1717</v>
      </c>
      <c r="F861" s="5">
        <v>41821</v>
      </c>
      <c r="G861" s="5">
        <v>44593</v>
      </c>
      <c r="H861" s="53">
        <v>92</v>
      </c>
      <c r="I861" s="15" t="s">
        <v>259</v>
      </c>
      <c r="J861" s="53" t="s">
        <v>261</v>
      </c>
      <c r="K861" s="53" t="s">
        <v>262</v>
      </c>
      <c r="L861" s="53">
        <v>1</v>
      </c>
    </row>
    <row r="862" spans="1:12">
      <c r="A862" s="53" t="s">
        <v>1613</v>
      </c>
      <c r="D862" s="53" t="s">
        <v>260</v>
      </c>
      <c r="E862" s="14" t="s">
        <v>1718</v>
      </c>
      <c r="F862" s="5">
        <v>41821</v>
      </c>
      <c r="G862" s="5">
        <v>44593</v>
      </c>
      <c r="H862" s="53">
        <v>92</v>
      </c>
      <c r="I862" s="15" t="s">
        <v>259</v>
      </c>
      <c r="J862" s="53" t="s">
        <v>261</v>
      </c>
      <c r="K862" s="53" t="s">
        <v>262</v>
      </c>
      <c r="L862" s="53">
        <v>1</v>
      </c>
    </row>
    <row r="863" spans="1:12">
      <c r="A863" s="53" t="s">
        <v>1614</v>
      </c>
      <c r="D863" s="53" t="s">
        <v>260</v>
      </c>
      <c r="E863" s="14" t="s">
        <v>1719</v>
      </c>
      <c r="F863" s="5">
        <v>41821</v>
      </c>
      <c r="G863" s="5">
        <v>44593</v>
      </c>
      <c r="H863" s="53">
        <v>92</v>
      </c>
      <c r="I863" s="15" t="s">
        <v>259</v>
      </c>
      <c r="J863" s="53" t="s">
        <v>261</v>
      </c>
      <c r="K863" s="53" t="s">
        <v>262</v>
      </c>
      <c r="L863" s="53">
        <v>1</v>
      </c>
    </row>
    <row r="864" spans="1:12">
      <c r="A864" s="53" t="s">
        <v>1615</v>
      </c>
      <c r="D864" s="53" t="s">
        <v>260</v>
      </c>
      <c r="E864" s="14" t="s">
        <v>1720</v>
      </c>
      <c r="F864" s="5">
        <v>41821</v>
      </c>
      <c r="G864" s="5">
        <v>44593</v>
      </c>
      <c r="H864" s="53">
        <v>92</v>
      </c>
      <c r="I864" s="15" t="s">
        <v>259</v>
      </c>
      <c r="J864" s="53" t="s">
        <v>261</v>
      </c>
      <c r="K864" s="53" t="s">
        <v>262</v>
      </c>
      <c r="L864" s="53">
        <v>1</v>
      </c>
    </row>
    <row r="865" spans="1:12">
      <c r="A865" s="53" t="s">
        <v>1616</v>
      </c>
      <c r="D865" s="53" t="s">
        <v>260</v>
      </c>
      <c r="E865" s="14" t="s">
        <v>1721</v>
      </c>
      <c r="F865" s="5">
        <v>41821</v>
      </c>
      <c r="G865" s="5">
        <v>44593</v>
      </c>
      <c r="H865" s="53">
        <v>92</v>
      </c>
      <c r="I865" s="15" t="s">
        <v>259</v>
      </c>
      <c r="J865" s="53" t="s">
        <v>261</v>
      </c>
      <c r="K865" s="53" t="s">
        <v>262</v>
      </c>
      <c r="L865" s="53">
        <v>1</v>
      </c>
    </row>
    <row r="866" spans="1:12">
      <c r="A866" s="53" t="s">
        <v>1617</v>
      </c>
      <c r="D866" s="53" t="s">
        <v>260</v>
      </c>
      <c r="E866" s="14" t="s">
        <v>1722</v>
      </c>
      <c r="F866" s="5">
        <v>41821</v>
      </c>
      <c r="G866" s="5">
        <v>44593</v>
      </c>
      <c r="H866" s="53">
        <v>92</v>
      </c>
      <c r="I866" s="15" t="s">
        <v>259</v>
      </c>
      <c r="J866" s="53" t="s">
        <v>261</v>
      </c>
      <c r="K866" s="53" t="s">
        <v>262</v>
      </c>
      <c r="L866" s="53">
        <v>1</v>
      </c>
    </row>
    <row r="868" spans="1:12">
      <c r="A868" s="53" t="s">
        <v>1731</v>
      </c>
    </row>
  </sheetData>
  <mergeCells count="1">
    <mergeCell ref="B6:L6"/>
  </mergeCells>
  <hyperlinks>
    <hyperlink ref="D8" location="Contents!B22" display="Enquiries" xr:uid="{3C6AA722-867D-4B2B-BC7C-34F6ABB6796B}"/>
    <hyperlink ref="E12" location="A127833187R" display="A127833187R" xr:uid="{C440A881-E034-4B76-883D-A84212DC1266}"/>
    <hyperlink ref="E13" location="A127830217L" display="A127830217L" xr:uid="{EA76BFDB-235B-45E3-83CC-0609D0A07DFD}"/>
    <hyperlink ref="E14" location="A127827247T" display="A127827247T" xr:uid="{C839E5C9-C3C3-4EFF-A4F9-9212594B6A61}"/>
    <hyperlink ref="E15" location="A127833189V" display="A127833189V" xr:uid="{E3E2FB7F-6B51-4C27-B147-786B3CCA99D5}"/>
    <hyperlink ref="E16" location="A127830219T" display="A127830219T" xr:uid="{655BDD37-F0C2-4182-BAD7-2EB98046C6CB}"/>
    <hyperlink ref="E17" location="A127827249W" display="A127827249W" xr:uid="{A3919588-5849-41EE-9823-B9C68DCEE5A3}"/>
    <hyperlink ref="E18" location="A127833188T" display="A127833188T" xr:uid="{59E947F2-09AA-4A60-8981-F0FC5CB65441}"/>
    <hyperlink ref="E19" location="A127830218R" display="A127830218R" xr:uid="{0EEE7993-CD9C-46B6-A04E-D50322F8DCCA}"/>
    <hyperlink ref="E20" location="A127827248V" display="A127827248V" xr:uid="{FC5C8733-FD87-482C-A131-E2AE5FE039D5}"/>
    <hyperlink ref="E21" location="A127833182C" display="A127833182C" xr:uid="{20591F5E-DBBB-40EB-9D29-7EED2C8DA650}"/>
    <hyperlink ref="E22" location="A127830212A" display="A127830212A" xr:uid="{DF597A00-1D51-4666-981E-D926BDA7FCAB}"/>
    <hyperlink ref="E23" location="A127827242F" display="A127827242F" xr:uid="{2E2061D7-4C38-4C7B-AF38-7BF3298D30FE}"/>
    <hyperlink ref="E24" location="A127833186L" display="A127833186L" xr:uid="{06707A6E-D19E-4ECE-BC58-AA0AB1F29D60}"/>
    <hyperlink ref="E25" location="A127830216K" display="A127830216K" xr:uid="{94E252AC-F08A-4E2D-9DBC-D8DE9055F617}"/>
    <hyperlink ref="E26" location="A127827246R" display="A127827246R" xr:uid="{754731A2-2642-41DA-BDB0-08DA91DBD4EE}"/>
    <hyperlink ref="E27" location="A127833181A" display="A127833181A" xr:uid="{D6EC8201-ABD8-41C9-AFD5-CD37B24D5292}"/>
    <hyperlink ref="E28" location="A127830211X" display="A127830211X" xr:uid="{05F97637-BC35-47C5-B4AB-40A09E388F1D}"/>
    <hyperlink ref="E29" location="A127827241C" display="A127827241C" xr:uid="{5F248E62-175F-4BCA-9716-8A7B4A84CD47}"/>
    <hyperlink ref="E30" location="A127833179R" display="A127833179R" xr:uid="{1846469F-AAC4-47D2-9D38-4721D13320A2}"/>
    <hyperlink ref="E31" location="A127830209L" display="A127830209L" xr:uid="{4F7ACFC5-F765-4376-A794-39CF2AB728A6}"/>
    <hyperlink ref="E32" location="A127827239T" display="A127827239T" xr:uid="{16C5FB21-FB2B-4A31-A418-D964577510DC}"/>
    <hyperlink ref="E33" location="A127833190C" display="A127833190C" xr:uid="{49D10C36-C2C0-4780-9470-0C331AB6B781}"/>
    <hyperlink ref="E34" location="A127830220A" display="A127830220A" xr:uid="{FBFBA52B-DFB9-40B0-A5D0-A61D819360D5}"/>
    <hyperlink ref="E35" location="A127827250F" display="A127827250F" xr:uid="{7A12D4F7-6DDB-45BA-9817-EAABD7D9415A}"/>
    <hyperlink ref="E36" location="A127833178L" display="A127833178L" xr:uid="{4F34A639-C5DF-4880-9BCC-9EB0270C814A}"/>
    <hyperlink ref="E37" location="A127830208K" display="A127830208K" xr:uid="{16E567F2-1D6C-406C-A0B5-94CC408B74B4}"/>
    <hyperlink ref="E38" location="A127827238R" display="A127827238R" xr:uid="{03779EBA-9E15-476F-AD4A-8B24A3E08C71}"/>
    <hyperlink ref="E39" location="A127833185K" display="A127833185K" xr:uid="{AADDA857-BAA7-44CD-814C-01D82949666B}"/>
    <hyperlink ref="E40" location="A127830215J" display="A127830215J" xr:uid="{33FD12F8-1B4C-4350-B8CC-15BC9C3CE6DC}"/>
    <hyperlink ref="E41" location="A127827245L" display="A127827245L" xr:uid="{0922B993-7C0E-4331-979C-DC494D8FAC98}"/>
    <hyperlink ref="E42" location="A127833180X" display="A127833180X" xr:uid="{DD14E2EB-79AC-4D74-9A33-3052EF248E90}"/>
    <hyperlink ref="E43" location="A127830210W" display="A127830210W" xr:uid="{2F65CCAD-59FA-4620-9EEE-99DE45843E7F}"/>
    <hyperlink ref="E44" location="A127827240A" display="A127827240A" xr:uid="{CC5965D0-CCF6-43C3-968B-874640C8BC51}"/>
    <hyperlink ref="E45" location="A127833177K" display="A127833177K" xr:uid="{2BB4606F-7DFA-4DA1-B18F-C8AB0DD25A86}"/>
    <hyperlink ref="E46" location="A127830207J" display="A127830207J" xr:uid="{141A7C28-0212-4969-8BFC-4BACB15E2441}"/>
    <hyperlink ref="E47" location="A127827237L" display="A127827237L" xr:uid="{57882C94-94C9-4973-B6DF-FBDC71182D33}"/>
    <hyperlink ref="E48" location="A127833184J" display="A127833184J" xr:uid="{C84DD42C-2518-4237-B4AD-0FAD503C11AA}"/>
    <hyperlink ref="E49" location="A127830214F" display="A127830214F" xr:uid="{A47C34A3-7655-4883-9B22-BEE4EC087A88}"/>
    <hyperlink ref="E50" location="A127827244K" display="A127827244K" xr:uid="{02E4820E-45F3-4F22-BC61-58A96EC32AB8}"/>
    <hyperlink ref="E51" location="A127833183F" display="A127833183F" xr:uid="{B4095FBE-7AE5-4D0C-9E16-CF44E33487A3}"/>
    <hyperlink ref="E52" location="A127830213C" display="A127830213C" xr:uid="{44360493-54FA-46B8-BB53-E18C33570FCF}"/>
    <hyperlink ref="E53" location="A127827243J" display="A127827243J" xr:uid="{E52FB616-CCCC-48A5-854D-3638ED8E8096}"/>
    <hyperlink ref="E54" location="A127833191F" display="A127833191F" xr:uid="{93AECE6D-9A43-4E57-BF9D-4C587540B6A9}"/>
    <hyperlink ref="E55" location="A127830221C" display="A127830221C" xr:uid="{669E7BD0-267B-4A01-A13C-F8421443D28A}"/>
    <hyperlink ref="E56" location="A127827251J" display="A127827251J" xr:uid="{C5B85C66-A809-4CA2-9AE7-846986736FC3}"/>
    <hyperlink ref="E57" location="A127832947A" display="A127832947A" xr:uid="{DC08BD8F-466C-42C2-A211-2E0D3039384E}"/>
    <hyperlink ref="E58" location="A127829977F" display="A127829977F" xr:uid="{7C426FFD-BE0E-4804-80A2-3430921F6BC7}"/>
    <hyperlink ref="E59" location="A127827007F" display="A127827007F" xr:uid="{5C16F5AE-F766-4676-9AC0-960FF82F05C8}"/>
    <hyperlink ref="E60" location="A127832949F" display="A127832949F" xr:uid="{777DC2E8-E158-4382-8C57-60FE78876173}"/>
    <hyperlink ref="E61" location="A127829979K" display="A127829979K" xr:uid="{F8B6A90F-4D1B-429D-B81F-A4FAC707A44B}"/>
    <hyperlink ref="E62" location="A127827009K" display="A127827009K" xr:uid="{74976274-5ACA-48C8-B4B7-3954D19339DB}"/>
    <hyperlink ref="E63" location="A127832948C" display="A127832948C" xr:uid="{3DC71F2C-8691-4511-A885-EDB8408B3BA3}"/>
    <hyperlink ref="E64" location="A127829978J" display="A127829978J" xr:uid="{AD4A0937-417A-441F-A1D2-D9C8DEC70F6B}"/>
    <hyperlink ref="E65" location="A127827008J" display="A127827008J" xr:uid="{5BE913A6-4E10-40A5-8C2E-1DE6486077A2}"/>
    <hyperlink ref="E66" location="A127832942R" display="A127832942R" xr:uid="{4B5800D9-7620-434D-88E6-F595467E48E2}"/>
    <hyperlink ref="E67" location="A127829972V" display="A127829972V" xr:uid="{1B980120-5F43-4850-BBC5-C757E8FF41BA}"/>
    <hyperlink ref="E68" location="A127827002V" display="A127827002V" xr:uid="{65045ECC-CD47-4404-B0F3-3ED347419FD6}"/>
    <hyperlink ref="E69" location="A127832946X" display="A127832946X" xr:uid="{0C6FCFC1-4E35-4EC9-B35F-7573B09A25EA}"/>
    <hyperlink ref="E70" location="A127829976C" display="A127829976C" xr:uid="{4868E554-D294-4409-8506-4E844773E1AF}"/>
    <hyperlink ref="E71" location="A127827006C" display="A127827006C" xr:uid="{C2FCC843-D69A-4363-A4B3-0EE344525A1D}"/>
    <hyperlink ref="E72" location="A127832941L" display="A127832941L" xr:uid="{19CFD0F3-DD75-4841-847F-DE27016D478E}"/>
    <hyperlink ref="E73" location="A127829971T" display="A127829971T" xr:uid="{67840729-1D0A-44DA-997F-B5EC5362B6CA}"/>
    <hyperlink ref="E74" location="A127827001T" display="A127827001T" xr:uid="{AC3A9211-F697-40AF-BEFC-66BECA3C46CB}"/>
    <hyperlink ref="E75" location="A127832939A" display="A127832939A" xr:uid="{B6A224DD-F4A5-45A7-8660-3F8A4FCD3AA3}"/>
    <hyperlink ref="E76" location="A127829969F" display="A127829969F" xr:uid="{ED772425-2EB8-478B-9E0A-515FC4099833}"/>
    <hyperlink ref="E77" location="A127826999R" display="A127826999R" xr:uid="{81A21586-32F6-40CC-B45C-126575615058}"/>
    <hyperlink ref="E78" location="A127832950R" display="A127832950R" xr:uid="{DFA4DA2D-8350-4C3D-B361-27F8E5C9439B}"/>
    <hyperlink ref="E79" location="A127829980V" display="A127829980V" xr:uid="{E0C50925-A3BA-4E4E-82BA-52B58AC32B72}"/>
    <hyperlink ref="E80" location="A127827010V" display="A127827010V" xr:uid="{44B4BFBA-385D-4C18-95BF-8B5AC4BFB8C4}"/>
    <hyperlink ref="E81" location="A127832938X" display="A127832938X" xr:uid="{54E6DA62-8BF7-4DAC-9CF6-152A6A6CCF5A}"/>
    <hyperlink ref="E82" location="A127829968C" display="A127829968C" xr:uid="{BD793067-40A0-4B6D-8782-205511CE164A}"/>
    <hyperlink ref="E83" location="A127826998L" display="A127826998L" xr:uid="{C63C9814-3E74-4428-9C86-4FA2058AE7F6}"/>
    <hyperlink ref="E84" location="A127832945W" display="A127832945W" xr:uid="{52FA7208-5E77-423E-B63A-396F079D43B2}"/>
    <hyperlink ref="E85" location="A127829975A" display="A127829975A" xr:uid="{2F62ED72-0184-4A3F-ABB3-D3443CF72F3E}"/>
    <hyperlink ref="E86" location="A127827005A" display="A127827005A" xr:uid="{8EC54588-2A78-4ECA-BB99-3794B37DC7D5}"/>
    <hyperlink ref="E87" location="A127832940K" display="A127832940K" xr:uid="{E59F28ED-8404-43F3-BCA2-649067E90358}"/>
    <hyperlink ref="E88" location="A127829970R" display="A127829970R" xr:uid="{C6DCC12C-5F69-4167-AD26-712AF429F3B8}"/>
    <hyperlink ref="E89" location="A127827000R" display="A127827000R" xr:uid="{D7667543-443C-4592-8769-717FBDC080EF}"/>
    <hyperlink ref="E90" location="A127832937W" display="A127832937W" xr:uid="{075F4069-7E91-46F2-9B9C-9A60063D7FFF}"/>
    <hyperlink ref="E91" location="A127829967A" display="A127829967A" xr:uid="{2255037C-DF8A-4423-811B-12B197ED7706}"/>
    <hyperlink ref="E92" location="A127826997K" display="A127826997K" xr:uid="{2C59D1D9-3BB7-48B1-8AE7-601C663AA298}"/>
    <hyperlink ref="E93" location="A127832944V" display="A127832944V" xr:uid="{32516A5C-174A-4DE5-8BDD-5F02127B6856}"/>
    <hyperlink ref="E94" location="A127829974X" display="A127829974X" xr:uid="{0C8DA88E-13AC-498E-B7FE-57789BE66579}"/>
    <hyperlink ref="E95" location="A127827004X" display="A127827004X" xr:uid="{0499168F-F482-4EF2-88A4-8C18845F2FA5}"/>
    <hyperlink ref="E96" location="A127832943T" display="A127832943T" xr:uid="{3B12C630-BBBB-4F04-A15C-C872A704461A}"/>
    <hyperlink ref="E97" location="A127829973W" display="A127829973W" xr:uid="{E738CF14-76AD-49F2-AD5E-B587EC081D65}"/>
    <hyperlink ref="E98" location="A127827003W" display="A127827003W" xr:uid="{64F37F3B-40CF-4FE5-949A-CF294ABF30BC}"/>
    <hyperlink ref="E99" location="A127832951T" display="A127832951T" xr:uid="{B9CAF5FC-ECD8-4F18-B3DA-D8A77BB6CE46}"/>
    <hyperlink ref="E100" location="A127829981W" display="A127829981W" xr:uid="{2D560F18-7F8C-4B66-A8AC-6B84C69BB8D6}"/>
    <hyperlink ref="E101" location="A127827011W" display="A127827011W" xr:uid="{9258BCE2-0ADD-4183-8B0B-C2F26F990264}"/>
    <hyperlink ref="E102" location="A127833127L" display="A127833127L" xr:uid="{8F438AFB-629C-4E41-8BFB-969441FA8DA9}"/>
    <hyperlink ref="E103" location="A127830157W" display="A127830157W" xr:uid="{511B0996-33D0-467D-ABA6-01C01AE85AF1}"/>
    <hyperlink ref="E104" location="A127827187A" display="A127827187A" xr:uid="{FBE813D1-171E-48CC-B334-6351EBEA4AE6}"/>
    <hyperlink ref="E105" location="A127833129T" display="A127833129T" xr:uid="{5F9A1419-403E-44A9-ABF4-B9C2C563FDB3}"/>
    <hyperlink ref="E106" location="A127830159A" display="A127830159A" xr:uid="{42C9C1FD-DC36-4043-824A-16DDD0744306}"/>
    <hyperlink ref="E107" location="A127827189F" display="A127827189F" xr:uid="{C3AA0A41-444D-4DB3-9A2A-314A43B5A68A}"/>
    <hyperlink ref="E108" location="A127833128R" display="A127833128R" xr:uid="{92A8227B-53A0-47FA-9928-0BD6D2738925}"/>
    <hyperlink ref="E109" location="A127830158X" display="A127830158X" xr:uid="{6DE02443-5A63-436C-9DFF-CB66FBD1C0BF}"/>
    <hyperlink ref="E110" location="A127827188C" display="A127827188C" xr:uid="{E0B5CE8A-3AC2-4EB2-982E-A41A6FD104CD}"/>
    <hyperlink ref="E111" location="A127833122A" display="A127833122A" xr:uid="{6C53FA98-8756-4D03-AB50-69D3CC62F439}"/>
    <hyperlink ref="E112" location="A127830152K" display="A127830152K" xr:uid="{9E86BD0C-651D-470D-B3B9-1FF11EFC1B01}"/>
    <hyperlink ref="E113" location="A127827182R" display="A127827182R" xr:uid="{28D0EAD2-8EB9-451D-9C11-289BBE804E9A}"/>
    <hyperlink ref="E114" location="A127833126K" display="A127833126K" xr:uid="{DE4D88CB-4C59-41B0-BDCB-13CC2E6B390E}"/>
    <hyperlink ref="E115" location="A127830156V" display="A127830156V" xr:uid="{F0A4CD78-0445-436B-B259-428267E9C2F6}"/>
    <hyperlink ref="E116" location="A127827186X" display="A127827186X" xr:uid="{A9966146-74EF-45F3-8A42-9705166ECC1F}"/>
    <hyperlink ref="E117" location="A127833121X" display="A127833121X" xr:uid="{3CB33744-010E-4CD5-896E-3C0BA8983A3A}"/>
    <hyperlink ref="E118" location="A127830151J" display="A127830151J" xr:uid="{627F8BC7-B30A-4BC8-AF0C-458CB825EB84}"/>
    <hyperlink ref="E119" location="A127827181L" display="A127827181L" xr:uid="{ADAACE52-CC34-4D9E-85CE-051EBC2A8673}"/>
    <hyperlink ref="E120" location="A127833119L" display="A127833119L" xr:uid="{4C38F968-4329-47A4-8E98-076C785E4972}"/>
    <hyperlink ref="E121" location="A127830149W" display="A127830149W" xr:uid="{36FE0D97-354E-400D-A00C-BF337033E008}"/>
    <hyperlink ref="E122" location="A127827179A" display="A127827179A" xr:uid="{4A3335B5-C34A-411F-90C4-2E71C6EDC55B}"/>
    <hyperlink ref="E123" location="A127833130A" display="A127833130A" xr:uid="{323E2127-8AF8-482B-B8B8-2B02970D1318}"/>
    <hyperlink ref="E124" location="A127830160K" display="A127830160K" xr:uid="{77A1920A-5DCE-4C53-848C-4EA8003494F9}"/>
    <hyperlink ref="E125" location="A127827190R" display="A127827190R" xr:uid="{D7DB4465-9ED6-424A-B622-5738A7E6738C}"/>
    <hyperlink ref="E126" location="A127833118K" display="A127833118K" xr:uid="{D1897785-BC42-47EC-8D44-3085B1BFBA7B}"/>
    <hyperlink ref="E127" location="A127830148V" display="A127830148V" xr:uid="{53C4B4C3-6C84-41EB-9469-0B713A6E78E2}"/>
    <hyperlink ref="E128" location="A127827178X" display="A127827178X" xr:uid="{E5E80C71-569A-444A-A862-917463FA3C78}"/>
    <hyperlink ref="E129" location="A127833125J" display="A127833125J" xr:uid="{9C6B79F5-0A3E-4C55-B579-178611F05F02}"/>
    <hyperlink ref="E130" location="A127830155T" display="A127830155T" xr:uid="{54E231DD-87A5-48BC-8965-37884D86A376}"/>
    <hyperlink ref="E131" location="A127827185W" display="A127827185W" xr:uid="{9F7BFE1B-1CCB-4517-95C7-82C00631AD55}"/>
    <hyperlink ref="E132" location="A127833120W" display="A127833120W" xr:uid="{B972EED7-1C16-47A5-9750-36CF9A41368F}"/>
    <hyperlink ref="E133" location="A127830150F" display="A127830150F" xr:uid="{274590DF-46FD-47AE-BB7E-35D8875981F6}"/>
    <hyperlink ref="E134" location="A127827180K" display="A127827180K" xr:uid="{AD44074D-6E82-46CA-866C-7E667CF0320A}"/>
    <hyperlink ref="E135" location="A127833117J" display="A127833117J" xr:uid="{7ED8E0F1-F0B7-41BF-AB84-36B5915B43F7}"/>
    <hyperlink ref="E136" location="A127830147T" display="A127830147T" xr:uid="{B1C7C954-EFE8-4D4C-8F74-8F9356735E48}"/>
    <hyperlink ref="E137" location="A127827177W" display="A127827177W" xr:uid="{654133C8-2954-4735-9036-552A00C793D5}"/>
    <hyperlink ref="E138" location="A127833124F" display="A127833124F" xr:uid="{BC63D4D6-1FEC-4D08-8431-29D8582FBC0B}"/>
    <hyperlink ref="E139" location="A127830154R" display="A127830154R" xr:uid="{4C8B525F-CB60-49B6-912A-CE3AF88072B6}"/>
    <hyperlink ref="E140" location="A127827184V" display="A127827184V" xr:uid="{81E791C4-D906-4303-8C06-F26F82B6F246}"/>
    <hyperlink ref="E141" location="A127833123C" display="A127833123C" xr:uid="{38D4F4C4-FF9E-42D3-B7E4-D42853E9B494}"/>
    <hyperlink ref="E142" location="A127830153L" display="A127830153L" xr:uid="{8D52F90B-E3E7-4173-91C0-B74E856CF7B3}"/>
    <hyperlink ref="E143" location="A127827183T" display="A127827183T" xr:uid="{49AACE10-2EF7-4DC5-83E5-806E034C37A9}"/>
    <hyperlink ref="E144" location="A127833131C" display="A127833131C" xr:uid="{6A7DBF09-F693-4635-AF32-B18FC3935C59}"/>
    <hyperlink ref="E145" location="A127830161L" display="A127830161L" xr:uid="{9223A769-E2FD-4039-BAD6-EF62EAF348BC}"/>
    <hyperlink ref="E146" location="A127827191T" display="A127827191T" xr:uid="{4A92A719-1586-4584-96D4-C342231A9ACC}"/>
    <hyperlink ref="E147" location="A127833067W" display="A127833067W" xr:uid="{8C90628B-1CC1-442E-8867-8FC8B1815172}"/>
    <hyperlink ref="E148" location="A127830097F" display="A127830097F" xr:uid="{DF454174-6A4C-4A2A-AB3B-44092B89B148}"/>
    <hyperlink ref="E149" location="A127827127X" display="A127827127X" xr:uid="{32C014CE-7FD5-4367-B7CD-CA1872400463}"/>
    <hyperlink ref="E150" location="A127833069A" display="A127833069A" xr:uid="{BFBD15BF-DD40-44BA-A9BA-2EB67C1A7114}"/>
    <hyperlink ref="E151" location="A127830099K" display="A127830099K" xr:uid="{48706F02-6989-42B4-8D67-C4305BADC4E6}"/>
    <hyperlink ref="E152" location="A127827129C" display="A127827129C" xr:uid="{D4AC1C46-8124-4440-B6E7-7582AFE11F8A}"/>
    <hyperlink ref="E153" location="A127833068X" display="A127833068X" xr:uid="{A04787AB-A8AD-4D04-8744-E0555E907BF8}"/>
    <hyperlink ref="E154" location="A127830098J" display="A127830098J" xr:uid="{44269930-728C-40AD-B91E-2D5C32DC2857}"/>
    <hyperlink ref="E155" location="A127827128A" display="A127827128A" xr:uid="{C11F9957-36FF-420E-9D62-5A5F607B5009}"/>
    <hyperlink ref="E156" location="A127833062K" display="A127833062K" xr:uid="{77B7DC12-CAB9-4382-A9C6-285BB49CB6E9}"/>
    <hyperlink ref="E157" location="A127830092V" display="A127830092V" xr:uid="{4BC57207-1DE8-4741-8B67-9AD31753BFDF}"/>
    <hyperlink ref="E158" location="A127827122L" display="A127827122L" xr:uid="{9395EE01-4649-4602-AB8A-96ADBB9652F9}"/>
    <hyperlink ref="E159" location="A127833066V" display="A127833066V" xr:uid="{C0C79AA2-E3C9-4F4A-AA44-877BE8E36ADB}"/>
    <hyperlink ref="E160" location="A127830096C" display="A127830096C" xr:uid="{39326F45-83DA-4792-81CB-DA63C8131D7C}"/>
    <hyperlink ref="E161" location="A127827126W" display="A127827126W" xr:uid="{5DD2F4A6-4754-47BC-962C-B006A599C7FD}"/>
    <hyperlink ref="E162" location="A127833061J" display="A127833061J" xr:uid="{54F3D7F9-3A75-4DD1-AFC0-EAA5E05B0D23}"/>
    <hyperlink ref="E163" location="A127830091T" display="A127830091T" xr:uid="{FC8CD3AA-9BBC-4194-ADC7-00866C652C4D}"/>
    <hyperlink ref="E164" location="A127827121K" display="A127827121K" xr:uid="{E3091A86-58EC-4354-91D0-B39D8A9B3F48}"/>
    <hyperlink ref="E165" location="A127833059W" display="A127833059W" xr:uid="{92545E39-9070-4239-A7AE-B9470E11CB11}"/>
    <hyperlink ref="E166" location="A127830089F" display="A127830089F" xr:uid="{A77B59AE-F393-4B73-895D-4CB28DA23A0E}"/>
    <hyperlink ref="E167" location="A127827119X" display="A127827119X" xr:uid="{A7E8FB78-6463-4E0A-8F2E-2900F5BDC84F}"/>
    <hyperlink ref="E168" location="A127833070K" display="A127833070K" xr:uid="{4B3168C3-91A1-4D5F-9679-B3EC39D79641}"/>
    <hyperlink ref="E169" location="A127830100J" display="A127830100J" xr:uid="{9B949CE2-84AB-4C86-97C5-77F826AA5571}"/>
    <hyperlink ref="E170" location="A127827130L" display="A127827130L" xr:uid="{DB7FA066-C3A8-40C8-A43E-4D3DFC1269BE}"/>
    <hyperlink ref="E171" location="A127833058V" display="A127833058V" xr:uid="{7CD959D6-11A0-4D17-899E-7F28B3321603}"/>
    <hyperlink ref="E172" location="A127830088C" display="A127830088C" xr:uid="{ADD4E19B-8181-491C-85B1-E02E53A18FCB}"/>
    <hyperlink ref="E173" location="A127827118W" display="A127827118W" xr:uid="{34C08FDB-C231-4B1F-93EC-95E53747F79F}"/>
    <hyperlink ref="E174" location="A127833065T" display="A127833065T" xr:uid="{43699CF4-C676-4BEA-ACFA-C45638B76D93}"/>
    <hyperlink ref="E175" location="A127830095A" display="A127830095A" xr:uid="{5E0434E0-5F6C-49AB-8CD9-7523495C178E}"/>
    <hyperlink ref="E176" location="A127827125V" display="A127827125V" xr:uid="{06A2C19E-C9E4-4971-BA24-908D5420C691}"/>
    <hyperlink ref="E177" location="A127833060F" display="A127833060F" xr:uid="{8ED7D42D-7948-462A-88C3-851A75D14FFC}"/>
    <hyperlink ref="E178" location="A127830090R" display="A127830090R" xr:uid="{66054240-CABB-4918-BFD1-2B6627AE66E0}"/>
    <hyperlink ref="E179" location="A127827120J" display="A127827120J" xr:uid="{E8DEAD62-7288-4125-885E-242AE028A94F}"/>
    <hyperlink ref="E180" location="A127833057T" display="A127833057T" xr:uid="{C17CE93C-57F9-431D-8D64-FA6B222FE56E}"/>
    <hyperlink ref="E181" location="A127830087A" display="A127830087A" xr:uid="{0A79E9B6-1CED-437A-90C1-8D25B3F37052}"/>
    <hyperlink ref="E182" location="A127827117V" display="A127827117V" xr:uid="{DE432F15-9AE3-4C65-A395-250DCA8DEBBF}"/>
    <hyperlink ref="E183" location="A127833064R" display="A127833064R" xr:uid="{1DEA27BE-DADA-4CD4-9C87-7417ED027201}"/>
    <hyperlink ref="E184" location="A127830094X" display="A127830094X" xr:uid="{1DB7180E-AEB9-4560-8D39-E17159DB46CE}"/>
    <hyperlink ref="E185" location="A127827124T" display="A127827124T" xr:uid="{5143827E-5138-45C0-82BE-BBCD606CDAAD}"/>
    <hyperlink ref="E186" location="A127833063L" display="A127833063L" xr:uid="{F61A84F0-BF8E-4B90-9C14-0E638163197F}"/>
    <hyperlink ref="E187" location="A127830093W" display="A127830093W" xr:uid="{E0D5C092-8488-4B47-97BF-DC8B40237180}"/>
    <hyperlink ref="E188" location="A127827123R" display="A127827123R" xr:uid="{60C46EAF-6F3F-440E-A5DA-A01DF1F0266D}"/>
    <hyperlink ref="E189" location="A127833071L" display="A127833071L" xr:uid="{F8D66390-5C52-440C-B6E3-2CF3C014E658}"/>
    <hyperlink ref="E190" location="A127830101K" display="A127830101K" xr:uid="{48E1B842-4BED-4654-8360-9769E141EC13}"/>
    <hyperlink ref="E191" location="A127827131R" display="A127827131R" xr:uid="{72514733-59E6-4124-A24B-4937764E1744}"/>
    <hyperlink ref="E192" location="A127833037J" display="A127833037J" xr:uid="{4C71F628-BA98-4F30-AAE5-C06F33091488}"/>
    <hyperlink ref="E193" location="A127830067T" display="A127830067T" xr:uid="{FC7A607E-4884-419E-AF65-77E616367844}"/>
    <hyperlink ref="E194" location="A127827097W" display="A127827097W" xr:uid="{B41E9C31-1B3C-41F6-9E50-F2BE67C82DD5}"/>
    <hyperlink ref="E195" location="A127833039L" display="A127833039L" xr:uid="{7FD67856-F8A8-4A60-923E-527BB9AD02B3}"/>
    <hyperlink ref="E196" location="A127830069W" display="A127830069W" xr:uid="{BC3BA969-C029-4790-BFCB-2C60B69FC5B0}"/>
    <hyperlink ref="E197" location="A127827099A" display="A127827099A" xr:uid="{3B3AD680-7923-49C6-9BFA-E08461E8EA09}"/>
    <hyperlink ref="E198" location="A127833038K" display="A127833038K" xr:uid="{243DE5A1-5DF3-484F-9FA6-C84ED62CDD80}"/>
    <hyperlink ref="E199" location="A127830068V" display="A127830068V" xr:uid="{0F933A52-3399-462D-9C20-677AF94B1F6D}"/>
    <hyperlink ref="E200" location="A127827098X" display="A127827098X" xr:uid="{3CEF4648-9ADA-48E2-BE4A-E0718A1C7997}"/>
    <hyperlink ref="E201" location="A127833032W" display="A127833032W" xr:uid="{4B8F6A90-FFAF-4BD8-8F77-4C239C3E9316}"/>
    <hyperlink ref="E202" location="A127830062F" display="A127830062F" xr:uid="{05A1EC9F-8E4C-47DF-BBDF-E8C3E35D10FA}"/>
    <hyperlink ref="E203" location="A127827092K" display="A127827092K" xr:uid="{7BC44D32-752F-43C6-9DF7-8A7BB76E93CD}"/>
    <hyperlink ref="E204" location="A127833036F" display="A127833036F" xr:uid="{4B286472-15AE-4B48-8385-5326D6554877}"/>
    <hyperlink ref="E205" location="A127830066R" display="A127830066R" xr:uid="{2E6466B2-80DB-4C0C-B3F4-B3577274D19D}"/>
    <hyperlink ref="E206" location="A127827096V" display="A127827096V" xr:uid="{7BFB8D0A-06D3-4385-9D59-BEE035FB7B05}"/>
    <hyperlink ref="E207" location="A127833031V" display="A127833031V" xr:uid="{0436A938-B559-4C48-80D9-312C72B06D81}"/>
    <hyperlink ref="E208" location="A127830061C" display="A127830061C" xr:uid="{72764133-E74D-42B7-972B-00EC5A4E2805}"/>
    <hyperlink ref="E209" location="A127827091J" display="A127827091J" xr:uid="{E9A1EED0-7448-4B63-AAFB-933D81A5C025}"/>
    <hyperlink ref="E210" location="A127833029J" display="A127833029J" xr:uid="{CDEA062D-5E32-47CF-B7D3-3BEF51A49DE6}"/>
    <hyperlink ref="E211" location="A127830059T" display="A127830059T" xr:uid="{1E4F29EE-DB06-4AA4-A76E-217338595E12}"/>
    <hyperlink ref="E212" location="A127827089W" display="A127827089W" xr:uid="{D2C798FE-9EDD-4D61-9F80-E4C65626AE10}"/>
    <hyperlink ref="E213" location="A127833040W" display="A127833040W" xr:uid="{AA55037A-DB92-4572-A905-E815A0283527}"/>
    <hyperlink ref="E214" location="A127830070F" display="A127830070F" xr:uid="{841DF5F9-3043-434D-A2AF-8487BB0329C1}"/>
    <hyperlink ref="E215" location="A127827100X" display="A127827100X" xr:uid="{AA894D3F-9C75-424C-B91E-3CF0578CD6E3}"/>
    <hyperlink ref="E216" location="A127833028F" display="A127833028F" xr:uid="{CC7865D0-9244-40E9-B11E-7F71642E410C}"/>
    <hyperlink ref="E217" location="A127830058R" display="A127830058R" xr:uid="{44EC1C4C-D8D9-43A9-BF5C-645425BF702D}"/>
    <hyperlink ref="E218" location="A127827088V" display="A127827088V" xr:uid="{F92C573E-CB2A-42D6-B9B4-6B5686E90E2F}"/>
    <hyperlink ref="E219" location="A127833035C" display="A127833035C" xr:uid="{43902E48-8A8E-4D2A-A18B-76F66BECEE25}"/>
    <hyperlink ref="E220" location="A127830065L" display="A127830065L" xr:uid="{DD4E8649-9ADA-4C01-9DD9-7D108901C548}"/>
    <hyperlink ref="E221" location="A127827095T" display="A127827095T" xr:uid="{75DCEB46-A7C0-49A0-9092-88B4791F9B96}"/>
    <hyperlink ref="E222" location="A127833030T" display="A127833030T" xr:uid="{6E94C218-CB95-4F68-BF05-2CA5CF55FC49}"/>
    <hyperlink ref="E223" location="A127830060A" display="A127830060A" xr:uid="{EA48E61E-F442-4CCC-8C67-3FF38315733C}"/>
    <hyperlink ref="E224" location="A127827090F" display="A127827090F" xr:uid="{6636C5EF-C6F2-40C8-B726-67DDD8A87339}"/>
    <hyperlink ref="E225" location="A127833027C" display="A127833027C" xr:uid="{3ECD7764-85EF-47A9-A80B-5576B02380AB}"/>
    <hyperlink ref="E226" location="A127830057L" display="A127830057L" xr:uid="{572823D3-02D5-4C3C-8EE1-2B814E0B780C}"/>
    <hyperlink ref="E227" location="A127827087T" display="A127827087T" xr:uid="{BE905A67-E599-4EA6-A93A-B2D49CE159B7}"/>
    <hyperlink ref="E228" location="A127833034A" display="A127833034A" xr:uid="{6AAF305C-7D21-4396-8B15-FA3A916516DE}"/>
    <hyperlink ref="E229" location="A127830064K" display="A127830064K" xr:uid="{EC5EFEFE-F566-40CD-9D5C-958D28FBDD2E}"/>
    <hyperlink ref="E230" location="A127827094R" display="A127827094R" xr:uid="{5FD9FEAC-412D-4E99-8D04-2958DE62B9E4}"/>
    <hyperlink ref="E231" location="A127833033X" display="A127833033X" xr:uid="{A3D1010B-5C39-4A75-9399-9A31DFCE0513}"/>
    <hyperlink ref="E232" location="A127830063J" display="A127830063J" xr:uid="{AB9D37EE-B58B-4CBA-B76E-5BD3C63A510D}"/>
    <hyperlink ref="E233" location="A127827093L" display="A127827093L" xr:uid="{D82AE854-61CD-4A06-999E-69CA28331614}"/>
    <hyperlink ref="E234" location="A127833041X" display="A127833041X" xr:uid="{53ECA997-AAE4-428E-82C9-7B3A9ACE8C65}"/>
    <hyperlink ref="E235" location="A127830071J" display="A127830071J" xr:uid="{1CF7D1A2-F775-4F7F-9F13-FDE70426F2A1}"/>
    <hyperlink ref="E236" location="A127827101A" display="A127827101A" xr:uid="{4F5AB36E-B18D-40CF-AA89-816F082F6695}"/>
    <hyperlink ref="E237" location="A127833217T" display="A127833217T" xr:uid="{A36A1835-0AC4-45CF-B196-D7DBD6BA7DA5}"/>
    <hyperlink ref="E238" location="A127830247A" display="A127830247A" xr:uid="{88BAB6D5-60B0-47A5-BCE2-46FB98E3BCCF}"/>
    <hyperlink ref="E239" location="A127827277F" display="A127827277F" xr:uid="{8A6F41A5-4213-44C3-B111-A0FDB007CB4F}"/>
    <hyperlink ref="E240" location="A127833219W" display="A127833219W" xr:uid="{FF3EE37C-E5EE-4626-93E8-FF1BD17BBBC1}"/>
    <hyperlink ref="E241" location="A127830249F" display="A127830249F" xr:uid="{EDBFC693-2C77-48C4-A024-B8CF2B9D13C1}"/>
    <hyperlink ref="E242" location="A127827279K" display="A127827279K" xr:uid="{A65D8A2A-BAFC-4D71-8F3B-B381FBC4C3D3}"/>
    <hyperlink ref="E243" location="A127833218V" display="A127833218V" xr:uid="{D743BB10-5CA0-4BBB-A5BE-D32AD6DC4C2E}"/>
    <hyperlink ref="E244" location="A127830248C" display="A127830248C" xr:uid="{19ECBBA3-07E6-4CA4-8D51-7BB1E6120DEF}"/>
    <hyperlink ref="E245" location="A127827278J" display="A127827278J" xr:uid="{AA20649F-1CC5-456B-9B15-8A8462DA6D8F}"/>
    <hyperlink ref="E246" location="A127833212F" display="A127833212F" xr:uid="{410B8424-50F1-4D4D-89E0-E08CC28A4AB7}"/>
    <hyperlink ref="E247" location="A127830242R" display="A127830242R" xr:uid="{5928687C-2FA5-4740-8D88-8633916CC2A2}"/>
    <hyperlink ref="E248" location="A127827272V" display="A127827272V" xr:uid="{2C87E9F3-2381-4675-9009-C7C61F11834B}"/>
    <hyperlink ref="E249" location="A127833216R" display="A127833216R" xr:uid="{521648E0-2351-4680-A545-996AA3ABEBA6}"/>
    <hyperlink ref="E250" location="A127830246X" display="A127830246X" xr:uid="{4AEA9CC9-BC23-408A-AAF2-77BDAB205D05}"/>
    <hyperlink ref="E251" location="A127827276C" display="A127827276C" xr:uid="{BD680450-C3DD-428E-868C-40BE76D23BF1}"/>
    <hyperlink ref="E252" location="A127833211C" display="A127833211C" xr:uid="{02CB00CD-E93A-4605-8E08-8AA42801B2DE}"/>
    <hyperlink ref="E253" location="A127830241L" display="A127830241L" xr:uid="{783683E1-6769-451E-A93E-955BB6C1629B}"/>
    <hyperlink ref="E254" location="A127827271T" display="A127827271T" xr:uid="{6CA966F6-9A43-47BC-951B-D687CDD07094}"/>
    <hyperlink ref="E255" location="A127833209T" display="A127833209T" xr:uid="{7451D702-3E4E-4783-849B-AA25713C56D6}"/>
    <hyperlink ref="E256" location="A127830239A" display="A127830239A" xr:uid="{3B659046-2073-443E-9E71-6FBC90CD889F}"/>
    <hyperlink ref="E257" location="A127827269F" display="A127827269F" xr:uid="{061FC683-B43B-4988-BC76-129DDEFF246D}"/>
    <hyperlink ref="E258" location="A127833220F" display="A127833220F" xr:uid="{77A601C4-DAD5-4A8D-8FDF-25375393730D}"/>
    <hyperlink ref="E259" location="A127830250R" display="A127830250R" xr:uid="{ED5B7D1B-F785-4C0E-B152-B3BAC0B52556}"/>
    <hyperlink ref="E260" location="A127827280V" display="A127827280V" xr:uid="{15FC5C4E-C83A-439D-AF6C-E8268C4C755E}"/>
    <hyperlink ref="E261" location="A127833208R" display="A127833208R" xr:uid="{53BCBF19-ADF4-4DCD-99C9-5BDC5564F132}"/>
    <hyperlink ref="E262" location="A127830238X" display="A127830238X" xr:uid="{8FF83420-732F-48C0-AF21-51E3D89F4E2E}"/>
    <hyperlink ref="E263" location="A127827268C" display="A127827268C" xr:uid="{DDE20B95-9346-42B3-8247-7CC5425A65F5}"/>
    <hyperlink ref="E264" location="A127833215L" display="A127833215L" xr:uid="{7AF306EE-750C-4F4A-81DF-0ADFC8C4E2AD}"/>
    <hyperlink ref="E265" location="A127830245W" display="A127830245W" xr:uid="{A7B2FC9A-704B-4F9E-935B-8F49B653C301}"/>
    <hyperlink ref="E266" location="A127827275A" display="A127827275A" xr:uid="{50A64176-00AD-40B2-ADC1-D653D1E7CA28}"/>
    <hyperlink ref="E267" location="A127833210A" display="A127833210A" xr:uid="{01B45C5A-6D82-4D6F-9CE9-75A33840DDEA}"/>
    <hyperlink ref="E268" location="A127830240K" display="A127830240K" xr:uid="{84D9AF2A-34D9-4E59-9E64-364F1A897DF1}"/>
    <hyperlink ref="E269" location="A127827270R" display="A127827270R" xr:uid="{B1BCA2A0-AE85-4219-AD65-E4A0CE2E9E44}"/>
    <hyperlink ref="E270" location="A127833207L" display="A127833207L" xr:uid="{14497CC8-C84F-4D49-B65F-6C0FED9042E7}"/>
    <hyperlink ref="E271" location="A127830237W" display="A127830237W" xr:uid="{806D88A7-B15D-4A02-B163-CCB2E9A0036F}"/>
    <hyperlink ref="E272" location="A127827267A" display="A127827267A" xr:uid="{99A0EAA1-503B-434A-A2C7-5046E96E4B9A}"/>
    <hyperlink ref="E273" location="A127833214K" display="A127833214K" xr:uid="{2F945A0F-4DAB-4DD1-8441-1C880BF0C4F3}"/>
    <hyperlink ref="E274" location="A127830244V" display="A127830244V" xr:uid="{353D6BDE-3245-4566-8135-9C4D3B38AB9B}"/>
    <hyperlink ref="E275" location="A127827274X" display="A127827274X" xr:uid="{67235E49-B7AA-4406-8761-9B6FD65FAEC8}"/>
    <hyperlink ref="E276" location="A127833213J" display="A127833213J" xr:uid="{95F3240A-6A9B-48BA-9716-BF7B70E96ADC}"/>
    <hyperlink ref="E277" location="A127830243T" display="A127830243T" xr:uid="{52E68A56-4447-4F2A-831F-9C9A92103D46}"/>
    <hyperlink ref="E278" location="A127827273W" display="A127827273W" xr:uid="{BEF8DD3B-3B3E-4B26-9487-3DF045EEE11F}"/>
    <hyperlink ref="E279" location="A127833221J" display="A127833221J" xr:uid="{7BE14D77-67EA-4B4F-A609-9C8A3B92D392}"/>
    <hyperlink ref="E280" location="A127830251T" display="A127830251T" xr:uid="{578EEC94-DFE2-4C04-882C-40EE2F6E7582}"/>
    <hyperlink ref="E281" location="A127827281W" display="A127827281W" xr:uid="{22DD9AB1-094F-42EB-82D5-6C763934033C}"/>
    <hyperlink ref="E282" location="A127833247F" display="A127833247F" xr:uid="{DF745BD2-BEFF-4D69-A5F3-952B72EF6CEC}"/>
    <hyperlink ref="E283" location="A127830277R" display="A127830277R" xr:uid="{13BCE36D-9A16-4453-A5E8-B79413A11215}"/>
    <hyperlink ref="E284" location="A127827307J" display="A127827307J" xr:uid="{53DC5227-8607-4C0E-A88C-55A856E629C7}"/>
    <hyperlink ref="E285" location="A127833249K" display="A127833249K" xr:uid="{D9DAEA7E-62B0-45E8-8565-9C0230C4AAB0}"/>
    <hyperlink ref="E286" location="A127830279V" display="A127830279V" xr:uid="{FFBC825F-FF90-4E2A-8D9D-1086DD0C5C3D}"/>
    <hyperlink ref="E287" location="A127827309L" display="A127827309L" xr:uid="{A2876A04-08B6-4C4D-BCF3-DB0C848D8D54}"/>
    <hyperlink ref="E288" location="A127833248J" display="A127833248J" xr:uid="{9306CA63-3B70-4D40-B148-4C7741AEDF35}"/>
    <hyperlink ref="E289" location="A127830278T" display="A127830278T" xr:uid="{3ADDD339-2069-4AD6-A672-8B6F27DE3D1E}"/>
    <hyperlink ref="E290" location="A127827308K" display="A127827308K" xr:uid="{CA5F9EAD-F926-452B-A80A-480B2AC21CEA}"/>
    <hyperlink ref="E291" location="A127833242V" display="A127833242V" xr:uid="{9D5FA29A-2FAB-4C28-9C0A-6C06B586D6FE}"/>
    <hyperlink ref="E292" location="A127830272C" display="A127830272C" xr:uid="{AFA80AA7-A3F8-4C70-B7EF-855860B5A62D}"/>
    <hyperlink ref="E293" location="A127827302W" display="A127827302W" xr:uid="{4301D236-F383-45C1-B3D4-A409E9932322}"/>
    <hyperlink ref="E294" location="A127833246C" display="A127833246C" xr:uid="{49D5B931-C5C4-4A28-B766-83B8EE3D7A54}"/>
    <hyperlink ref="E295" location="A127830276L" display="A127830276L" xr:uid="{77420358-D958-4E2F-BBF7-9BAEABA6855C}"/>
    <hyperlink ref="E296" location="A127827306F" display="A127827306F" xr:uid="{A9FD513F-4CFA-41DE-9221-1B42CD72BF74}"/>
    <hyperlink ref="E297" location="A127833241T" display="A127833241T" xr:uid="{A9F39936-D85E-420F-A023-D0B489EB27A4}"/>
    <hyperlink ref="E298" location="A127830271A" display="A127830271A" xr:uid="{D7BB2606-69E6-4E6C-91A4-55E4D7F7F8A9}"/>
    <hyperlink ref="E299" location="A127827301V" display="A127827301V" xr:uid="{2EC931A8-8ADD-464D-8F0A-8C9E8FABB710}"/>
    <hyperlink ref="E300" location="A127833239F" display="A127833239F" xr:uid="{827361C4-7090-4927-8D2D-EB1D2A593E75}"/>
    <hyperlink ref="E301" location="A127830269R" display="A127830269R" xr:uid="{A21702F5-CE48-4AE1-95A9-F414B43CBCCA}"/>
    <hyperlink ref="E302" location="A127827299V" display="A127827299V" xr:uid="{AEEC26EF-9EA2-45CE-884B-F7EA524D005F}"/>
    <hyperlink ref="E303" location="A127833250V" display="A127833250V" xr:uid="{6B68FB7C-CA68-4ADB-ACE0-97035C4D3389}"/>
    <hyperlink ref="E304" location="A127830280C" display="A127830280C" xr:uid="{FC4F03FF-39FF-40D5-87A7-BD0D30E0E642}"/>
    <hyperlink ref="E305" location="A127827310W" display="A127827310W" xr:uid="{37314D6F-B09E-41C1-9DD1-5FB2E1E7875F}"/>
    <hyperlink ref="E306" location="A127833238C" display="A127833238C" xr:uid="{B7CDE77B-E9EB-46F9-BA77-5895C8BB20EA}"/>
    <hyperlink ref="E307" location="A127830268L" display="A127830268L" xr:uid="{8B0D51E2-160A-401D-9F4F-8DB3092E816B}"/>
    <hyperlink ref="E308" location="A127827298T" display="A127827298T" xr:uid="{67CEA82A-53A8-42DD-97FF-4362E660E0B3}"/>
    <hyperlink ref="E309" location="A127833245A" display="A127833245A" xr:uid="{472A6AD7-7821-4C4E-9967-17E8B4FDC991}"/>
    <hyperlink ref="E310" location="A127830275K" display="A127830275K" xr:uid="{4D1D718E-8CF4-4D45-B530-7D7A72B5B64D}"/>
    <hyperlink ref="E311" location="A127827305C" display="A127827305C" xr:uid="{547601D1-CD99-4796-B33A-EC06C800B8E2}"/>
    <hyperlink ref="E312" location="A127833240R" display="A127833240R" xr:uid="{80C73DFA-236C-48D3-8476-2B1479EEF8C5}"/>
    <hyperlink ref="E313" location="A127830270X" display="A127830270X" xr:uid="{C78224CA-9F0E-458D-B2A8-55E272C16A47}"/>
    <hyperlink ref="E314" location="A127827300T" display="A127827300T" xr:uid="{B20ADA9E-FBE6-4BEC-8676-8C98CB8C0D19}"/>
    <hyperlink ref="E315" location="A127833237A" display="A127833237A" xr:uid="{AAFE803A-CE24-4989-8333-3135BDADB11A}"/>
    <hyperlink ref="E316" location="A127830267K" display="A127830267K" xr:uid="{8F280F2C-AF87-4283-BCDA-C82CFF0CE608}"/>
    <hyperlink ref="E317" location="A127827297R" display="A127827297R" xr:uid="{BB57AD69-D7E5-478A-B85C-DF631A0EE31A}"/>
    <hyperlink ref="E318" location="A127833244X" display="A127833244X" xr:uid="{F0A92319-EE15-4C86-8A8E-35B34EAC208B}"/>
    <hyperlink ref="E319" location="A127830274J" display="A127830274J" xr:uid="{FDA029D2-7A20-4AB8-9739-04A7B041BF12}"/>
    <hyperlink ref="E320" location="A127827304A" display="A127827304A" xr:uid="{A3839AAB-AC14-4D34-B220-D7AEA478D60C}"/>
    <hyperlink ref="E321" location="A127833243W" display="A127833243W" xr:uid="{B649E1B0-CDC0-4C85-A206-131550E50A28}"/>
    <hyperlink ref="E322" location="A127830273F" display="A127830273F" xr:uid="{7B5FAF14-BAF0-441D-90A3-594E80CDE9FE}"/>
    <hyperlink ref="E323" location="A127827303X" display="A127827303X" xr:uid="{29931B9C-FBB0-4941-9162-7645986184EB}"/>
    <hyperlink ref="E324" location="A127833251W" display="A127833251W" xr:uid="{CD559303-67FE-4F6B-9CED-8B1D4B7C021B}"/>
    <hyperlink ref="E325" location="A127830281F" display="A127830281F" xr:uid="{CBB1C2A5-4657-45C1-8AC2-0E6FD2432018}"/>
    <hyperlink ref="E326" location="A127827311X" display="A127827311X" xr:uid="{E4CEC0AB-D3C1-40AB-A5B2-F576B56CBD34}"/>
    <hyperlink ref="E327" location="A127833157A" display="A127833157A" xr:uid="{AFD5A707-E442-4C91-906D-7CF6643CF73F}"/>
    <hyperlink ref="E328" location="A127830187K" display="A127830187K" xr:uid="{68366B02-D5E4-4D19-B4AA-F01B80CC91FC}"/>
    <hyperlink ref="E329" location="A127827217C" display="A127827217C" xr:uid="{9C6E3000-99DB-4A44-9DB1-98E5D575146A}"/>
    <hyperlink ref="E330" location="A127833159F" display="A127833159F" xr:uid="{5FF065C7-4E3C-4A60-9009-E79627FA478C}"/>
    <hyperlink ref="E331" location="A127830189R" display="A127830189R" xr:uid="{F13569F7-D959-4B87-968E-11F03DCBA4E6}"/>
    <hyperlink ref="E332" location="A127827219J" display="A127827219J" xr:uid="{4AE3CF5B-B8AC-4932-ABE4-536319E1829B}"/>
    <hyperlink ref="E333" location="A127833158C" display="A127833158C" xr:uid="{017064A2-0DE7-4ED1-A045-F87CA31F6E1C}"/>
    <hyperlink ref="E334" location="A127830188L" display="A127830188L" xr:uid="{4A5FE479-9A9E-47C9-946D-F4F7BAD17122}"/>
    <hyperlink ref="E335" location="A127827218F" display="A127827218F" xr:uid="{FBB0B364-1860-4CC1-8279-DD6CD0D07225}"/>
    <hyperlink ref="E336" location="A127833152R" display="A127833152R" xr:uid="{38816AD7-6F81-43B0-ADD5-F0054B65E174}"/>
    <hyperlink ref="E337" location="A127830182X" display="A127830182X" xr:uid="{6D62280F-81BB-44CF-89A4-8169BD7A4F55}"/>
    <hyperlink ref="E338" location="A127827212T" display="A127827212T" xr:uid="{4AE648BA-40FA-4764-B9E0-852E861F62E3}"/>
    <hyperlink ref="E339" location="A127833156X" display="A127833156X" xr:uid="{49F1262E-74B0-47D6-B003-9FDEA4EFA953}"/>
    <hyperlink ref="E340" location="A127830186J" display="A127830186J" xr:uid="{8E653031-A11C-4BCE-8B14-C9AED2E72BDD}"/>
    <hyperlink ref="E341" location="A127827216A" display="A127827216A" xr:uid="{10DD04A9-0204-456A-A78C-51D88EF7D5E2}"/>
    <hyperlink ref="E342" location="A127833151L" display="A127833151L" xr:uid="{C4E38F5D-DC25-4172-884A-2D0B2CFEF46F}"/>
    <hyperlink ref="E343" location="A127830181W" display="A127830181W" xr:uid="{B7FB6125-BEC6-4599-8497-F8B1DD50D3E5}"/>
    <hyperlink ref="E344" location="A127827211R" display="A127827211R" xr:uid="{C38CB3BA-12BD-4988-BB5A-EE056C66ACF1}"/>
    <hyperlink ref="E345" location="A127833149A" display="A127833149A" xr:uid="{AE59F251-8D10-42AA-ACDE-26249B4C936D}"/>
    <hyperlink ref="E346" location="A127830179K" display="A127830179K" xr:uid="{8B2BC487-BDBB-447D-91E6-A8EEB99AD52E}"/>
    <hyperlink ref="E347" location="A127827209C" display="A127827209C" xr:uid="{0C51E9B4-5A71-4A8A-9555-E98630A8819D}"/>
    <hyperlink ref="E348" location="A127833160R" display="A127833160R" xr:uid="{B3000666-F84D-4975-94FB-E69B4970F5D5}"/>
    <hyperlink ref="E349" location="A127830190X" display="A127830190X" xr:uid="{044FAB4E-7AD7-4D85-8A27-147ED4383738}"/>
    <hyperlink ref="E350" location="A127827220T" display="A127827220T" xr:uid="{8B9FC4E1-82F0-463C-91DF-F64807E7DBBE}"/>
    <hyperlink ref="E351" location="A127833148X" display="A127833148X" xr:uid="{35CCFC8C-EDD8-46EE-A59A-623DDBD03DE5}"/>
    <hyperlink ref="E352" location="A127830178J" display="A127830178J" xr:uid="{263B8EBA-B170-4A77-9C2D-0343E5ED5E72}"/>
    <hyperlink ref="E353" location="A127827208A" display="A127827208A" xr:uid="{31D1ED07-1F61-4318-8B62-3D0E2B2F5098}"/>
    <hyperlink ref="E354" location="A127833155W" display="A127833155W" xr:uid="{7EE02EC7-98C0-4718-BC12-5700F0B87979}"/>
    <hyperlink ref="E355" location="A127830185F" display="A127830185F" xr:uid="{4017BCC9-7308-4F1E-AE9C-D41F985EE301}"/>
    <hyperlink ref="E356" location="A127827215X" display="A127827215X" xr:uid="{F995F5DB-13EE-4D9B-B889-BCF14BB4FB79}"/>
    <hyperlink ref="E357" location="A127833150K" display="A127833150K" xr:uid="{C3599D15-CB5C-412B-B871-513CC127BD84}"/>
    <hyperlink ref="E358" location="A127830180V" display="A127830180V" xr:uid="{B7CC4E52-D897-4574-A340-EEB271214CFA}"/>
    <hyperlink ref="E359" location="A127827210L" display="A127827210L" xr:uid="{C975EC07-F7F8-4FA7-BA90-E0B4D9927DC6}"/>
    <hyperlink ref="E360" location="A127833147W" display="A127833147W" xr:uid="{4E8E3D82-7C97-4C3A-BA7F-B18053B3739B}"/>
    <hyperlink ref="E361" location="A127830177F" display="A127830177F" xr:uid="{A3A2A624-240D-4A6D-95BE-3457125E9C08}"/>
    <hyperlink ref="E362" location="A127827207X" display="A127827207X" xr:uid="{85E7F20F-6674-4755-95B4-B8842C314AF4}"/>
    <hyperlink ref="E363" location="A127833154V" display="A127833154V" xr:uid="{F83D4D3B-180D-4765-9B05-D7BFC6F5E7CD}"/>
    <hyperlink ref="E364" location="A127830184C" display="A127830184C" xr:uid="{2FB83C4A-7221-44D0-880E-2394872D18E4}"/>
    <hyperlink ref="E365" location="A127827214W" display="A127827214W" xr:uid="{EA3B36B4-134F-464F-982D-65757E77647E}"/>
    <hyperlink ref="E366" location="A127833153T" display="A127833153T" xr:uid="{90A50E53-2253-4385-95AC-9D791913CCB6}"/>
    <hyperlink ref="E367" location="A127830183A" display="A127830183A" xr:uid="{29088FED-A791-4520-9F55-CC921FFE24EA}"/>
    <hyperlink ref="E368" location="A127827213V" display="A127827213V" xr:uid="{1368AA5B-2C40-43F1-997C-FAF64CE92902}"/>
    <hyperlink ref="E369" location="A127833161T" display="A127833161T" xr:uid="{EC4CCB0A-D6C2-4EEA-894F-F5356A1BABEA}"/>
    <hyperlink ref="E370" location="A127830191A" display="A127830191A" xr:uid="{8464397A-0139-4E07-85E6-193B9D91EE55}"/>
    <hyperlink ref="E371" location="A127827221V" display="A127827221V" xr:uid="{B4D63784-23D3-4CA2-B003-ED292E69895B}"/>
    <hyperlink ref="E372" location="A127833007V" display="A127833007V" xr:uid="{A6268AE2-1B43-4327-80F3-41D99E21EF46}"/>
    <hyperlink ref="E373" location="A127830037C" display="A127830037C" xr:uid="{19185E3C-6A19-4D78-9B1D-B636E42C1556}"/>
    <hyperlink ref="E374" location="A127827067J" display="A127827067J" xr:uid="{08F2EC7F-D9CC-4695-8962-BD8EE4E43233}"/>
    <hyperlink ref="E375" location="A127833009X" display="A127833009X" xr:uid="{D7A6307D-EB89-4E47-AF78-1CEAFB71CFA6}"/>
    <hyperlink ref="E376" location="A127830039J" display="A127830039J" xr:uid="{2C367995-E7C4-4900-A52A-83049140F23B}"/>
    <hyperlink ref="E377" location="A127827069L" display="A127827069L" xr:uid="{F2F03E2D-4892-4131-85C2-688EA75DC37B}"/>
    <hyperlink ref="E378" location="A127833008W" display="A127833008W" xr:uid="{91D326EA-A42D-4FBE-82EA-402253D96763}"/>
    <hyperlink ref="E379" location="A127830038F" display="A127830038F" xr:uid="{2ABE76FE-DA9B-4F20-9950-FE7B44B15AC6}"/>
    <hyperlink ref="E380" location="A127827068K" display="A127827068K" xr:uid="{529EA59F-6B48-4B22-9993-DBD6C07E2814}"/>
    <hyperlink ref="E381" location="A127833002J" display="A127833002J" xr:uid="{E5528683-B6CB-4CFB-AAD1-94A034C63A44}"/>
    <hyperlink ref="E382" location="A127830032T" display="A127830032T" xr:uid="{C789691F-E075-43BB-8E80-20EDA2625B71}"/>
    <hyperlink ref="E383" location="A127827062W" display="A127827062W" xr:uid="{ADB4CF68-3172-42D1-ABDF-43B08591155A}"/>
    <hyperlink ref="E384" location="A127833006T" display="A127833006T" xr:uid="{B3ED6912-CB28-46DD-9835-2CB265B73FDA}"/>
    <hyperlink ref="E385" location="A127830036A" display="A127830036A" xr:uid="{9E9CE65A-5DCB-4B33-B6BC-DFF4185C8854}"/>
    <hyperlink ref="E386" location="A127827066F" display="A127827066F" xr:uid="{405F69F2-AA32-4419-8578-C3D9DA570EAC}"/>
    <hyperlink ref="E387" location="A127833001F" display="A127833001F" xr:uid="{C4BE68B4-9E92-4F26-A702-9F04EAE94B12}"/>
    <hyperlink ref="E388" location="A127830031R" display="A127830031R" xr:uid="{08C80456-984D-41F9-85F3-70ECD5F15441}"/>
    <hyperlink ref="E389" location="A127827061V" display="A127827061V" xr:uid="{70ED8AE5-AC73-4CFD-9BF0-DE288327F686}"/>
    <hyperlink ref="E390" location="A127832999C" display="A127832999C" xr:uid="{B22FE1E5-3BAD-4CD3-B6C9-8818D7F943DC}"/>
    <hyperlink ref="E391" location="A127830029C" display="A127830029C" xr:uid="{CB3D22B9-788C-4C02-97DB-A9EEFD6AF83D}"/>
    <hyperlink ref="E392" location="A127827059J" display="A127827059J" xr:uid="{42E69518-9224-44A5-BE74-038E443A2DE9}"/>
    <hyperlink ref="E393" location="A127833010J" display="A127833010J" xr:uid="{6FC8BD54-1B99-4D65-B4C1-312A144498FB}"/>
    <hyperlink ref="E394" location="A127830040T" display="A127830040T" xr:uid="{6EB15D5E-5A47-4FAD-8D5A-0277EA8C7DDE}"/>
    <hyperlink ref="E395" location="A127827070W" display="A127827070W" xr:uid="{E70E7790-3D92-46DB-8978-B19EC63B2132}"/>
    <hyperlink ref="E396" location="A127832998A" display="A127832998A" xr:uid="{AF0CA8F2-0CE5-4571-8BC6-6E629898A6D2}"/>
    <hyperlink ref="E397" location="A127830028A" display="A127830028A" xr:uid="{1FAB125F-65A9-4685-98A3-8216EE1352AE}"/>
    <hyperlink ref="E398" location="A127827058F" display="A127827058F" xr:uid="{29F0443C-E133-4F45-BCBD-8D48E145B949}"/>
    <hyperlink ref="E399" location="A127833005R" display="A127833005R" xr:uid="{D9C0B789-FDF9-41CD-B0F0-D1B22F4ED4BF}"/>
    <hyperlink ref="E400" location="A127830035X" display="A127830035X" xr:uid="{F2969A7E-1DB8-44C2-9B64-5A0DBD4C7D0D}"/>
    <hyperlink ref="E401" location="A127827065C" display="A127827065C" xr:uid="{68107B14-ADC6-438F-9FF8-FDFC4330CF3A}"/>
    <hyperlink ref="E402" location="A127833000C" display="A127833000C" xr:uid="{132083AF-9D05-447A-A3E5-67BEBB66E352}"/>
    <hyperlink ref="E403" location="A127830030L" display="A127830030L" xr:uid="{83985942-44C6-45F5-BD0F-25AC7A59EF8E}"/>
    <hyperlink ref="E404" location="A127827060T" display="A127827060T" xr:uid="{C496B031-95B9-4959-A958-953BDA99E4B7}"/>
    <hyperlink ref="E405" location="A127832997X" display="A127832997X" xr:uid="{09E1F318-B83C-4C8F-9757-CBA0ED2D4063}"/>
    <hyperlink ref="E406" location="A127830027X" display="A127830027X" xr:uid="{DC0DD834-4CE5-4A39-A8EE-9A65593F9748}"/>
    <hyperlink ref="E407" location="A127827057C" display="A127827057C" xr:uid="{5AFCC5E1-B5B1-4CBC-9C85-3375AAEC2D0F}"/>
    <hyperlink ref="E408" location="A127833004L" display="A127833004L" xr:uid="{720AEA75-EF5A-48DD-B7CD-F216077E6447}"/>
    <hyperlink ref="E409" location="A127830034W" display="A127830034W" xr:uid="{F66AA33F-6CF0-428B-8FC0-9354BC7FB32D}"/>
    <hyperlink ref="E410" location="A127827064A" display="A127827064A" xr:uid="{0CFB2A62-6239-412F-9482-0C19F77958B6}"/>
    <hyperlink ref="E411" location="A127833003K" display="A127833003K" xr:uid="{AA7A718A-7CB0-401B-B0AF-A6C6B751A8CA}"/>
    <hyperlink ref="E412" location="A127830033V" display="A127830033V" xr:uid="{42B496A1-83D8-4C71-ADA5-870CA3665F75}"/>
    <hyperlink ref="E413" location="A127827063X" display="A127827063X" xr:uid="{91E091EF-E7AE-48D1-8AFF-B5483ADD5D80}"/>
    <hyperlink ref="E414" location="A127833011K" display="A127833011K" xr:uid="{F4C75E81-A185-44E3-8BC5-5968495BC598}"/>
    <hyperlink ref="E415" location="A127830041V" display="A127830041V" xr:uid="{D92D7AAF-DD48-40BA-952D-C3923F094A1B}"/>
    <hyperlink ref="E416" location="A127827071X" display="A127827071X" xr:uid="{6986DB1E-788E-41E8-B297-F321F7C1991F}"/>
    <hyperlink ref="E417" location="A127832977R" display="A127832977R" xr:uid="{0F05700C-DAAE-4EC4-A663-61A3AAC9747A}"/>
    <hyperlink ref="E418" location="A127830007R" display="A127830007R" xr:uid="{567DCC3A-1FD4-4DF8-9BF6-B7E9D349E948}"/>
    <hyperlink ref="E419" location="A127827037V" display="A127827037V" xr:uid="{1AF37032-49CA-4A8B-8F6D-22D7181CA4EF}"/>
    <hyperlink ref="E420" location="A127832979V" display="A127832979V" xr:uid="{547B6EBD-A87C-48AA-BB80-6948B0EB0AE1}"/>
    <hyperlink ref="E421" location="A127830009V" display="A127830009V" xr:uid="{A3BBCBE3-D0FD-4C63-A87A-E2DE02475D88}"/>
    <hyperlink ref="E422" location="A127827039X" display="A127827039X" xr:uid="{1F12C208-6B28-49DC-BEE7-B27E532FDA77}"/>
    <hyperlink ref="E423" location="A127832978T" display="A127832978T" xr:uid="{F14B3422-21A9-4E6B-84E2-6C4A3FBA0787}"/>
    <hyperlink ref="E424" location="A127830008T" display="A127830008T" xr:uid="{3955D13C-0EDF-4C3E-97F0-A7BDC0AACB39}"/>
    <hyperlink ref="E425" location="A127827038W" display="A127827038W" xr:uid="{CCDDD27F-CA91-4DCC-BF92-A3A8F591016C}"/>
    <hyperlink ref="E426" location="A127832972C" display="A127832972C" xr:uid="{811F8B39-79D6-48DB-B0E9-64A580CBE3E3}"/>
    <hyperlink ref="E427" location="A127830002C" display="A127830002C" xr:uid="{284BA6F6-CB5D-422B-9AE5-A5B19737C5F7}"/>
    <hyperlink ref="E428" location="A127827032J" display="A127827032J" xr:uid="{9DFCC1C2-B4A7-4968-B138-D5C249E8B99B}"/>
    <hyperlink ref="E429" location="A127832976L" display="A127832976L" xr:uid="{C960CCDA-F586-497F-B8C4-10754859ECD5}"/>
    <hyperlink ref="E430" location="A127830006L" display="A127830006L" xr:uid="{D3305CAA-9823-40CD-84D1-129B06B13A60}"/>
    <hyperlink ref="E431" location="A127827036T" display="A127827036T" xr:uid="{C7889AEC-56F1-49AD-B73F-1FADE1853CFB}"/>
    <hyperlink ref="E432" location="A127832971A" display="A127832971A" xr:uid="{F8107DE4-44A6-4E56-B7A5-53607E007064}"/>
    <hyperlink ref="E433" location="A127830001A" display="A127830001A" xr:uid="{21935149-A7AE-4937-A604-BEEEE2F8462F}"/>
    <hyperlink ref="E434" location="A127827031F" display="A127827031F" xr:uid="{6602B5A2-9079-4FB3-9D59-68C25A024040}"/>
    <hyperlink ref="E435" location="A127832969R" display="A127832969R" xr:uid="{CF0C3048-1F21-484B-B275-FE386D1B7234}"/>
    <hyperlink ref="E436" location="A127829999V" display="A127829999V" xr:uid="{70610E11-362C-4489-B6A1-243BECA9220A}"/>
    <hyperlink ref="E437" location="A127827029V" display="A127827029V" xr:uid="{F97FBC71-47A5-41B8-A277-096248DBA2E9}"/>
    <hyperlink ref="E438" location="A127832980C" display="A127832980C" xr:uid="{F6A71DBC-D68A-4D8B-970B-430A0364167A}"/>
    <hyperlink ref="E439" location="A127830010C" display="A127830010C" xr:uid="{C832395A-5676-486C-BF52-7781B47648AA}"/>
    <hyperlink ref="E440" location="A127827040J" display="A127827040J" xr:uid="{2CE1FB74-51E2-4F9A-B887-F8EAD8920D4F}"/>
    <hyperlink ref="E441" location="A127832968L" display="A127832968L" xr:uid="{4918B2D4-EA26-409B-A984-AF54F10BA613}"/>
    <hyperlink ref="E442" location="A127829998T" display="A127829998T" xr:uid="{051F15F2-1DA9-4663-B19A-A63478A973C6}"/>
    <hyperlink ref="E443" location="A127827028T" display="A127827028T" xr:uid="{8F0AF595-1526-4FA1-94EB-746A4077F563}"/>
    <hyperlink ref="E444" location="A127832975K" display="A127832975K" xr:uid="{F738D757-F43D-4C12-8FDD-F83CFBB43335}"/>
    <hyperlink ref="E445" location="A127830005K" display="A127830005K" xr:uid="{0F6C9CA1-6609-484B-8767-70022CB14727}"/>
    <hyperlink ref="E446" location="A127827035R" display="A127827035R" xr:uid="{4A1805B5-BB32-424D-A6C9-0E8DFCE58407}"/>
    <hyperlink ref="E447" location="A127832970X" display="A127832970X" xr:uid="{69DD11D2-06F9-4553-9884-27FB81E54591}"/>
    <hyperlink ref="E448" location="A127830000X" display="A127830000X" xr:uid="{98CF0272-F853-4948-9BAF-0939B37FBE63}"/>
    <hyperlink ref="E449" location="A127827030C" display="A127827030C" xr:uid="{C13E1EC9-3779-45B2-A792-E4433D86855B}"/>
    <hyperlink ref="E450" location="A127832967K" display="A127832967K" xr:uid="{C2646B0E-81CC-4908-98C3-6B53429A7BB4}"/>
    <hyperlink ref="E451" location="A127829997R" display="A127829997R" xr:uid="{6EFEB168-C7DB-4043-A8A4-3E8D76B6C6A0}"/>
    <hyperlink ref="E452" location="A127827027R" display="A127827027R" xr:uid="{034335F2-62F7-41FB-8037-4E91C0EF91CA}"/>
    <hyperlink ref="E453" location="A127832974J" display="A127832974J" xr:uid="{99049363-48D0-4F2A-9C93-83C87B4A4AED}"/>
    <hyperlink ref="E454" location="A127830004J" display="A127830004J" xr:uid="{1EDF5A8C-D55F-4502-938B-F6A7C40F4C6A}"/>
    <hyperlink ref="E455" location="A127827034L" display="A127827034L" xr:uid="{3BE1A480-5719-46D5-8A71-9D608BD94815}"/>
    <hyperlink ref="E456" location="A127832973F" display="A127832973F" xr:uid="{8D06D431-FC09-4953-B2F1-BC328E036CD4}"/>
    <hyperlink ref="E457" location="A127830003F" display="A127830003F" xr:uid="{B51C3E6B-0846-475A-A661-43C8EBE73042}"/>
    <hyperlink ref="E458" location="A127827033K" display="A127827033K" xr:uid="{D8EE1056-12D0-4D9B-B389-A27F89BB47D4}"/>
    <hyperlink ref="E459" location="A127832981F" display="A127832981F" xr:uid="{5CE64CB1-FF6A-4A66-8164-EF1A5F2F1E2A}"/>
    <hyperlink ref="E460" location="A127830011F" display="A127830011F" xr:uid="{30187129-601E-43AD-B017-8BAF63D6ACEB}"/>
    <hyperlink ref="E461" location="A127827041K" display="A127827041K" xr:uid="{31D298CA-28D4-40AD-860C-8EED6AAD445B}"/>
    <hyperlink ref="E462" location="A127833097K" display="A127833097K" xr:uid="{CB11FC38-4C78-4F46-A847-AABE651B8CAB}"/>
    <hyperlink ref="E463" location="A127830127J" display="A127830127J" xr:uid="{B624BA01-C8DB-4A93-9265-C14C61EF562F}"/>
    <hyperlink ref="E464" location="A127827157L" display="A127827157L" xr:uid="{639BAC9D-4C59-40CC-BB49-B28AC2C3DA68}"/>
    <hyperlink ref="E465" location="A127833099R" display="A127833099R" xr:uid="{4208EA54-42AD-49C7-AB78-4C870FCE28B9}"/>
    <hyperlink ref="E466" location="A127830129L" display="A127830129L" xr:uid="{BDFB1DEF-5706-4431-A02D-6ACD2B95381E}"/>
    <hyperlink ref="E467" location="A127827159T" display="A127827159T" xr:uid="{F3C4E67C-9489-4875-94A4-59438C4E7555}"/>
    <hyperlink ref="E468" location="A127833098L" display="A127833098L" xr:uid="{AA9A78F3-AE44-4F04-9A88-AE485D9BFEB6}"/>
    <hyperlink ref="E469" location="A127830128K" display="A127830128K" xr:uid="{A4E7BC4A-BF4B-416A-990E-CCDC1B46EB83}"/>
    <hyperlink ref="E470" location="A127827158R" display="A127827158R" xr:uid="{69778678-4EB7-45DC-8BE5-A391F9C92243}"/>
    <hyperlink ref="E471" location="A127833092X" display="A127833092X" xr:uid="{22AC714E-2B5D-478D-8D13-58C7C784AE04}"/>
    <hyperlink ref="E472" location="A127830122W" display="A127830122W" xr:uid="{1FF144ED-35DB-4230-B5E3-053AE2D9A650}"/>
    <hyperlink ref="E473" location="A127827152A" display="A127827152A" xr:uid="{B88CDD04-A997-4C9A-A563-DF940EE07978}"/>
    <hyperlink ref="E474" location="A127833096J" display="A127833096J" xr:uid="{D398855A-77C1-44C9-B32C-A96E5224FC71}"/>
    <hyperlink ref="E475" location="A127830126F" display="A127830126F" xr:uid="{D8997591-0993-4B2C-9F86-DC206AFD4405}"/>
    <hyperlink ref="E476" location="A127827156K" display="A127827156K" xr:uid="{681B8462-DEAF-42AE-B9F1-A190FC8C29BA}"/>
    <hyperlink ref="E477" location="A127833091W" display="A127833091W" xr:uid="{092B11D7-3B61-4BA2-8512-A7841645C63C}"/>
    <hyperlink ref="E478" location="A127830121V" display="A127830121V" xr:uid="{952EDA81-F8A3-4CF9-B55F-33A9AA1F28FC}"/>
    <hyperlink ref="E479" location="A127827151X" display="A127827151X" xr:uid="{8291A097-A62A-480A-B28D-D41182526748}"/>
    <hyperlink ref="E480" location="A127833089K" display="A127833089K" xr:uid="{5190CA36-A57E-4846-9EFE-6E63C78AD9C0}"/>
    <hyperlink ref="E481" location="A127830119J" display="A127830119J" xr:uid="{955830C0-13BB-4779-B9C8-1F575DE1E3F4}"/>
    <hyperlink ref="E482" location="A127827149L" display="A127827149L" xr:uid="{E4E40DC3-A270-4DEA-A230-C3478000CBD2}"/>
    <hyperlink ref="E483" location="A127833100L" display="A127833100L" xr:uid="{777543A7-4C12-4E0F-A90B-59A1E8D8F5D7}"/>
    <hyperlink ref="E484" location="A127830130W" display="A127830130W" xr:uid="{D6BC5076-0048-47F5-855C-D8C601277C57}"/>
    <hyperlink ref="E485" location="A127827160A" display="A127827160A" xr:uid="{F663DA46-8C6B-41FD-9017-F627164B5264}"/>
    <hyperlink ref="E486" location="A127833088J" display="A127833088J" xr:uid="{7FDFE442-76AA-4B0B-AB70-3F7029EF848E}"/>
    <hyperlink ref="E487" location="A127830118F" display="A127830118F" xr:uid="{311E77D7-A568-40DF-82C8-09DD9FC75AA6}"/>
    <hyperlink ref="E488" location="A127827148K" display="A127827148K" xr:uid="{11CB87C4-50EF-486F-A66E-B337EF7DBA21}"/>
    <hyperlink ref="E489" location="A127833095F" display="A127833095F" xr:uid="{E5403544-973C-42CC-941E-7E0510B166C0}"/>
    <hyperlink ref="E490" location="A127830125C" display="A127830125C" xr:uid="{9F5736A8-3DA1-4C19-9985-CC726579BE99}"/>
    <hyperlink ref="E491" location="A127827155J" display="A127827155J" xr:uid="{452EA3A8-61C3-4E4D-844B-6B93FC1D7B89}"/>
    <hyperlink ref="E492" location="A127833090V" display="A127833090V" xr:uid="{5B36F9B0-9883-4A21-8D74-B8B51178B5A0}"/>
    <hyperlink ref="E493" location="A127830120T" display="A127830120T" xr:uid="{CF5FD794-78BD-4B99-89C6-6AC46DF3D44B}"/>
    <hyperlink ref="E494" location="A127827150W" display="A127827150W" xr:uid="{5B2D361A-45F8-4424-9D0E-634CB1BAB9D1}"/>
    <hyperlink ref="E495" location="A127833087F" display="A127833087F" xr:uid="{1F45BB74-0600-456F-AAE4-F72B5CE4E8CF}"/>
    <hyperlink ref="E496" location="A127830117C" display="A127830117C" xr:uid="{C75CEADC-BAC7-4D5A-9694-6E5DD28A3F06}"/>
    <hyperlink ref="E497" location="A127827147J" display="A127827147J" xr:uid="{E242342D-C5E8-439C-9A4F-75E7436D0720}"/>
    <hyperlink ref="E498" location="A127833094C" display="A127833094C" xr:uid="{6E32F68C-BFA4-4297-8559-129A22585D66}"/>
    <hyperlink ref="E499" location="A127830124A" display="A127830124A" xr:uid="{FFB833CA-601E-406B-9488-7A08EEF8E3C3}"/>
    <hyperlink ref="E500" location="A127827154F" display="A127827154F" xr:uid="{C1CC6A81-6888-44B0-8729-BC1940FC04C1}"/>
    <hyperlink ref="E501" location="A127833093A" display="A127833093A" xr:uid="{89F44F71-8172-4C62-BFBD-1CCB112638A0}"/>
    <hyperlink ref="E502" location="A127830123X" display="A127830123X" xr:uid="{D9BD01AA-C55E-40E5-880E-D0812CD84622}"/>
    <hyperlink ref="E503" location="A127827153C" display="A127827153C" xr:uid="{B564B39C-4F43-4908-B5AE-70D38A89F09E}"/>
    <hyperlink ref="E504" location="A127833101R" display="A127833101R" xr:uid="{BFD05994-0A5D-493B-9D8C-9A69FDAE0876}"/>
    <hyperlink ref="E505" location="A127830131X" display="A127830131X" xr:uid="{A2EF149D-2F1A-45B6-835F-4C8C420B0BF7}"/>
    <hyperlink ref="E506" location="A127827161C" display="A127827161C" xr:uid="{36C2CDB4-0E95-401A-AF7E-46F97FECAAC7}"/>
    <hyperlink ref="E507" location="A127834837X" display="A127834837X" xr:uid="{7E7F0395-F6DC-4233-BC5F-9B5C2F38F180}"/>
    <hyperlink ref="E508" location="A127831867J" display="A127831867J" xr:uid="{FB68B7E6-A7BE-4ABB-967E-8A3D51E5A5CF}"/>
    <hyperlink ref="E509" location="A127828897L" display="A127828897L" xr:uid="{996052CE-0AAB-4BC8-8496-7BC5A1B056E1}"/>
    <hyperlink ref="E510" location="A127834839C" display="A127834839C" xr:uid="{83CF4A6A-CF4A-459F-A19A-18B985FA32D3}"/>
    <hyperlink ref="E511" location="A127831869L" display="A127831869L" xr:uid="{4AC5BCA3-A61E-443E-8EDF-250E5F6BDFC0}"/>
    <hyperlink ref="E512" location="A127828899T" display="A127828899T" xr:uid="{401D4C35-5618-46CE-8139-C3A2C803989F}"/>
    <hyperlink ref="E513" location="A127834838A" display="A127834838A" xr:uid="{F18DA07C-F11C-4E00-B61A-5E58F6039BF1}"/>
    <hyperlink ref="E514" location="A127831868K" display="A127831868K" xr:uid="{75FDCF10-6274-4FE1-9180-D080517EA3AF}"/>
    <hyperlink ref="E515" location="A127828898R" display="A127828898R" xr:uid="{FF666431-5535-456F-A478-A94A45430795}"/>
    <hyperlink ref="E516" location="A127834832L" display="A127834832L" xr:uid="{76A6AD65-9B9F-40B5-A541-6687E7CA3024}"/>
    <hyperlink ref="E517" location="A127831862W" display="A127831862W" xr:uid="{48124A27-5490-42F1-95AC-47C0D32DAC9A}"/>
    <hyperlink ref="E518" location="A127828892A" display="A127828892A" xr:uid="{4D5CF50D-F7A8-4B8A-90FE-5735B68117AD}"/>
    <hyperlink ref="E519" location="A127834836W" display="A127834836W" xr:uid="{2756E737-8B21-42F8-808C-F642BB4BED15}"/>
    <hyperlink ref="E520" location="A127831866F" display="A127831866F" xr:uid="{FE8B1709-F766-4BCD-8563-39BDD3644A99}"/>
    <hyperlink ref="E521" location="A127828896K" display="A127828896K" xr:uid="{0277D764-CD55-4D11-B653-3A565EA7F8FC}"/>
    <hyperlink ref="E522" location="A127834831K" display="A127834831K" xr:uid="{CA006D32-0450-4F62-9C92-5C27CC869941}"/>
    <hyperlink ref="E523" location="A127831861V" display="A127831861V" xr:uid="{A2A58BED-C56A-4B7A-93DB-CF21D4A9A20A}"/>
    <hyperlink ref="E524" location="A127828891X" display="A127828891X" xr:uid="{5661A7AF-E9F1-46A2-8714-6E56990A7981}"/>
    <hyperlink ref="E525" location="A127834829X" display="A127834829X" xr:uid="{8A71E6AA-0CF6-42C6-80AD-9ACA3ADF49A2}"/>
    <hyperlink ref="E526" location="A127831859J" display="A127831859J" xr:uid="{16A06F8F-E509-487B-A689-A0CB176B7491}"/>
    <hyperlink ref="E527" location="A127828889L" display="A127828889L" xr:uid="{792CEB5D-931C-403E-BF96-A997D7B0D653}"/>
    <hyperlink ref="E528" location="A127834840L" display="A127834840L" xr:uid="{CE7E128F-CF7A-4ABC-BE5A-9D24766796BE}"/>
    <hyperlink ref="E529" location="A127831870W" display="A127831870W" xr:uid="{1F670FDD-09F4-446C-ACA4-7A8B17D9D79C}"/>
    <hyperlink ref="E530" location="A127828900R" display="A127828900R" xr:uid="{D7F7F8FE-8C8F-416B-8DE2-AE8948D18D5F}"/>
    <hyperlink ref="E531" location="A127834828W" display="A127834828W" xr:uid="{FCC93221-9FC2-402F-BF56-26CE61C51FCA}"/>
    <hyperlink ref="E532" location="A127831858F" display="A127831858F" xr:uid="{A5F4EF1F-2675-4CE4-BB40-A25B9D6CA93D}"/>
    <hyperlink ref="E533" location="A127828888K" display="A127828888K" xr:uid="{DFC92575-31D3-49D3-8B7E-529BF004939D}"/>
    <hyperlink ref="E534" location="A127834835V" display="A127834835V" xr:uid="{B870B733-A9B2-42C4-B89F-B39683CED411}"/>
    <hyperlink ref="E535" location="A127831865C" display="A127831865C" xr:uid="{2DD91402-079B-48D6-AD5B-5B27B1163035}"/>
    <hyperlink ref="E536" location="A127828895J" display="A127828895J" xr:uid="{CBF402A5-3AD3-41EC-86E7-B4CF6A2DE26B}"/>
    <hyperlink ref="E537" location="A127834830J" display="A127834830J" xr:uid="{CCFF3884-F5C9-48D8-AFDE-8575C78EC0C4}"/>
    <hyperlink ref="E538" location="A127831860T" display="A127831860T" xr:uid="{3A49E0D2-6D12-4C24-898E-3D978159B939}"/>
    <hyperlink ref="E539" location="A127828890W" display="A127828890W" xr:uid="{CA37B4DF-5985-44D1-9F92-7D46850184BC}"/>
    <hyperlink ref="E540" location="A127834827V" display="A127834827V" xr:uid="{68ECEF03-175C-45D9-8B77-BB009976DAAD}"/>
    <hyperlink ref="E541" location="A127831857C" display="A127831857C" xr:uid="{41EC022E-C4DE-4FCE-A354-15148DAC4C72}"/>
    <hyperlink ref="E542" location="A127828887J" display="A127828887J" xr:uid="{09D66C74-A842-4337-A871-024E972A4ED2}"/>
    <hyperlink ref="E543" location="A127834834T" display="A127834834T" xr:uid="{0D05205A-A0F3-4328-BCEB-AA9863D772DA}"/>
    <hyperlink ref="E544" location="A127831864A" display="A127831864A" xr:uid="{D719D8EC-E395-4C40-B4F5-5965EDCC3ABA}"/>
    <hyperlink ref="E545" location="A127828894F" display="A127828894F" xr:uid="{592FB187-9AC1-4FFA-B557-3EEEC408E918}"/>
    <hyperlink ref="E546" location="A127834833R" display="A127834833R" xr:uid="{88C5FD55-4071-4C05-A95C-4CBDE83BD7EF}"/>
    <hyperlink ref="E547" location="A127831863X" display="A127831863X" xr:uid="{0AE959F1-FD0E-4301-9697-95148EAF0999}"/>
    <hyperlink ref="E548" location="A127828893C" display="A127828893C" xr:uid="{867EFA58-D83C-4A8C-AC13-AD6D19F5A7FF}"/>
    <hyperlink ref="E549" location="A127834841R" display="A127834841R" xr:uid="{17DDFBDB-3BE8-434A-A3F8-C5120875BE53}"/>
    <hyperlink ref="E550" location="A127831871X" display="A127831871X" xr:uid="{C9AEA518-17BC-42FB-BACF-FBC7ED5E11F8}"/>
    <hyperlink ref="E551" location="A127828901T" display="A127828901T" xr:uid="{C5B95B37-64FA-420C-A1D8-DFF2D977FB36}"/>
    <hyperlink ref="E552" location="A127833517V" display="A127833517V" xr:uid="{F25AE39D-475A-479A-9445-FC57C8059938}"/>
    <hyperlink ref="E553" location="A127830547C" display="A127830547C" xr:uid="{43B6DC05-4A40-4BBF-8DFF-6D15799A5096}"/>
    <hyperlink ref="E554" location="A127827577J" display="A127827577J" xr:uid="{E8D5DE44-9461-45C8-8DFB-5E313121C732}"/>
    <hyperlink ref="E555" location="A127833519X" display="A127833519X" xr:uid="{BECA00BB-78E0-4865-9632-1B29ADA80B83}"/>
    <hyperlink ref="E556" location="A127830549J" display="A127830549J" xr:uid="{E80832EA-5A07-4E74-8530-46DFAC238767}"/>
    <hyperlink ref="E557" location="A127827579L" display="A127827579L" xr:uid="{4281E2A3-6FB2-476B-A00E-69EE7ED8B86D}"/>
    <hyperlink ref="E558" location="A127833518W" display="A127833518W" xr:uid="{4E63F058-BE49-420D-B1E0-585CFF5EF680}"/>
    <hyperlink ref="E559" location="A127830548F" display="A127830548F" xr:uid="{0BCC19AA-DDFC-4009-BA8C-307EEB20A1D8}"/>
    <hyperlink ref="E560" location="A127827578K" display="A127827578K" xr:uid="{906FAEED-B353-4846-AA1B-6A8D0471A091}"/>
    <hyperlink ref="E561" location="A127833512J" display="A127833512J" xr:uid="{D674858D-7677-4290-A34A-A2C388350C7D}"/>
    <hyperlink ref="E562" location="A127830542T" display="A127830542T" xr:uid="{CBAF96C5-B7B7-4B94-AFC7-DC96E38F8DA0}"/>
    <hyperlink ref="E563" location="A127827572W" display="A127827572W" xr:uid="{10763F66-0890-4DAA-9211-B837691958B1}"/>
    <hyperlink ref="E564" location="A127833516T" display="A127833516T" xr:uid="{8938B74A-DC91-4CEC-9AFD-4B7D4EE97FA3}"/>
    <hyperlink ref="E565" location="A127830546A" display="A127830546A" xr:uid="{9D541AA1-C7F5-4243-9AFF-63F401495269}"/>
    <hyperlink ref="E566" location="A127827576F" display="A127827576F" xr:uid="{EC347521-AB78-4A15-BF60-A9095EFFD40C}"/>
    <hyperlink ref="E567" location="A127833511F" display="A127833511F" xr:uid="{F0A5F19B-188C-451D-9FA8-91E9EE44C36D}"/>
    <hyperlink ref="E568" location="A127830541R" display="A127830541R" xr:uid="{481548B2-C86A-4F02-A15D-6259212F7270}"/>
    <hyperlink ref="E569" location="A127827571V" display="A127827571V" xr:uid="{E5B420C8-5388-477D-BE0B-39D0D0D192AF}"/>
    <hyperlink ref="E570" location="A127833509V" display="A127833509V" xr:uid="{0FE93A0D-498B-46BF-993D-F8144389D7DB}"/>
    <hyperlink ref="E571" location="A127830539C" display="A127830539C" xr:uid="{FF74F69B-8C8B-45FD-A5D1-B71127A3B5BA}"/>
    <hyperlink ref="E572" location="A127827569J" display="A127827569J" xr:uid="{2EA15C69-3CEE-418F-9EB1-6849ED122E97}"/>
    <hyperlink ref="E573" location="A127833520J" display="A127833520J" xr:uid="{CD1003AC-29DA-41E7-8396-066A06007ABB}"/>
    <hyperlink ref="E574" location="A127830550T" display="A127830550T" xr:uid="{6C5DCA29-43C2-4496-9C20-26A92035413A}"/>
    <hyperlink ref="E575" location="A127827580W" display="A127827580W" xr:uid="{2A30C62D-92B6-4013-9D51-90DC874A68AE}"/>
    <hyperlink ref="E576" location="A127833508T" display="A127833508T" xr:uid="{571B4AF8-AC23-459A-AFEE-88E83169ADE6}"/>
    <hyperlink ref="E577" location="A127830538A" display="A127830538A" xr:uid="{93A2B664-E474-44ED-9BA7-DB47E105747E}"/>
    <hyperlink ref="E578" location="A127827568F" display="A127827568F" xr:uid="{97A33F91-8784-45ED-AD80-9D38CB5D6A01}"/>
    <hyperlink ref="E579" location="A127833515R" display="A127833515R" xr:uid="{11679DC2-33C9-4C83-BD70-A566690100DF}"/>
    <hyperlink ref="E580" location="A127830545X" display="A127830545X" xr:uid="{1C4B733D-05A5-41A6-9F60-32920E96566C}"/>
    <hyperlink ref="E581" location="A127827575C" display="A127827575C" xr:uid="{4B550830-DD20-42E0-9D24-C5A5A35E99FD}"/>
    <hyperlink ref="E582" location="A127833510C" display="A127833510C" xr:uid="{A5DAD7F8-6439-4124-BF6E-793E7C249F75}"/>
    <hyperlink ref="E583" location="A127830540L" display="A127830540L" xr:uid="{CD992AB5-DEFD-448A-80CF-61DFDC142963}"/>
    <hyperlink ref="E584" location="A127827570T" display="A127827570T" xr:uid="{5265A761-78B7-446C-BE93-742793B9480B}"/>
    <hyperlink ref="E585" location="A127833507R" display="A127833507R" xr:uid="{0B57D56D-AEFD-4CFD-B045-6244E69CB57C}"/>
    <hyperlink ref="E586" location="A127830537X" display="A127830537X" xr:uid="{D16E7AEB-0D93-453E-A047-E5B747B66256}"/>
    <hyperlink ref="E587" location="A127827567C" display="A127827567C" xr:uid="{6BB78E1D-128C-46ED-90A0-A3CCD04DB869}"/>
    <hyperlink ref="E588" location="A127833514L" display="A127833514L" xr:uid="{9EABB175-A66D-4502-B542-CB0173CB17BF}"/>
    <hyperlink ref="E589" location="A127830544W" display="A127830544W" xr:uid="{4EFFC57D-4812-470D-90C4-F2B0C82659E7}"/>
    <hyperlink ref="E590" location="A127827574A" display="A127827574A" xr:uid="{E359FBBF-E600-45CC-BEC6-20677C74380A}"/>
    <hyperlink ref="E591" location="A127833513K" display="A127833513K" xr:uid="{C268DE9D-0ACC-4BA7-80A9-14053FC24E53}"/>
    <hyperlink ref="E592" location="A127830543V" display="A127830543V" xr:uid="{528FA849-E026-4353-88EB-F58F9E088069}"/>
    <hyperlink ref="E593" location="A127827573X" display="A127827573X" xr:uid="{2CCF490C-8874-480C-8A49-995E89050075}"/>
    <hyperlink ref="E594" location="A127833521K" display="A127833521K" xr:uid="{1535EE55-637D-46A3-A66F-73A89360891D}"/>
    <hyperlink ref="E595" location="A127830551V" display="A127830551V" xr:uid="{FE1F1BD1-8059-4963-87F4-D6BE6E82F976}"/>
    <hyperlink ref="E596" location="A127827581X" display="A127827581X" xr:uid="{694174C2-44C8-46DA-94C8-F0EBCEB87464}"/>
    <hyperlink ref="E597" location="A127835167T" display="A127835167T" xr:uid="{24E185A1-E7F6-4B5D-9CEE-A1659203A5E2}"/>
    <hyperlink ref="E598" location="A127832197A" display="A127832197A" xr:uid="{764D5FBD-3551-4DFD-AED3-2F0E5D80E5B3}"/>
    <hyperlink ref="E599" location="A127829227V" display="A127829227V" xr:uid="{46E95907-BBBC-4C65-AE7B-77E142005898}"/>
    <hyperlink ref="E600" location="A127835169W" display="A127835169W" xr:uid="{94899159-B386-46CC-B81A-E38A9FC97E42}"/>
    <hyperlink ref="E601" location="A127832199F" display="A127832199F" xr:uid="{F69E3457-33B4-4A08-A661-E9FA6677A72A}"/>
    <hyperlink ref="E602" location="A127829229X" display="A127829229X" xr:uid="{1AD3217A-C36B-45BA-8C7F-86A6040D386A}"/>
    <hyperlink ref="E603" location="A127835168V" display="A127835168V" xr:uid="{C0FB0F58-2044-4184-AB9B-A27074CBF2B1}"/>
    <hyperlink ref="E604" location="A127832198C" display="A127832198C" xr:uid="{58FC4A70-211B-4FD6-93B3-27920E90274C}"/>
    <hyperlink ref="E605" location="A127829228W" display="A127829228W" xr:uid="{C6E9742A-3651-4A33-B5BE-91418EF3DADE}"/>
    <hyperlink ref="E606" location="A127835162F" display="A127835162F" xr:uid="{319CDBA4-3CF7-4653-82BE-14FF0B05FA25}"/>
    <hyperlink ref="E607" location="A127832192R" display="A127832192R" xr:uid="{4A784636-7B2F-46D6-9FAE-2F3756CED6AC}"/>
    <hyperlink ref="E608" location="A127829222J" display="A127829222J" xr:uid="{D5860668-2C22-469C-80C5-9BE60D219D14}"/>
    <hyperlink ref="E609" location="A127835166R" display="A127835166R" xr:uid="{96613778-8AD7-4CC9-AECE-3F3F8368D3D7}"/>
    <hyperlink ref="E610" location="A127832196X" display="A127832196X" xr:uid="{6DE06899-62C8-4D03-9C54-AF2F3BDB8163}"/>
    <hyperlink ref="E611" location="A127829226T" display="A127829226T" xr:uid="{C7335B50-EC2B-42BB-94B4-97AF4B8EE3B2}"/>
    <hyperlink ref="E612" location="A127835161C" display="A127835161C" xr:uid="{FA8E840B-9174-47D3-B112-5ADEE40D2C38}"/>
    <hyperlink ref="E613" location="A127832191L" display="A127832191L" xr:uid="{06BE2835-1CA0-4E72-A8A9-60061FB06602}"/>
    <hyperlink ref="E614" location="A127829221F" display="A127829221F" xr:uid="{B299FAB1-C7F5-4254-83C7-B90ED3C9C698}"/>
    <hyperlink ref="E615" location="A127835159T" display="A127835159T" xr:uid="{3C76C62F-C6DB-409C-A5DD-338E74EF23E0}"/>
    <hyperlink ref="E616" location="A127832189A" display="A127832189A" xr:uid="{38DCFDA3-9D64-446A-87E6-8EC44FCB999A}"/>
    <hyperlink ref="E617" location="A127829219V" display="A127829219V" xr:uid="{6BE25092-F54B-4EA8-B241-A12D88A1A58C}"/>
    <hyperlink ref="E618" location="A127835170F" display="A127835170F" xr:uid="{F7EA62DA-65ED-4327-830B-E29F0C127FD0}"/>
    <hyperlink ref="E619" location="A127832200C" display="A127832200C" xr:uid="{22F90D61-406B-431B-8938-1B82E123B561}"/>
    <hyperlink ref="E620" location="A127829230J" display="A127829230J" xr:uid="{FD3BF9FD-1880-4ADB-A85D-8E11B64F8F8C}"/>
    <hyperlink ref="E621" location="A127835158R" display="A127835158R" xr:uid="{6A2D6A99-07FF-4934-8F5D-2E7D93992AA3}"/>
    <hyperlink ref="E622" location="A127832188X" display="A127832188X" xr:uid="{7F34F7F1-0A53-4F88-8105-3F3BC52A2CA0}"/>
    <hyperlink ref="E623" location="A127829218T" display="A127829218T" xr:uid="{F2EF92DF-3214-432D-91A4-30A4A656765D}"/>
    <hyperlink ref="E624" location="A127835165L" display="A127835165L" xr:uid="{FC69D017-6ED0-4229-92E0-1EB88456A42C}"/>
    <hyperlink ref="E625" location="A127832195W" display="A127832195W" xr:uid="{AD5040E8-211E-42FF-8FB5-508A0ABCE711}"/>
    <hyperlink ref="E626" location="A127829225R" display="A127829225R" xr:uid="{AC7344C4-B4E9-4087-87C3-63F582FC6FB8}"/>
    <hyperlink ref="E627" location="A127835160A" display="A127835160A" xr:uid="{C2D1C9BF-CA04-4FCF-8D3A-D73CE1D944C9}"/>
    <hyperlink ref="E628" location="A127832190K" display="A127832190K" xr:uid="{89CC1C17-6D59-4F23-9ACF-2A112BAA5C8C}"/>
    <hyperlink ref="E629" location="A127829220C" display="A127829220C" xr:uid="{CBD67014-06EC-427B-83E6-8CD6CA35FC03}"/>
    <hyperlink ref="E630" location="A127835157L" display="A127835157L" xr:uid="{0BEFB8CD-B2B4-4A6D-B804-A3DC2838F3F1}"/>
    <hyperlink ref="E631" location="A127832187W" display="A127832187W" xr:uid="{6071DCE2-94D9-465B-BEEB-5298AB7170BF}"/>
    <hyperlink ref="E632" location="A127829217R" display="A127829217R" xr:uid="{362DD920-FE15-4930-8C4C-17EA8F97410D}"/>
    <hyperlink ref="E633" location="A127835164K" display="A127835164K" xr:uid="{32554962-6025-4D78-9C28-02CA11F77B37}"/>
    <hyperlink ref="E634" location="A127832194V" display="A127832194V" xr:uid="{22F9165E-8A4D-458B-BBC6-E52C467A04D4}"/>
    <hyperlink ref="E635" location="A127829224L" display="A127829224L" xr:uid="{90C74631-7D3E-4794-ABD8-FA34CBBB24D9}"/>
    <hyperlink ref="E636" location="A127835163J" display="A127835163J" xr:uid="{EFF643C8-CCC7-43A4-A82B-60D4E73C890E}"/>
    <hyperlink ref="E637" location="A127832193T" display="A127832193T" xr:uid="{5EC7BD54-3A6D-475F-AE3B-0779334DFC82}"/>
    <hyperlink ref="E638" location="A127829223K" display="A127829223K" xr:uid="{FD648BB5-931F-4D84-8BAB-EF2B17A657BC}"/>
    <hyperlink ref="E639" location="A127835171J" display="A127835171J" xr:uid="{DAC6315F-AF49-47D6-A976-6ECC31E59CD7}"/>
    <hyperlink ref="E640" location="A127832201F" display="A127832201F" xr:uid="{232935DC-4D1E-4BE7-B8BA-24E91830CB4C}"/>
    <hyperlink ref="E641" location="A127829231K" display="A127829231K" xr:uid="{5F752610-2C94-4A38-9F9E-960035DAEEAC}"/>
    <hyperlink ref="E642" location="A127835497J" display="A127835497J" xr:uid="{B1F7EDB6-A5F5-4AB6-BE0D-86F68A5D880B}"/>
    <hyperlink ref="E643" location="A127832527F" display="A127832527F" xr:uid="{F52E7B67-CBCD-4043-B116-265EBD4A81C7}"/>
    <hyperlink ref="E644" location="A127829557K" display="A127829557K" xr:uid="{AA0F43C2-2755-40FF-A0BC-DF34672A45B4}"/>
    <hyperlink ref="E645" location="A127835499L" display="A127835499L" xr:uid="{CAB16D09-4739-4956-95D2-A10E97246E6A}"/>
    <hyperlink ref="E646" location="A127832529K" display="A127832529K" xr:uid="{14FA396E-097A-4479-87AB-949CD0B1113F}"/>
    <hyperlink ref="E647" location="A127829559R" display="A127829559R" xr:uid="{96FABFCF-C5DC-4BE0-A7BB-1ED2B7FC01F1}"/>
    <hyperlink ref="E648" location="A127835498K" display="A127835498K" xr:uid="{CA857D3D-A283-4DF5-9C5B-71B2EC3533AE}"/>
    <hyperlink ref="E649" location="A127832528J" display="A127832528J" xr:uid="{2FBDF67D-BFFA-4972-B626-F76987FD04C6}"/>
    <hyperlink ref="E650" location="A127829558L" display="A127829558L" xr:uid="{15EE1678-D1A9-4379-B5DD-37F4E9C47B31}"/>
    <hyperlink ref="E651" location="A127835492W" display="A127835492W" xr:uid="{5510E247-5A54-471E-B41E-DFCEF161CC7D}"/>
    <hyperlink ref="E652" location="A127832522V" display="A127832522V" xr:uid="{2D3ECA0D-CA90-49F6-A9C2-DB5D8C484625}"/>
    <hyperlink ref="E653" location="A127829552X" display="A127829552X" xr:uid="{266A6ADA-FC0E-4A0D-9976-92B0D3519680}"/>
    <hyperlink ref="E654" location="A127835496F" display="A127835496F" xr:uid="{E05BCA4D-A557-4B3A-BBFF-45E112CD9BA2}"/>
    <hyperlink ref="E655" location="A127832526C" display="A127832526C" xr:uid="{9E8DD686-29F1-49A7-911A-F88130071C10}"/>
    <hyperlink ref="E656" location="A127829556J" display="A127829556J" xr:uid="{CDC9A1E7-4295-43B4-92EC-023FA8FAB217}"/>
    <hyperlink ref="E657" location="A127835491V" display="A127835491V" xr:uid="{BDD8B21F-119B-4DCC-B401-B5CFC0CAE032}"/>
    <hyperlink ref="E658" location="A127832521T" display="A127832521T" xr:uid="{671D8221-AB47-42EB-A78A-ED0F242F4A0D}"/>
    <hyperlink ref="E659" location="A127829551W" display="A127829551W" xr:uid="{4E57587F-FEAC-4B30-A42B-56DB1B71DD38}"/>
    <hyperlink ref="E660" location="A127835489J" display="A127835489J" xr:uid="{AAA83FBC-A376-4FB1-BA01-B51DB1E1C1CF}"/>
    <hyperlink ref="E661" location="A127832519F" display="A127832519F" xr:uid="{E9EEF497-6469-4AD7-8432-0D01FA26B31E}"/>
    <hyperlink ref="E662" location="A127829549K" display="A127829549K" xr:uid="{C288752A-92B6-4C40-95AF-676EAD2205CB}"/>
    <hyperlink ref="E663" location="A127835500K" display="A127835500K" xr:uid="{3A0DC8B1-506B-4AAE-9335-B64ED2AAB336}"/>
    <hyperlink ref="E664" location="A127832530V" display="A127832530V" xr:uid="{5B720F32-C05E-45C1-9E71-3A34C6438D42}"/>
    <hyperlink ref="E665" location="A127829560X" display="A127829560X" xr:uid="{CF65A78C-B7AE-40D0-8302-2AEA41B938A1}"/>
    <hyperlink ref="E666" location="A127835488F" display="A127835488F" xr:uid="{224E9654-FC29-4B80-87D4-87C3AC457C41}"/>
    <hyperlink ref="E667" location="A127832518C" display="A127832518C" xr:uid="{52676A67-EF56-4FFB-9134-6080FEB52E7D}"/>
    <hyperlink ref="E668" location="A127829548J" display="A127829548J" xr:uid="{0E718BFB-4EF3-4F23-8274-763408902221}"/>
    <hyperlink ref="E669" location="A127835495C" display="A127835495C" xr:uid="{4F212266-FD7D-4FC2-B240-5B904C7FF8E5}"/>
    <hyperlink ref="E670" location="A127832525A" display="A127832525A" xr:uid="{B4E77657-C2C8-45B3-860B-B43E0E903E7F}"/>
    <hyperlink ref="E671" location="A127829555F" display="A127829555F" xr:uid="{2949F18B-2AD4-4892-A7B4-594ACCC78431}"/>
    <hyperlink ref="E672" location="A127835490T" display="A127835490T" xr:uid="{E99BE26A-1D7B-47EC-8BE6-CA84DBBDD045}"/>
    <hyperlink ref="E673" location="A127832520R" display="A127832520R" xr:uid="{C6DE27B2-A49F-4CC2-925E-52E630C7F49A}"/>
    <hyperlink ref="E674" location="A127829550V" display="A127829550V" xr:uid="{F9D2F47A-C038-4B3F-98C3-887488B2CD48}"/>
    <hyperlink ref="E675" location="A127835487C" display="A127835487C" xr:uid="{38D609B4-5761-49ED-A137-7568C2FAD248}"/>
    <hyperlink ref="E676" location="A127832517A" display="A127832517A" xr:uid="{EE60AC85-9411-4941-88B9-EB7D7C06322A}"/>
    <hyperlink ref="E677" location="A127829547F" display="A127829547F" xr:uid="{46D8310D-2762-4D73-88E2-933084A241EF}"/>
    <hyperlink ref="E678" location="A127835494A" display="A127835494A" xr:uid="{6794B8D0-923A-4798-AEA4-1676E79BB0B6}"/>
    <hyperlink ref="E679" location="A127832524X" display="A127832524X" xr:uid="{0430E9D8-1EF7-4E19-AA81-56B9A9BD911F}"/>
    <hyperlink ref="E680" location="A127829554C" display="A127829554C" xr:uid="{D391F6A3-BAFF-428B-B2E4-B896B1C41AE2}"/>
    <hyperlink ref="E681" location="A127835493X" display="A127835493X" xr:uid="{E4AE15CA-E3E7-4BF9-ACAD-75B0C1E152B5}"/>
    <hyperlink ref="E682" location="A127832523W" display="A127832523W" xr:uid="{C81F5ACB-9D09-41E8-AE82-D31C5484CB97}"/>
    <hyperlink ref="E683" location="A127829553A" display="A127829553A" xr:uid="{DC0D9B02-7DB5-424F-8A56-2B83C5972DD5}"/>
    <hyperlink ref="E684" location="A127835501L" display="A127835501L" xr:uid="{3470DA28-D11A-4F7F-A5F8-A0D7BBCF7009}"/>
    <hyperlink ref="E685" location="A127832531W" display="A127832531W" xr:uid="{B7AE66D3-8A59-4103-A905-9E3598E32235}"/>
    <hyperlink ref="E686" location="A127829561A" display="A127829561A" xr:uid="{EB5AF9A4-77CB-4303-8AFB-CEE6D923D202}"/>
    <hyperlink ref="E687" location="A127833847K" display="A127833847K" xr:uid="{C46B2A9A-0B8C-4BC9-81D7-1A6A2DAC85C5}"/>
    <hyperlink ref="E688" location="A127830877V" display="A127830877V" xr:uid="{A8154B63-D953-456D-969D-B9CBFCC03CEA}"/>
    <hyperlink ref="E689" location="A127827907L" display="A127827907L" xr:uid="{814CB968-2382-44A5-A5D5-E4341F7AC0CC}"/>
    <hyperlink ref="E690" location="A127833849R" display="A127833849R" xr:uid="{B33ED497-6633-4CDA-8A6F-639488E0EC27}"/>
    <hyperlink ref="E691" location="A127830879X" display="A127830879X" xr:uid="{B757D51A-0626-4C20-8433-96DEE324045E}"/>
    <hyperlink ref="E692" location="A127827909T" display="A127827909T" xr:uid="{8BDEE9F2-867B-42A4-A01C-ECB24E91A418}"/>
    <hyperlink ref="E693" location="A127833848L" display="A127833848L" xr:uid="{C6C5A0BE-1552-4D5F-9F45-D0E3E6CBF278}"/>
    <hyperlink ref="E694" location="A127830878W" display="A127830878W" xr:uid="{F5AF3BA8-553C-464C-8631-FCEEABC7156A}"/>
    <hyperlink ref="E695" location="A127827908R" display="A127827908R" xr:uid="{460F9263-6CA3-4A10-AED9-95C1E2B5131A}"/>
    <hyperlink ref="E696" location="A127833842X" display="A127833842X" xr:uid="{910DB306-C971-4148-B938-7D84C213A64B}"/>
    <hyperlink ref="E697" location="A127830872J" display="A127830872J" xr:uid="{DF59BA6E-5CA1-4660-829C-94C3C32AD219}"/>
    <hyperlink ref="E698" location="A127827902A" display="A127827902A" xr:uid="{E7B0F7F7-3FCB-41FC-9D1A-FF12CA0F640B}"/>
    <hyperlink ref="E699" location="A127833846J" display="A127833846J" xr:uid="{9487D429-59C7-4F6D-AD57-FA17846CCB03}"/>
    <hyperlink ref="E700" location="A127830876T" display="A127830876T" xr:uid="{0C2FF1E4-F868-4E34-BD95-E8D19861E270}"/>
    <hyperlink ref="E701" location="A127827906K" display="A127827906K" xr:uid="{EF0BE9CF-1256-414C-BCE7-66865D4348C7}"/>
    <hyperlink ref="E702" location="A127833841W" display="A127833841W" xr:uid="{B17E49AF-7E8E-4940-8730-9FCA5543CD79}"/>
    <hyperlink ref="E703" location="A127830871F" display="A127830871F" xr:uid="{EF8528AF-AE71-4515-AE19-BEDDF793C96E}"/>
    <hyperlink ref="E704" location="A127827901X" display="A127827901X" xr:uid="{A78C9F77-BB5A-424C-918A-A38EC2024632}"/>
    <hyperlink ref="E705" location="A127833839K" display="A127833839K" xr:uid="{CB7C4904-06A4-4F5B-A78C-1873A273FB7E}"/>
    <hyperlink ref="E706" location="A127830869V" display="A127830869V" xr:uid="{908107FA-4FFB-4ED4-B44E-9E84AE50102A}"/>
    <hyperlink ref="E707" location="A127827899X" display="A127827899X" xr:uid="{C992A572-9C51-43DA-99B2-0D3BB2794CA4}"/>
    <hyperlink ref="E708" location="A127833850X" display="A127833850X" xr:uid="{85F13AE4-8194-4C0C-9CDB-12212B7DD7DC}"/>
    <hyperlink ref="E709" location="A127830880J" display="A127830880J" xr:uid="{5078AB11-DBC7-4A9F-BAC6-016053F7E737}"/>
    <hyperlink ref="E710" location="A127827910A" display="A127827910A" xr:uid="{C2F95A38-E41E-4011-9170-8C0E5EDA6829}"/>
    <hyperlink ref="E711" location="A127833838J" display="A127833838J" xr:uid="{266B12F2-8FF7-4C2A-B719-CA68E18C2FBE}"/>
    <hyperlink ref="E712" location="A127830868T" display="A127830868T" xr:uid="{C509F74C-1A8E-4F51-8B92-9D2486169CDA}"/>
    <hyperlink ref="E713" location="A127827898W" display="A127827898W" xr:uid="{D5C3E3D7-D4AE-4EA1-AE0C-6663881A1B46}"/>
    <hyperlink ref="E714" location="A127833845F" display="A127833845F" xr:uid="{3C2C0B5B-143F-4358-99E3-E3EC8A57CCF3}"/>
    <hyperlink ref="E715" location="A127830875R" display="A127830875R" xr:uid="{7FD87D13-F76B-4495-BD0B-5713526E49F7}"/>
    <hyperlink ref="E716" location="A127827905J" display="A127827905J" xr:uid="{4A200498-B33A-42BF-81CB-9400B45E4C0A}"/>
    <hyperlink ref="E717" location="A127833840V" display="A127833840V" xr:uid="{4006712F-0EFD-4E02-A5E5-2FD94C571A04}"/>
    <hyperlink ref="E718" location="A127830870C" display="A127830870C" xr:uid="{7D720412-E859-4D33-9546-B9AF04679C0F}"/>
    <hyperlink ref="E719" location="A127827900W" display="A127827900W" xr:uid="{7DFFA342-757D-490C-890B-669F5445E7DC}"/>
    <hyperlink ref="E720" location="A127833837F" display="A127833837F" xr:uid="{0D286973-A2FA-4B7A-88E9-D665E7BA9197}"/>
    <hyperlink ref="E721" location="A127830867R" display="A127830867R" xr:uid="{27E54397-A7E7-414F-A830-07F9C5D603BB}"/>
    <hyperlink ref="E722" location="A127827897V" display="A127827897V" xr:uid="{AC5E09F6-6920-422D-B847-DBB69B9C61A7}"/>
    <hyperlink ref="E723" location="A127833844C" display="A127833844C" xr:uid="{39D8118B-B84A-4D62-995D-59B15539B86A}"/>
    <hyperlink ref="E724" location="A127830874L" display="A127830874L" xr:uid="{5B7C2BFD-4711-4F99-A31A-0A59B43C0982}"/>
    <hyperlink ref="E725" location="A127827904F" display="A127827904F" xr:uid="{A375A92F-2432-4AE5-9863-F636B5F00442}"/>
    <hyperlink ref="E726" location="A127833843A" display="A127833843A" xr:uid="{21E0AA9F-02F1-4BE0-BD08-F22562953855}"/>
    <hyperlink ref="E727" location="A127830873K" display="A127830873K" xr:uid="{A94D0035-83B1-4090-8611-27AC159EC005}"/>
    <hyperlink ref="E728" location="A127827903C" display="A127827903C" xr:uid="{1E36C6B1-9EE8-4391-AC90-2A42B13A38E2}"/>
    <hyperlink ref="E729" location="A127833851A" display="A127833851A" xr:uid="{87DDFEF1-FA87-4201-B7A2-9AD137B6BCB4}"/>
    <hyperlink ref="E730" location="A127830881K" display="A127830881K" xr:uid="{4E8EC98D-1488-4241-A5F1-B7DC2AAA49CD}"/>
    <hyperlink ref="E731" location="A127827911C" display="A127827911C" xr:uid="{9374D027-2EFD-491C-B771-6377DA80899C}"/>
    <hyperlink ref="E732" location="A127834177C" display="A127834177C" xr:uid="{6C3D2FD7-E091-48F9-8B0E-E3A37DD2A1BB}"/>
    <hyperlink ref="E733" location="A127831207A" display="A127831207A" xr:uid="{4BCFFF2A-4B21-480F-8903-C0E9E6FA932E}"/>
    <hyperlink ref="E734" location="A127828237F" display="A127828237F" xr:uid="{78928D26-B24C-4FFB-9976-4FD95A9AFAB0}"/>
    <hyperlink ref="E735" location="A127834179J" display="A127834179J" xr:uid="{62701F40-86B3-49FF-9E98-CB71B97C1D5C}"/>
    <hyperlink ref="E736" location="A127831209F" display="A127831209F" xr:uid="{C092303E-D0CB-4E8F-BCBF-7D09DAC60477}"/>
    <hyperlink ref="E737" location="A127828239K" display="A127828239K" xr:uid="{D71FC79A-2FAA-410C-9A81-D325C8B2FB8E}"/>
    <hyperlink ref="E738" location="A127834178F" display="A127834178F" xr:uid="{E4C80496-5FA2-4526-8F7D-BB35B067C2E9}"/>
    <hyperlink ref="E739" location="A127831208C" display="A127831208C" xr:uid="{D060E07C-797B-4EE4-98FF-F3AE52796440}"/>
    <hyperlink ref="E740" location="A127828238J" display="A127828238J" xr:uid="{609CD3F0-556E-4DBF-8F70-EB3D790E0C54}"/>
    <hyperlink ref="E741" location="A127834172T" display="A127834172T" xr:uid="{6B8FE1E6-CE6A-4BD1-BD5F-D6B68424D9BC}"/>
    <hyperlink ref="E742" location="A127831202R" display="A127831202R" xr:uid="{915C5E32-8391-457C-8701-B7EDA379C48E}"/>
    <hyperlink ref="E743" location="A127828232V" display="A127828232V" xr:uid="{6C56E713-C173-460C-B223-3C01D0491DCA}"/>
    <hyperlink ref="E744" location="A127834176A" display="A127834176A" xr:uid="{5E47033C-F80E-4D7E-9463-5147585003E1}"/>
    <hyperlink ref="E745" location="A127831206X" display="A127831206X" xr:uid="{04400AC0-B820-4881-8DF4-2370D4A0879A}"/>
    <hyperlink ref="E746" location="A127828236C" display="A127828236C" xr:uid="{366621DD-6901-4C9C-8DDE-D862CEDDE0CC}"/>
    <hyperlink ref="E747" location="A127834171R" display="A127834171R" xr:uid="{CAF257C0-2E07-4D83-BA1E-080DEF9766BC}"/>
    <hyperlink ref="E748" location="A127831201L" display="A127831201L" xr:uid="{03F9FA24-3C3C-49CA-A655-F2E5E7EA60A8}"/>
    <hyperlink ref="E749" location="A127828231T" display="A127828231T" xr:uid="{4C723FA3-F5D6-48FB-BB95-C592FA96096F}"/>
    <hyperlink ref="E750" location="A127834169C" display="A127834169C" xr:uid="{A96A5BDB-63CC-46DE-A91F-9426015D8BB3}"/>
    <hyperlink ref="E751" location="A127831199L" display="A127831199L" xr:uid="{82C40567-9E68-441B-B22D-43EAD343FB1A}"/>
    <hyperlink ref="E752" location="A127828229F" display="A127828229F" xr:uid="{8C2DAFD5-0927-49AC-8562-201F4A15F0C4}"/>
    <hyperlink ref="E753" location="A127834180T" display="A127834180T" xr:uid="{20DD3167-1595-4FB5-94D1-32609EB24B6F}"/>
    <hyperlink ref="E754" location="A127831210R" display="A127831210R" xr:uid="{5839CF84-DCF7-48FC-BA3A-F967A20EAC17}"/>
    <hyperlink ref="E755" location="A127828240V" display="A127828240V" xr:uid="{B8880828-ACAF-4862-874D-0BCF35C11B99}"/>
    <hyperlink ref="E756" location="A127834168A" display="A127834168A" xr:uid="{54BA43F6-1D63-42E7-9B1A-15A578A70DF6}"/>
    <hyperlink ref="E757" location="A127831198K" display="A127831198K" xr:uid="{A4DFBB3F-F675-477B-B998-9F9A47ACCD63}"/>
    <hyperlink ref="E758" location="A127828228C" display="A127828228C" xr:uid="{319C1C87-1ED9-4BBF-A4C6-F6D0F4E358DF}"/>
    <hyperlink ref="E759" location="A127834175X" display="A127834175X" xr:uid="{77DEED80-6544-40BC-8BB2-EB61333094BA}"/>
    <hyperlink ref="E760" location="A127831205W" display="A127831205W" xr:uid="{89788BF6-4EF8-41D1-88BC-4EC147FAAF96}"/>
    <hyperlink ref="E761" location="A127828235A" display="A127828235A" xr:uid="{113B91DD-D262-432E-99AE-341906690357}"/>
    <hyperlink ref="E762" location="A127834170L" display="A127834170L" xr:uid="{B5B783C4-768E-4956-B57A-FD58FF4F7620}"/>
    <hyperlink ref="E763" location="A127831200K" display="A127831200K" xr:uid="{F9F9A5A2-957B-4F5D-8EB5-35D6D160CF65}"/>
    <hyperlink ref="E764" location="A127828230R" display="A127828230R" xr:uid="{7A03B3D4-656D-4511-A6DC-A4F5803787EF}"/>
    <hyperlink ref="E765" location="A127834167X" display="A127834167X" xr:uid="{3870B1E3-3BFE-423B-A6F6-D11693BD47CC}"/>
    <hyperlink ref="E766" location="A127831197J" display="A127831197J" xr:uid="{4E9A8E73-1768-4A36-B7D9-2DF7322111F2}"/>
    <hyperlink ref="E767" location="A127828227A" display="A127828227A" xr:uid="{D84BE0A8-EAF0-4CFD-A4FF-7452DFE67769}"/>
    <hyperlink ref="E768" location="A127834174W" display="A127834174W" xr:uid="{3A516C41-0EB2-4F5E-84DC-B21A4236FE32}"/>
    <hyperlink ref="E769" location="A127831204V" display="A127831204V" xr:uid="{40E1DF07-DDAD-41B9-8D45-6239936F1A78}"/>
    <hyperlink ref="E770" location="A127828234X" display="A127828234X" xr:uid="{AE3A38BE-9B45-4084-B58F-3F4305E0BF30}"/>
    <hyperlink ref="E771" location="A127834173V" display="A127834173V" xr:uid="{FEB1D100-3A2F-4EB5-B3EF-60AFD3113074}"/>
    <hyperlink ref="E772" location="A127831203T" display="A127831203T" xr:uid="{9509466E-B4A0-4BA1-B06A-DE0CD89A589E}"/>
    <hyperlink ref="E773" location="A127828233W" display="A127828233W" xr:uid="{0015E366-FF30-4669-A418-E48FDACDDFA8}"/>
    <hyperlink ref="E774" location="A127834181V" display="A127834181V" xr:uid="{231F6697-C5DD-464C-8373-5147F8EA2FFD}"/>
    <hyperlink ref="E775" location="A127831211T" display="A127831211T" xr:uid="{B883BC70-735B-44EB-86B8-B314D8A231E2}"/>
    <hyperlink ref="E776" location="A127828241W" display="A127828241W" xr:uid="{040E7A2B-D6CC-40C2-AEAF-BF76973E654B}"/>
    <hyperlink ref="E777" location="A127834507J" display="A127834507J" xr:uid="{7C09A432-A132-4770-BAB6-8EF15ADB9015}"/>
    <hyperlink ref="E778" location="A127831537T" display="A127831537T" xr:uid="{AFABDA98-692C-4D57-9846-0B4B5545F0AD}"/>
    <hyperlink ref="E779" location="A127828567W" display="A127828567W" xr:uid="{630DDEBA-BB40-4935-A239-120ADD20F154}"/>
    <hyperlink ref="E780" location="A127834509L" display="A127834509L" xr:uid="{7CDA9D6D-2667-4A8F-A5B5-DEA1BAA8BCF7}"/>
    <hyperlink ref="E781" location="A127831539W" display="A127831539W" xr:uid="{6A8E3095-A2C8-4C80-AFD2-684A42EBA133}"/>
    <hyperlink ref="E782" location="A127828569A" display="A127828569A" xr:uid="{C197C34E-6A5E-40B6-8CFF-E1FAD3C812AB}"/>
    <hyperlink ref="E783" location="A127834508K" display="A127834508K" xr:uid="{6B7E25F8-0214-4E71-A9C0-5E2CF50F5124}"/>
    <hyperlink ref="E784" location="A127831538V" display="A127831538V" xr:uid="{0D7C1B75-8F4C-4720-8516-1F5E53C43238}"/>
    <hyperlink ref="E785" location="A127828568X" display="A127828568X" xr:uid="{C3D638CC-672E-48C5-91B1-EB62C3EA05C7}"/>
    <hyperlink ref="E786" location="A127834502W" display="A127834502W" xr:uid="{96F1A747-B995-424B-91F3-198DC6E7C752}"/>
    <hyperlink ref="E787" location="A127831532F" display="A127831532F" xr:uid="{DD989B11-3570-4117-A689-10F250130D7E}"/>
    <hyperlink ref="E788" location="A127828562K" display="A127828562K" xr:uid="{735A3BF0-BE1F-4D23-AAE4-CAA5284FAF1C}"/>
    <hyperlink ref="E789" location="A127834506F" display="A127834506F" xr:uid="{A25CA03F-5534-4A72-9E33-EF386DFE6285}"/>
    <hyperlink ref="E790" location="A127831536R" display="A127831536R" xr:uid="{F52D699F-C1EA-42F4-8B4F-E0F3317A77E7}"/>
    <hyperlink ref="E791" location="A127828566V" display="A127828566V" xr:uid="{E8151CC5-E773-406E-AE98-09945EC5D0E6}"/>
    <hyperlink ref="E792" location="A127834501V" display="A127834501V" xr:uid="{ECC66EA5-E05B-42B8-BF65-63A7067BF7C2}"/>
    <hyperlink ref="E793" location="A127831531C" display="A127831531C" xr:uid="{A7ACED25-A6E0-455B-8150-407ED09289D3}"/>
    <hyperlink ref="E794" location="A127828561J" display="A127828561J" xr:uid="{AD7D0D61-E067-4047-BECD-A00BC198EF41}"/>
    <hyperlink ref="E795" location="A127834499V" display="A127834499V" xr:uid="{C488403C-7250-40C5-B8AF-E03F01376280}"/>
    <hyperlink ref="E796" location="A127831529T" display="A127831529T" xr:uid="{E740FC16-0DDB-4AD9-BC62-F57BDB49096F}"/>
    <hyperlink ref="E797" location="A127828559W" display="A127828559W" xr:uid="{34EF7B51-E4CB-48FE-BA0D-446ADAF48097}"/>
    <hyperlink ref="E798" location="A127834510W" display="A127834510W" xr:uid="{DA51C8A8-8C3A-4858-8EAD-995F81ADDE6A}"/>
    <hyperlink ref="E799" location="A127831540F" display="A127831540F" xr:uid="{18D97F5C-1B33-44DB-B406-8CBAF7696237}"/>
    <hyperlink ref="E800" location="A127828570K" display="A127828570K" xr:uid="{7A2A925D-5A98-4148-BB44-F3CA220ADE39}"/>
    <hyperlink ref="E801" location="A127834498T" display="A127834498T" xr:uid="{8497226F-65CF-49BC-A75B-2B9BD2187617}"/>
    <hyperlink ref="E802" location="A127831528R" display="A127831528R" xr:uid="{8A4046B9-B664-416C-8DDA-CD7BB89093A6}"/>
    <hyperlink ref="E803" location="A127828558V" display="A127828558V" xr:uid="{BBD932B1-B5D7-4112-94A6-DA1CBF71B095}"/>
    <hyperlink ref="E804" location="A127834505C" display="A127834505C" xr:uid="{D0FA3B2A-18FB-4D65-A041-F6CE0A37030A}"/>
    <hyperlink ref="E805" location="A127831535L" display="A127831535L" xr:uid="{E3509760-8ADD-4EEF-AF5F-6F359A16346E}"/>
    <hyperlink ref="E806" location="A127828565T" display="A127828565T" xr:uid="{8C2F66AA-F0DE-433D-B33A-A36F37E3DC86}"/>
    <hyperlink ref="E807" location="A127834500T" display="A127834500T" xr:uid="{F5C7006B-E7FC-489B-859A-C6D6E6238069}"/>
    <hyperlink ref="E808" location="A127831530A" display="A127831530A" xr:uid="{D3764113-3F3E-4C54-8330-6F98E03ACC83}"/>
    <hyperlink ref="E809" location="A127828560F" display="A127828560F" xr:uid="{8026EDD8-05FF-483D-842F-856545DA9CF7}"/>
    <hyperlink ref="E810" location="A127834497R" display="A127834497R" xr:uid="{D6859C17-9906-4DD6-99CD-8F3ACC0AA5C5}"/>
    <hyperlink ref="E811" location="A127831527L" display="A127831527L" xr:uid="{16991236-AA38-43C3-AB71-BA0D6B7CCA7D}"/>
    <hyperlink ref="E812" location="A127828557T" display="A127828557T" xr:uid="{3EA1258F-9C32-4305-92AA-0AFFD78465E4}"/>
    <hyperlink ref="E813" location="A127834504A" display="A127834504A" xr:uid="{C2B930DE-3C2D-49CA-B58E-A06407DECBDE}"/>
    <hyperlink ref="E814" location="A127831534K" display="A127831534K" xr:uid="{C2AADA35-2540-44D3-8223-E92376D28407}"/>
    <hyperlink ref="E815" location="A127828564R" display="A127828564R" xr:uid="{9C7873E0-D9C4-426E-B397-63FD7B31E776}"/>
    <hyperlink ref="E816" location="A127834503X" display="A127834503X" xr:uid="{797AC8BE-0D14-425A-976B-195377ABEAF8}"/>
    <hyperlink ref="E817" location="A127831533J" display="A127831533J" xr:uid="{282C67B0-DC6E-438F-BAD8-AE66E3FA6562}"/>
    <hyperlink ref="E818" location="A127828563L" display="A127828563L" xr:uid="{62DEF7E7-9995-4977-95AB-668845725E85}"/>
    <hyperlink ref="E819" location="A127834511X" display="A127834511X" xr:uid="{466EB6F5-D52F-4004-BA9B-C9C58ED66058}"/>
    <hyperlink ref="E820" location="A127831541J" display="A127831541J" xr:uid="{3C65F544-597A-4E98-BEBD-277631D10C7F}"/>
    <hyperlink ref="E821" location="A127828571L" display="A127828571L" xr:uid="{1703FC5F-C942-4C11-8FC9-5454CAF4A833}"/>
    <hyperlink ref="E822" location="A127832857W" display="A127832857W" xr:uid="{A5C0D26A-850F-43D7-8FEB-7AFD51038EED}"/>
    <hyperlink ref="E823" location="A127829887A" display="A127829887A" xr:uid="{39903C1C-2D76-48B9-9870-61CAD06D96A1}"/>
    <hyperlink ref="E824" location="A127826917X" display="A127826917X" xr:uid="{C76164D9-8708-45A2-A74B-48E05327D6B2}"/>
    <hyperlink ref="E825" location="A127832859A" display="A127832859A" xr:uid="{C40EE012-D79F-49A6-B066-AED13D4BB283}"/>
    <hyperlink ref="E826" location="A127829889F" display="A127829889F" xr:uid="{B3CC6D24-883F-4C51-B374-5AB98A9C3374}"/>
    <hyperlink ref="E827" location="A127826919C" display="A127826919C" xr:uid="{0CB18C28-F114-4E1F-A38D-1970073F6D5E}"/>
    <hyperlink ref="E828" location="A127832858X" display="A127832858X" xr:uid="{5B803969-049E-4EC8-BBA8-7C94668F8927}"/>
    <hyperlink ref="E829" location="A127829888C" display="A127829888C" xr:uid="{257036A7-B768-4C82-8287-5995FB55DA7D}"/>
    <hyperlink ref="E830" location="A127826918A" display="A127826918A" xr:uid="{8A0C5DBB-18E0-4D41-B99A-37A9D618A440}"/>
    <hyperlink ref="E831" location="A127832852K" display="A127832852K" xr:uid="{A910ECA7-7D5B-4539-9C8D-75195DDA1150}"/>
    <hyperlink ref="E832" location="A127829882R" display="A127829882R" xr:uid="{A98CDC27-DAF9-4B74-A5BA-7D05743770C0}"/>
    <hyperlink ref="E833" location="A127826912L" display="A127826912L" xr:uid="{954CFF89-0E19-42DB-BD40-D0506EA6D301}"/>
    <hyperlink ref="E834" location="A127832856V" display="A127832856V" xr:uid="{B41FD713-A4DB-436C-94E7-04AC066E5571}"/>
    <hyperlink ref="E835" location="A127829886X" display="A127829886X" xr:uid="{56F9E224-8FE0-4F2A-A5D0-AD40ABB9BB22}"/>
    <hyperlink ref="E836" location="A127826916W" display="A127826916W" xr:uid="{8C13622F-1F16-465C-806A-28446F7C3514}"/>
    <hyperlink ref="E837" location="A127832851J" display="A127832851J" xr:uid="{A838A60F-1C44-40FF-B1A4-1E8928689437}"/>
    <hyperlink ref="E838" location="A127829881L" display="A127829881L" xr:uid="{8D4EFAF5-DE63-434A-B9A8-B9B517700813}"/>
    <hyperlink ref="E839" location="A127826911K" display="A127826911K" xr:uid="{E6F7B4D4-426C-4B83-9D1A-D4BC0318AEB0}"/>
    <hyperlink ref="E840" location="A127832849W" display="A127832849W" xr:uid="{53DDA03B-E6BC-4BBD-80FE-B88A77FB03D9}"/>
    <hyperlink ref="E841" location="A127829879A" display="A127829879A" xr:uid="{E47CFD8F-6DC3-495D-87F8-41C61B471F67}"/>
    <hyperlink ref="E842" location="A127826909X" display="A127826909X" xr:uid="{FE13350A-E531-4F9E-A1F4-BD583DFF4ADB}"/>
    <hyperlink ref="E843" location="A127832860K" display="A127832860K" xr:uid="{50698266-8EC4-441D-AC24-1E697BE9765C}"/>
    <hyperlink ref="E844" location="A127829890R" display="A127829890R" xr:uid="{714F9BFA-B89D-4AA8-B8B6-6FCE41B54613}"/>
    <hyperlink ref="E845" location="A127826920L" display="A127826920L" xr:uid="{C4658D0D-2956-4CC2-9C94-B604FB23B7E4}"/>
    <hyperlink ref="E846" location="A127832848V" display="A127832848V" xr:uid="{0168CA26-D009-49C1-89A4-A167D3292C63}"/>
    <hyperlink ref="E847" location="A127829878X" display="A127829878X" xr:uid="{41991056-B38D-4F59-8F70-56EE1FA82333}"/>
    <hyperlink ref="E848" location="A127826908W" display="A127826908W" xr:uid="{B6034FDC-E24D-466C-9196-E24805E13B4C}"/>
    <hyperlink ref="E849" location="A127832855T" display="A127832855T" xr:uid="{233C68C1-9C0B-48A2-9DCC-7E961A09C44D}"/>
    <hyperlink ref="E850" location="A127829885W" display="A127829885W" xr:uid="{B045DCAA-FC56-4429-B96D-27E50313719A}"/>
    <hyperlink ref="E851" location="A127826915V" display="A127826915V" xr:uid="{F23A183E-A93A-44D4-84CF-F23E92C4A823}"/>
    <hyperlink ref="E852" location="A127832850F" display="A127832850F" xr:uid="{41FD9686-89E2-4A48-B094-39838EEE4275}"/>
    <hyperlink ref="E853" location="A127829880K" display="A127829880K" xr:uid="{5248FA1E-AB42-48C2-9AD2-46213CCCF52B}"/>
    <hyperlink ref="E854" location="A127826910J" display="A127826910J" xr:uid="{B7FC7815-6F8A-4B57-B387-2945796A7FE8}"/>
    <hyperlink ref="E855" location="A127832847T" display="A127832847T" xr:uid="{5B81EC0F-E6DE-499D-9EAC-EA7E741A8237}"/>
    <hyperlink ref="E856" location="A127829877W" display="A127829877W" xr:uid="{051A07D3-666C-47DB-872A-38E36A6B1CC1}"/>
    <hyperlink ref="E857" location="A127826907V" display="A127826907V" xr:uid="{BDA2F2AE-2A9B-472E-B355-97792E24D1E5}"/>
    <hyperlink ref="E858" location="A127832854R" display="A127832854R" xr:uid="{6CDC1AFA-5396-4DBB-9989-A3B8E5E22F1A}"/>
    <hyperlink ref="E859" location="A127829884V" display="A127829884V" xr:uid="{E3C554F0-A6DD-4D8A-89E0-9E2C0C94E3EF}"/>
    <hyperlink ref="E860" location="A127826914T" display="A127826914T" xr:uid="{EA914D02-BDBB-4C17-871F-D2D874A7E9C3}"/>
    <hyperlink ref="E861" location="A127832853L" display="A127832853L" xr:uid="{5840B09E-181A-4528-BB16-661221C5D5DB}"/>
    <hyperlink ref="E862" location="A127829883T" display="A127829883T" xr:uid="{AAC15184-8362-49DE-A1E6-084E745F123A}"/>
    <hyperlink ref="E863" location="A127826913R" display="A127826913R" xr:uid="{17C25E6F-645A-4167-98BC-D881995434BE}"/>
    <hyperlink ref="E864" location="A127832861L" display="A127832861L" xr:uid="{F0EA9682-DD68-4EBB-AAF3-BD013EBCC06B}"/>
    <hyperlink ref="E865" location="A127829891T" display="A127829891T" xr:uid="{E35213FF-A394-4B70-B1BC-6B6D53609887}"/>
    <hyperlink ref="E866" location="A127826921R" display="A127826921R" xr:uid="{715D101E-285C-415E-94DE-AABE909C9FB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F5AC5-046E-42F6-90D1-0AEA307137E7}">
  <dimension ref="A1:IQ102"/>
  <sheetViews>
    <sheetView workbookViewId="0">
      <pane xSplit="1" ySplit="10" topLeftCell="B11" activePane="bottomRight" state="frozen"/>
      <selection activeCell="A12" sqref="A12"/>
      <selection pane="topRight" activeCell="A12" sqref="A12"/>
      <selection pane="bottomLeft" activeCell="A12" sqref="A12"/>
      <selection pane="bottomRight" activeCell="B11" sqref="B11"/>
    </sheetView>
  </sheetViews>
  <sheetFormatPr defaultColWidth="14.7109375" defaultRowHeight="11.25"/>
  <cols>
    <col min="1" max="16384" width="14.7109375" style="55"/>
  </cols>
  <sheetData>
    <row r="1" spans="1:251" s="1" customFormat="1" ht="99.95" customHeight="1"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2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  <c r="BK1" s="2" t="s">
        <v>61</v>
      </c>
      <c r="BL1" s="2" t="s">
        <v>62</v>
      </c>
      <c r="BM1" s="2" t="s">
        <v>63</v>
      </c>
      <c r="BN1" s="2" t="s">
        <v>64</v>
      </c>
      <c r="BO1" s="2" t="s">
        <v>65</v>
      </c>
      <c r="BP1" s="2" t="s">
        <v>66</v>
      </c>
      <c r="BQ1" s="2" t="s">
        <v>67</v>
      </c>
      <c r="BR1" s="2" t="s">
        <v>68</v>
      </c>
      <c r="BS1" s="2" t="s">
        <v>69</v>
      </c>
      <c r="BT1" s="2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2" t="s">
        <v>78</v>
      </c>
      <c r="CC1" s="2" t="s">
        <v>79</v>
      </c>
      <c r="CD1" s="2" t="s">
        <v>80</v>
      </c>
      <c r="CE1" s="2" t="s">
        <v>81</v>
      </c>
      <c r="CF1" s="2" t="s">
        <v>82</v>
      </c>
      <c r="CG1" s="2" t="s">
        <v>83</v>
      </c>
      <c r="CH1" s="2" t="s">
        <v>84</v>
      </c>
      <c r="CI1" s="2" t="s">
        <v>85</v>
      </c>
      <c r="CJ1" s="2" t="s">
        <v>86</v>
      </c>
      <c r="CK1" s="2" t="s">
        <v>87</v>
      </c>
      <c r="CL1" s="2" t="s">
        <v>88</v>
      </c>
      <c r="CM1" s="2" t="s">
        <v>89</v>
      </c>
      <c r="CN1" s="2" t="s">
        <v>90</v>
      </c>
      <c r="CO1" s="2" t="s">
        <v>91</v>
      </c>
      <c r="CP1" s="2" t="s">
        <v>92</v>
      </c>
      <c r="CQ1" s="2" t="s">
        <v>93</v>
      </c>
      <c r="CR1" s="2" t="s">
        <v>94</v>
      </c>
      <c r="CS1" s="2" t="s">
        <v>95</v>
      </c>
      <c r="CT1" s="2" t="s">
        <v>96</v>
      </c>
      <c r="CU1" s="2" t="s">
        <v>97</v>
      </c>
      <c r="CV1" s="2" t="s">
        <v>98</v>
      </c>
      <c r="CW1" s="2" t="s">
        <v>99</v>
      </c>
      <c r="CX1" s="2" t="s">
        <v>100</v>
      </c>
      <c r="CY1" s="2" t="s">
        <v>101</v>
      </c>
      <c r="CZ1" s="2" t="s">
        <v>102</v>
      </c>
      <c r="DA1" s="2" t="s">
        <v>103</v>
      </c>
      <c r="DB1" s="2" t="s">
        <v>104</v>
      </c>
      <c r="DC1" s="2" t="s">
        <v>105</v>
      </c>
      <c r="DD1" s="2" t="s">
        <v>106</v>
      </c>
      <c r="DE1" s="2" t="s">
        <v>107</v>
      </c>
      <c r="DF1" s="2" t="s">
        <v>108</v>
      </c>
      <c r="DG1" s="2" t="s">
        <v>109</v>
      </c>
      <c r="DH1" s="2" t="s">
        <v>110</v>
      </c>
      <c r="DI1" s="2" t="s">
        <v>111</v>
      </c>
      <c r="DJ1" s="2" t="s">
        <v>112</v>
      </c>
      <c r="DK1" s="2" t="s">
        <v>113</v>
      </c>
      <c r="DL1" s="2" t="s">
        <v>114</v>
      </c>
      <c r="DM1" s="2" t="s">
        <v>115</v>
      </c>
      <c r="DN1" s="2" t="s">
        <v>116</v>
      </c>
      <c r="DO1" s="2" t="s">
        <v>117</v>
      </c>
      <c r="DP1" s="2" t="s">
        <v>118</v>
      </c>
      <c r="DQ1" s="2" t="s">
        <v>119</v>
      </c>
      <c r="DR1" s="2" t="s">
        <v>120</v>
      </c>
      <c r="DS1" s="2" t="s">
        <v>121</v>
      </c>
      <c r="DT1" s="2" t="s">
        <v>122</v>
      </c>
      <c r="DU1" s="2" t="s">
        <v>123</v>
      </c>
      <c r="DV1" s="2" t="s">
        <v>124</v>
      </c>
      <c r="DW1" s="2" t="s">
        <v>125</v>
      </c>
      <c r="DX1" s="2" t="s">
        <v>126</v>
      </c>
      <c r="DY1" s="2" t="s">
        <v>127</v>
      </c>
      <c r="DZ1" s="2" t="s">
        <v>128</v>
      </c>
      <c r="EA1" s="2" t="s">
        <v>129</v>
      </c>
      <c r="EB1" s="2" t="s">
        <v>130</v>
      </c>
      <c r="EC1" s="2" t="s">
        <v>131</v>
      </c>
      <c r="ED1" s="2" t="s">
        <v>132</v>
      </c>
      <c r="EE1" s="2" t="s">
        <v>133</v>
      </c>
      <c r="EF1" s="2" t="s">
        <v>134</v>
      </c>
      <c r="EG1" s="2" t="s">
        <v>135</v>
      </c>
      <c r="EH1" s="2" t="s">
        <v>136</v>
      </c>
      <c r="EI1" s="2" t="s">
        <v>137</v>
      </c>
      <c r="EJ1" s="2" t="s">
        <v>138</v>
      </c>
      <c r="EK1" s="2" t="s">
        <v>139</v>
      </c>
      <c r="EL1" s="2" t="s">
        <v>140</v>
      </c>
      <c r="EM1" s="2" t="s">
        <v>141</v>
      </c>
      <c r="EN1" s="2" t="s">
        <v>142</v>
      </c>
      <c r="EO1" s="2" t="s">
        <v>143</v>
      </c>
      <c r="EP1" s="2" t="s">
        <v>144</v>
      </c>
      <c r="EQ1" s="2" t="s">
        <v>145</v>
      </c>
      <c r="ER1" s="2" t="s">
        <v>146</v>
      </c>
      <c r="ES1" s="2" t="s">
        <v>147</v>
      </c>
      <c r="ET1" s="2" t="s">
        <v>148</v>
      </c>
      <c r="EU1" s="2" t="s">
        <v>149</v>
      </c>
      <c r="EV1" s="2" t="s">
        <v>150</v>
      </c>
      <c r="EW1" s="2" t="s">
        <v>151</v>
      </c>
      <c r="EX1" s="2" t="s">
        <v>152</v>
      </c>
      <c r="EY1" s="2" t="s">
        <v>153</v>
      </c>
      <c r="EZ1" s="2" t="s">
        <v>154</v>
      </c>
      <c r="FA1" s="2" t="s">
        <v>155</v>
      </c>
      <c r="FB1" s="2" t="s">
        <v>156</v>
      </c>
      <c r="FC1" s="2" t="s">
        <v>157</v>
      </c>
      <c r="FD1" s="2" t="s">
        <v>158</v>
      </c>
      <c r="FE1" s="2" t="s">
        <v>159</v>
      </c>
      <c r="FF1" s="2" t="s">
        <v>160</v>
      </c>
      <c r="FG1" s="2" t="s">
        <v>161</v>
      </c>
      <c r="FH1" s="2" t="s">
        <v>162</v>
      </c>
      <c r="FI1" s="2" t="s">
        <v>163</v>
      </c>
      <c r="FJ1" s="2" t="s">
        <v>164</v>
      </c>
      <c r="FK1" s="2" t="s">
        <v>165</v>
      </c>
      <c r="FL1" s="2" t="s">
        <v>166</v>
      </c>
      <c r="FM1" s="2" t="s">
        <v>167</v>
      </c>
      <c r="FN1" s="2" t="s">
        <v>168</v>
      </c>
      <c r="FO1" s="2" t="s">
        <v>169</v>
      </c>
      <c r="FP1" s="2" t="s">
        <v>170</v>
      </c>
      <c r="FQ1" s="2" t="s">
        <v>171</v>
      </c>
      <c r="FR1" s="2" t="s">
        <v>172</v>
      </c>
      <c r="FS1" s="2" t="s">
        <v>173</v>
      </c>
      <c r="FT1" s="2" t="s">
        <v>174</v>
      </c>
      <c r="FU1" s="2" t="s">
        <v>175</v>
      </c>
      <c r="FV1" s="2" t="s">
        <v>176</v>
      </c>
      <c r="FW1" s="2" t="s">
        <v>177</v>
      </c>
      <c r="FX1" s="2" t="s">
        <v>178</v>
      </c>
      <c r="FY1" s="2" t="s">
        <v>179</v>
      </c>
      <c r="FZ1" s="2" t="s">
        <v>180</v>
      </c>
      <c r="GA1" s="2" t="s">
        <v>181</v>
      </c>
      <c r="GB1" s="2" t="s">
        <v>182</v>
      </c>
      <c r="GC1" s="2" t="s">
        <v>183</v>
      </c>
      <c r="GD1" s="2" t="s">
        <v>184</v>
      </c>
      <c r="GE1" s="2" t="s">
        <v>185</v>
      </c>
      <c r="GF1" s="2" t="s">
        <v>186</v>
      </c>
      <c r="GG1" s="2" t="s">
        <v>187</v>
      </c>
      <c r="GH1" s="2" t="s">
        <v>188</v>
      </c>
      <c r="GI1" s="2" t="s">
        <v>189</v>
      </c>
      <c r="GJ1" s="2" t="s">
        <v>190</v>
      </c>
      <c r="GK1" s="2" t="s">
        <v>191</v>
      </c>
      <c r="GL1" s="2" t="s">
        <v>192</v>
      </c>
      <c r="GM1" s="2" t="s">
        <v>193</v>
      </c>
      <c r="GN1" s="2" t="s">
        <v>194</v>
      </c>
      <c r="GO1" s="2" t="s">
        <v>195</v>
      </c>
      <c r="GP1" s="2" t="s">
        <v>196</v>
      </c>
      <c r="GQ1" s="2" t="s">
        <v>197</v>
      </c>
      <c r="GR1" s="2" t="s">
        <v>198</v>
      </c>
      <c r="GS1" s="2" t="s">
        <v>199</v>
      </c>
      <c r="GT1" s="2" t="s">
        <v>200</v>
      </c>
      <c r="GU1" s="2" t="s">
        <v>201</v>
      </c>
      <c r="GV1" s="2" t="s">
        <v>202</v>
      </c>
      <c r="GW1" s="2" t="s">
        <v>203</v>
      </c>
      <c r="GX1" s="2" t="s">
        <v>204</v>
      </c>
      <c r="GY1" s="2" t="s">
        <v>205</v>
      </c>
      <c r="GZ1" s="2" t="s">
        <v>206</v>
      </c>
      <c r="HA1" s="2" t="s">
        <v>207</v>
      </c>
      <c r="HB1" s="2" t="s">
        <v>208</v>
      </c>
      <c r="HC1" s="2" t="s">
        <v>209</v>
      </c>
      <c r="HD1" s="2" t="s">
        <v>210</v>
      </c>
      <c r="HE1" s="2" t="s">
        <v>211</v>
      </c>
      <c r="HF1" s="2" t="s">
        <v>212</v>
      </c>
      <c r="HG1" s="2" t="s">
        <v>213</v>
      </c>
      <c r="HH1" s="2" t="s">
        <v>214</v>
      </c>
      <c r="HI1" s="2" t="s">
        <v>215</v>
      </c>
      <c r="HJ1" s="2" t="s">
        <v>216</v>
      </c>
      <c r="HK1" s="2" t="s">
        <v>217</v>
      </c>
      <c r="HL1" s="2" t="s">
        <v>218</v>
      </c>
      <c r="HM1" s="2" t="s">
        <v>219</v>
      </c>
      <c r="HN1" s="2" t="s">
        <v>220</v>
      </c>
      <c r="HO1" s="2" t="s">
        <v>221</v>
      </c>
      <c r="HP1" s="2" t="s">
        <v>222</v>
      </c>
      <c r="HQ1" s="2" t="s">
        <v>223</v>
      </c>
      <c r="HR1" s="2" t="s">
        <v>224</v>
      </c>
      <c r="HS1" s="2" t="s">
        <v>225</v>
      </c>
      <c r="HT1" s="2" t="s">
        <v>226</v>
      </c>
      <c r="HU1" s="2" t="s">
        <v>227</v>
      </c>
      <c r="HV1" s="2" t="s">
        <v>228</v>
      </c>
      <c r="HW1" s="2" t="s">
        <v>229</v>
      </c>
      <c r="HX1" s="2" t="s">
        <v>230</v>
      </c>
      <c r="HY1" s="2" t="s">
        <v>231</v>
      </c>
      <c r="HZ1" s="2" t="s">
        <v>232</v>
      </c>
      <c r="IA1" s="2" t="s">
        <v>233</v>
      </c>
      <c r="IB1" s="2" t="s">
        <v>234</v>
      </c>
      <c r="IC1" s="2" t="s">
        <v>235</v>
      </c>
      <c r="ID1" s="2" t="s">
        <v>236</v>
      </c>
      <c r="IE1" s="2" t="s">
        <v>237</v>
      </c>
      <c r="IF1" s="2" t="s">
        <v>238</v>
      </c>
      <c r="IG1" s="2" t="s">
        <v>239</v>
      </c>
      <c r="IH1" s="2" t="s">
        <v>240</v>
      </c>
      <c r="II1" s="2" t="s">
        <v>241</v>
      </c>
      <c r="IJ1" s="2" t="s">
        <v>242</v>
      </c>
      <c r="IK1" s="2" t="s">
        <v>243</v>
      </c>
      <c r="IL1" s="2" t="s">
        <v>244</v>
      </c>
      <c r="IM1" s="2" t="s">
        <v>245</v>
      </c>
      <c r="IN1" s="2" t="s">
        <v>246</v>
      </c>
      <c r="IO1" s="2" t="s">
        <v>247</v>
      </c>
      <c r="IP1" s="2" t="s">
        <v>248</v>
      </c>
      <c r="IQ1" s="2" t="s">
        <v>249</v>
      </c>
    </row>
    <row r="2" spans="1:251">
      <c r="A2" s="54" t="s">
        <v>250</v>
      </c>
      <c r="B2" s="3" t="s">
        <v>259</v>
      </c>
      <c r="C2" s="3" t="s">
        <v>259</v>
      </c>
      <c r="D2" s="3" t="s">
        <v>259</v>
      </c>
      <c r="E2" s="3" t="s">
        <v>259</v>
      </c>
      <c r="F2" s="3" t="s">
        <v>259</v>
      </c>
      <c r="G2" s="3" t="s">
        <v>259</v>
      </c>
      <c r="H2" s="3" t="s">
        <v>259</v>
      </c>
      <c r="I2" s="3" t="s">
        <v>259</v>
      </c>
      <c r="J2" s="3" t="s">
        <v>259</v>
      </c>
      <c r="K2" s="3" t="s">
        <v>259</v>
      </c>
      <c r="L2" s="3" t="s">
        <v>259</v>
      </c>
      <c r="M2" s="3" t="s">
        <v>259</v>
      </c>
      <c r="N2" s="3" t="s">
        <v>259</v>
      </c>
      <c r="O2" s="3" t="s">
        <v>259</v>
      </c>
      <c r="P2" s="3" t="s">
        <v>259</v>
      </c>
      <c r="Q2" s="3" t="s">
        <v>259</v>
      </c>
      <c r="R2" s="3" t="s">
        <v>259</v>
      </c>
      <c r="S2" s="3" t="s">
        <v>259</v>
      </c>
      <c r="T2" s="3" t="s">
        <v>259</v>
      </c>
      <c r="U2" s="3" t="s">
        <v>259</v>
      </c>
      <c r="V2" s="3" t="s">
        <v>259</v>
      </c>
      <c r="W2" s="3" t="s">
        <v>259</v>
      </c>
      <c r="X2" s="3" t="s">
        <v>259</v>
      </c>
      <c r="Y2" s="3" t="s">
        <v>259</v>
      </c>
      <c r="Z2" s="3" t="s">
        <v>259</v>
      </c>
      <c r="AA2" s="3" t="s">
        <v>259</v>
      </c>
      <c r="AB2" s="3" t="s">
        <v>259</v>
      </c>
      <c r="AC2" s="3" t="s">
        <v>259</v>
      </c>
      <c r="AD2" s="3" t="s">
        <v>259</v>
      </c>
      <c r="AE2" s="3" t="s">
        <v>259</v>
      </c>
      <c r="AF2" s="3" t="s">
        <v>259</v>
      </c>
      <c r="AG2" s="3" t="s">
        <v>259</v>
      </c>
      <c r="AH2" s="3" t="s">
        <v>259</v>
      </c>
      <c r="AI2" s="3" t="s">
        <v>259</v>
      </c>
      <c r="AJ2" s="3" t="s">
        <v>259</v>
      </c>
      <c r="AK2" s="3" t="s">
        <v>259</v>
      </c>
      <c r="AL2" s="3" t="s">
        <v>259</v>
      </c>
      <c r="AM2" s="3" t="s">
        <v>259</v>
      </c>
      <c r="AN2" s="3" t="s">
        <v>259</v>
      </c>
      <c r="AO2" s="3" t="s">
        <v>259</v>
      </c>
      <c r="AP2" s="3" t="s">
        <v>259</v>
      </c>
      <c r="AQ2" s="3" t="s">
        <v>259</v>
      </c>
      <c r="AR2" s="3" t="s">
        <v>259</v>
      </c>
      <c r="AS2" s="3" t="s">
        <v>259</v>
      </c>
      <c r="AT2" s="3" t="s">
        <v>259</v>
      </c>
      <c r="AU2" s="3" t="s">
        <v>259</v>
      </c>
      <c r="AV2" s="3" t="s">
        <v>259</v>
      </c>
      <c r="AW2" s="3" t="s">
        <v>259</v>
      </c>
      <c r="AX2" s="3" t="s">
        <v>259</v>
      </c>
      <c r="AY2" s="3" t="s">
        <v>259</v>
      </c>
      <c r="AZ2" s="3" t="s">
        <v>259</v>
      </c>
      <c r="BA2" s="3" t="s">
        <v>259</v>
      </c>
      <c r="BB2" s="3" t="s">
        <v>259</v>
      </c>
      <c r="BC2" s="3" t="s">
        <v>259</v>
      </c>
      <c r="BD2" s="3" t="s">
        <v>259</v>
      </c>
      <c r="BE2" s="3" t="s">
        <v>259</v>
      </c>
      <c r="BF2" s="3" t="s">
        <v>259</v>
      </c>
      <c r="BG2" s="3" t="s">
        <v>259</v>
      </c>
      <c r="BH2" s="3" t="s">
        <v>259</v>
      </c>
      <c r="BI2" s="3" t="s">
        <v>259</v>
      </c>
      <c r="BJ2" s="3" t="s">
        <v>259</v>
      </c>
      <c r="BK2" s="3" t="s">
        <v>259</v>
      </c>
      <c r="BL2" s="3" t="s">
        <v>259</v>
      </c>
      <c r="BM2" s="3" t="s">
        <v>259</v>
      </c>
      <c r="BN2" s="3" t="s">
        <v>259</v>
      </c>
      <c r="BO2" s="3" t="s">
        <v>259</v>
      </c>
      <c r="BP2" s="3" t="s">
        <v>259</v>
      </c>
      <c r="BQ2" s="3" t="s">
        <v>259</v>
      </c>
      <c r="BR2" s="3" t="s">
        <v>259</v>
      </c>
      <c r="BS2" s="3" t="s">
        <v>259</v>
      </c>
      <c r="BT2" s="3" t="s">
        <v>259</v>
      </c>
      <c r="BU2" s="3" t="s">
        <v>259</v>
      </c>
      <c r="BV2" s="3" t="s">
        <v>259</v>
      </c>
      <c r="BW2" s="3" t="s">
        <v>259</v>
      </c>
      <c r="BX2" s="3" t="s">
        <v>259</v>
      </c>
      <c r="BY2" s="3" t="s">
        <v>259</v>
      </c>
      <c r="BZ2" s="3" t="s">
        <v>259</v>
      </c>
      <c r="CA2" s="3" t="s">
        <v>259</v>
      </c>
      <c r="CB2" s="3" t="s">
        <v>259</v>
      </c>
      <c r="CC2" s="3" t="s">
        <v>259</v>
      </c>
      <c r="CD2" s="3" t="s">
        <v>259</v>
      </c>
      <c r="CE2" s="3" t="s">
        <v>259</v>
      </c>
      <c r="CF2" s="3" t="s">
        <v>259</v>
      </c>
      <c r="CG2" s="3" t="s">
        <v>259</v>
      </c>
      <c r="CH2" s="3" t="s">
        <v>259</v>
      </c>
      <c r="CI2" s="3" t="s">
        <v>259</v>
      </c>
      <c r="CJ2" s="3" t="s">
        <v>259</v>
      </c>
      <c r="CK2" s="3" t="s">
        <v>259</v>
      </c>
      <c r="CL2" s="3" t="s">
        <v>259</v>
      </c>
      <c r="CM2" s="3" t="s">
        <v>259</v>
      </c>
      <c r="CN2" s="3" t="s">
        <v>259</v>
      </c>
      <c r="CO2" s="3" t="s">
        <v>259</v>
      </c>
      <c r="CP2" s="3" t="s">
        <v>259</v>
      </c>
      <c r="CQ2" s="3" t="s">
        <v>259</v>
      </c>
      <c r="CR2" s="3" t="s">
        <v>259</v>
      </c>
      <c r="CS2" s="3" t="s">
        <v>259</v>
      </c>
      <c r="CT2" s="3" t="s">
        <v>259</v>
      </c>
      <c r="CU2" s="3" t="s">
        <v>259</v>
      </c>
      <c r="CV2" s="3" t="s">
        <v>259</v>
      </c>
      <c r="CW2" s="3" t="s">
        <v>259</v>
      </c>
      <c r="CX2" s="3" t="s">
        <v>259</v>
      </c>
      <c r="CY2" s="3" t="s">
        <v>259</v>
      </c>
      <c r="CZ2" s="3" t="s">
        <v>259</v>
      </c>
      <c r="DA2" s="3" t="s">
        <v>259</v>
      </c>
      <c r="DB2" s="3" t="s">
        <v>259</v>
      </c>
      <c r="DC2" s="3" t="s">
        <v>259</v>
      </c>
      <c r="DD2" s="3" t="s">
        <v>259</v>
      </c>
      <c r="DE2" s="3" t="s">
        <v>259</v>
      </c>
      <c r="DF2" s="3" t="s">
        <v>259</v>
      </c>
      <c r="DG2" s="3" t="s">
        <v>259</v>
      </c>
      <c r="DH2" s="3" t="s">
        <v>259</v>
      </c>
      <c r="DI2" s="3" t="s">
        <v>259</v>
      </c>
      <c r="DJ2" s="3" t="s">
        <v>259</v>
      </c>
      <c r="DK2" s="3" t="s">
        <v>259</v>
      </c>
      <c r="DL2" s="3" t="s">
        <v>259</v>
      </c>
      <c r="DM2" s="3" t="s">
        <v>259</v>
      </c>
      <c r="DN2" s="3" t="s">
        <v>259</v>
      </c>
      <c r="DO2" s="3" t="s">
        <v>259</v>
      </c>
      <c r="DP2" s="3" t="s">
        <v>259</v>
      </c>
      <c r="DQ2" s="3" t="s">
        <v>259</v>
      </c>
      <c r="DR2" s="3" t="s">
        <v>259</v>
      </c>
      <c r="DS2" s="3" t="s">
        <v>259</v>
      </c>
      <c r="DT2" s="3" t="s">
        <v>259</v>
      </c>
      <c r="DU2" s="3" t="s">
        <v>259</v>
      </c>
      <c r="DV2" s="3" t="s">
        <v>259</v>
      </c>
      <c r="DW2" s="3" t="s">
        <v>259</v>
      </c>
      <c r="DX2" s="3" t="s">
        <v>259</v>
      </c>
      <c r="DY2" s="3" t="s">
        <v>259</v>
      </c>
      <c r="DZ2" s="3" t="s">
        <v>259</v>
      </c>
      <c r="EA2" s="3" t="s">
        <v>259</v>
      </c>
      <c r="EB2" s="3" t="s">
        <v>259</v>
      </c>
      <c r="EC2" s="3" t="s">
        <v>259</v>
      </c>
      <c r="ED2" s="3" t="s">
        <v>259</v>
      </c>
      <c r="EE2" s="3" t="s">
        <v>259</v>
      </c>
      <c r="EF2" s="3" t="s">
        <v>259</v>
      </c>
      <c r="EG2" s="3" t="s">
        <v>259</v>
      </c>
      <c r="EH2" s="3" t="s">
        <v>259</v>
      </c>
      <c r="EI2" s="3" t="s">
        <v>259</v>
      </c>
      <c r="EJ2" s="3" t="s">
        <v>259</v>
      </c>
      <c r="EK2" s="3" t="s">
        <v>259</v>
      </c>
      <c r="EL2" s="3" t="s">
        <v>259</v>
      </c>
      <c r="EM2" s="3" t="s">
        <v>259</v>
      </c>
      <c r="EN2" s="3" t="s">
        <v>259</v>
      </c>
      <c r="EO2" s="3" t="s">
        <v>259</v>
      </c>
      <c r="EP2" s="3" t="s">
        <v>259</v>
      </c>
      <c r="EQ2" s="3" t="s">
        <v>259</v>
      </c>
      <c r="ER2" s="3" t="s">
        <v>259</v>
      </c>
      <c r="ES2" s="3" t="s">
        <v>259</v>
      </c>
      <c r="ET2" s="3" t="s">
        <v>259</v>
      </c>
      <c r="EU2" s="3" t="s">
        <v>259</v>
      </c>
      <c r="EV2" s="3" t="s">
        <v>259</v>
      </c>
      <c r="EW2" s="3" t="s">
        <v>259</v>
      </c>
      <c r="EX2" s="3" t="s">
        <v>259</v>
      </c>
      <c r="EY2" s="3" t="s">
        <v>259</v>
      </c>
      <c r="EZ2" s="3" t="s">
        <v>259</v>
      </c>
      <c r="FA2" s="3" t="s">
        <v>259</v>
      </c>
      <c r="FB2" s="3" t="s">
        <v>259</v>
      </c>
      <c r="FC2" s="3" t="s">
        <v>259</v>
      </c>
      <c r="FD2" s="3" t="s">
        <v>259</v>
      </c>
      <c r="FE2" s="3" t="s">
        <v>259</v>
      </c>
      <c r="FF2" s="3" t="s">
        <v>259</v>
      </c>
      <c r="FG2" s="3" t="s">
        <v>259</v>
      </c>
      <c r="FH2" s="3" t="s">
        <v>259</v>
      </c>
      <c r="FI2" s="3" t="s">
        <v>259</v>
      </c>
      <c r="FJ2" s="3" t="s">
        <v>259</v>
      </c>
      <c r="FK2" s="3" t="s">
        <v>259</v>
      </c>
      <c r="FL2" s="3" t="s">
        <v>259</v>
      </c>
      <c r="FM2" s="3" t="s">
        <v>259</v>
      </c>
      <c r="FN2" s="3" t="s">
        <v>259</v>
      </c>
      <c r="FO2" s="3" t="s">
        <v>259</v>
      </c>
      <c r="FP2" s="3" t="s">
        <v>259</v>
      </c>
      <c r="FQ2" s="3" t="s">
        <v>259</v>
      </c>
      <c r="FR2" s="3" t="s">
        <v>259</v>
      </c>
      <c r="FS2" s="3" t="s">
        <v>259</v>
      </c>
      <c r="FT2" s="3" t="s">
        <v>259</v>
      </c>
      <c r="FU2" s="3" t="s">
        <v>259</v>
      </c>
      <c r="FV2" s="3" t="s">
        <v>259</v>
      </c>
      <c r="FW2" s="3" t="s">
        <v>259</v>
      </c>
      <c r="FX2" s="3" t="s">
        <v>259</v>
      </c>
      <c r="FY2" s="3" t="s">
        <v>259</v>
      </c>
      <c r="FZ2" s="3" t="s">
        <v>259</v>
      </c>
      <c r="GA2" s="3" t="s">
        <v>259</v>
      </c>
      <c r="GB2" s="3" t="s">
        <v>259</v>
      </c>
      <c r="GC2" s="3" t="s">
        <v>259</v>
      </c>
      <c r="GD2" s="3" t="s">
        <v>259</v>
      </c>
      <c r="GE2" s="3" t="s">
        <v>259</v>
      </c>
      <c r="GF2" s="3" t="s">
        <v>259</v>
      </c>
      <c r="GG2" s="3" t="s">
        <v>259</v>
      </c>
      <c r="GH2" s="3" t="s">
        <v>259</v>
      </c>
      <c r="GI2" s="3" t="s">
        <v>259</v>
      </c>
      <c r="GJ2" s="3" t="s">
        <v>259</v>
      </c>
      <c r="GK2" s="3" t="s">
        <v>259</v>
      </c>
      <c r="GL2" s="3" t="s">
        <v>259</v>
      </c>
      <c r="GM2" s="3" t="s">
        <v>259</v>
      </c>
      <c r="GN2" s="3" t="s">
        <v>259</v>
      </c>
      <c r="GO2" s="3" t="s">
        <v>259</v>
      </c>
      <c r="GP2" s="3" t="s">
        <v>259</v>
      </c>
      <c r="GQ2" s="3" t="s">
        <v>259</v>
      </c>
      <c r="GR2" s="3" t="s">
        <v>259</v>
      </c>
      <c r="GS2" s="3" t="s">
        <v>259</v>
      </c>
      <c r="GT2" s="3" t="s">
        <v>259</v>
      </c>
      <c r="GU2" s="3" t="s">
        <v>259</v>
      </c>
      <c r="GV2" s="3" t="s">
        <v>259</v>
      </c>
      <c r="GW2" s="3" t="s">
        <v>259</v>
      </c>
      <c r="GX2" s="3" t="s">
        <v>259</v>
      </c>
      <c r="GY2" s="3" t="s">
        <v>259</v>
      </c>
      <c r="GZ2" s="3" t="s">
        <v>259</v>
      </c>
      <c r="HA2" s="3" t="s">
        <v>259</v>
      </c>
      <c r="HB2" s="3" t="s">
        <v>259</v>
      </c>
      <c r="HC2" s="3" t="s">
        <v>259</v>
      </c>
      <c r="HD2" s="3" t="s">
        <v>259</v>
      </c>
      <c r="HE2" s="3" t="s">
        <v>259</v>
      </c>
      <c r="HF2" s="3" t="s">
        <v>259</v>
      </c>
      <c r="HG2" s="3" t="s">
        <v>259</v>
      </c>
      <c r="HH2" s="3" t="s">
        <v>259</v>
      </c>
      <c r="HI2" s="3" t="s">
        <v>259</v>
      </c>
      <c r="HJ2" s="3" t="s">
        <v>259</v>
      </c>
      <c r="HK2" s="3" t="s">
        <v>259</v>
      </c>
      <c r="HL2" s="3" t="s">
        <v>259</v>
      </c>
      <c r="HM2" s="3" t="s">
        <v>259</v>
      </c>
      <c r="HN2" s="3" t="s">
        <v>259</v>
      </c>
      <c r="HO2" s="3" t="s">
        <v>259</v>
      </c>
      <c r="HP2" s="3" t="s">
        <v>259</v>
      </c>
      <c r="HQ2" s="3" t="s">
        <v>259</v>
      </c>
      <c r="HR2" s="3" t="s">
        <v>259</v>
      </c>
      <c r="HS2" s="3" t="s">
        <v>259</v>
      </c>
      <c r="HT2" s="3" t="s">
        <v>259</v>
      </c>
      <c r="HU2" s="3" t="s">
        <v>259</v>
      </c>
      <c r="HV2" s="3" t="s">
        <v>259</v>
      </c>
      <c r="HW2" s="3" t="s">
        <v>259</v>
      </c>
      <c r="HX2" s="3" t="s">
        <v>259</v>
      </c>
      <c r="HY2" s="3" t="s">
        <v>259</v>
      </c>
      <c r="HZ2" s="3" t="s">
        <v>259</v>
      </c>
      <c r="IA2" s="3" t="s">
        <v>259</v>
      </c>
      <c r="IB2" s="3" t="s">
        <v>259</v>
      </c>
      <c r="IC2" s="3" t="s">
        <v>259</v>
      </c>
      <c r="ID2" s="3" t="s">
        <v>259</v>
      </c>
      <c r="IE2" s="3" t="s">
        <v>259</v>
      </c>
      <c r="IF2" s="3" t="s">
        <v>259</v>
      </c>
      <c r="IG2" s="3" t="s">
        <v>259</v>
      </c>
      <c r="IH2" s="3" t="s">
        <v>259</v>
      </c>
      <c r="II2" s="3" t="s">
        <v>259</v>
      </c>
      <c r="IJ2" s="3" t="s">
        <v>259</v>
      </c>
      <c r="IK2" s="3" t="s">
        <v>259</v>
      </c>
      <c r="IL2" s="3" t="s">
        <v>259</v>
      </c>
      <c r="IM2" s="3" t="s">
        <v>259</v>
      </c>
      <c r="IN2" s="3" t="s">
        <v>259</v>
      </c>
      <c r="IO2" s="3" t="s">
        <v>259</v>
      </c>
      <c r="IP2" s="3" t="s">
        <v>259</v>
      </c>
      <c r="IQ2" s="3" t="s">
        <v>259</v>
      </c>
    </row>
    <row r="3" spans="1:251">
      <c r="A3" s="54" t="s">
        <v>251</v>
      </c>
      <c r="B3" s="4" t="s">
        <v>260</v>
      </c>
      <c r="C3" s="4" t="s">
        <v>260</v>
      </c>
      <c r="D3" s="4" t="s">
        <v>260</v>
      </c>
      <c r="E3" s="4" t="s">
        <v>260</v>
      </c>
      <c r="F3" s="4" t="s">
        <v>260</v>
      </c>
      <c r="G3" s="4" t="s">
        <v>260</v>
      </c>
      <c r="H3" s="4" t="s">
        <v>260</v>
      </c>
      <c r="I3" s="4" t="s">
        <v>260</v>
      </c>
      <c r="J3" s="4" t="s">
        <v>260</v>
      </c>
      <c r="K3" s="4" t="s">
        <v>260</v>
      </c>
      <c r="L3" s="4" t="s">
        <v>260</v>
      </c>
      <c r="M3" s="4" t="s">
        <v>260</v>
      </c>
      <c r="N3" s="4" t="s">
        <v>260</v>
      </c>
      <c r="O3" s="4" t="s">
        <v>260</v>
      </c>
      <c r="P3" s="4" t="s">
        <v>260</v>
      </c>
      <c r="Q3" s="4" t="s">
        <v>260</v>
      </c>
      <c r="R3" s="4" t="s">
        <v>260</v>
      </c>
      <c r="S3" s="4" t="s">
        <v>260</v>
      </c>
      <c r="T3" s="4" t="s">
        <v>260</v>
      </c>
      <c r="U3" s="4" t="s">
        <v>260</v>
      </c>
      <c r="V3" s="4" t="s">
        <v>260</v>
      </c>
      <c r="W3" s="4" t="s">
        <v>260</v>
      </c>
      <c r="X3" s="4" t="s">
        <v>260</v>
      </c>
      <c r="Y3" s="4" t="s">
        <v>260</v>
      </c>
      <c r="Z3" s="4" t="s">
        <v>260</v>
      </c>
      <c r="AA3" s="4" t="s">
        <v>260</v>
      </c>
      <c r="AB3" s="4" t="s">
        <v>260</v>
      </c>
      <c r="AC3" s="4" t="s">
        <v>260</v>
      </c>
      <c r="AD3" s="4" t="s">
        <v>260</v>
      </c>
      <c r="AE3" s="4" t="s">
        <v>260</v>
      </c>
      <c r="AF3" s="4" t="s">
        <v>260</v>
      </c>
      <c r="AG3" s="4" t="s">
        <v>260</v>
      </c>
      <c r="AH3" s="4" t="s">
        <v>260</v>
      </c>
      <c r="AI3" s="4" t="s">
        <v>260</v>
      </c>
      <c r="AJ3" s="4" t="s">
        <v>260</v>
      </c>
      <c r="AK3" s="4" t="s">
        <v>260</v>
      </c>
      <c r="AL3" s="4" t="s">
        <v>260</v>
      </c>
      <c r="AM3" s="4" t="s">
        <v>260</v>
      </c>
      <c r="AN3" s="4" t="s">
        <v>260</v>
      </c>
      <c r="AO3" s="4" t="s">
        <v>260</v>
      </c>
      <c r="AP3" s="4" t="s">
        <v>260</v>
      </c>
      <c r="AQ3" s="4" t="s">
        <v>260</v>
      </c>
      <c r="AR3" s="4" t="s">
        <v>260</v>
      </c>
      <c r="AS3" s="4" t="s">
        <v>260</v>
      </c>
      <c r="AT3" s="4" t="s">
        <v>260</v>
      </c>
      <c r="AU3" s="4" t="s">
        <v>260</v>
      </c>
      <c r="AV3" s="4" t="s">
        <v>260</v>
      </c>
      <c r="AW3" s="4" t="s">
        <v>260</v>
      </c>
      <c r="AX3" s="4" t="s">
        <v>260</v>
      </c>
      <c r="AY3" s="4" t="s">
        <v>260</v>
      </c>
      <c r="AZ3" s="4" t="s">
        <v>260</v>
      </c>
      <c r="BA3" s="4" t="s">
        <v>260</v>
      </c>
      <c r="BB3" s="4" t="s">
        <v>260</v>
      </c>
      <c r="BC3" s="4" t="s">
        <v>260</v>
      </c>
      <c r="BD3" s="4" t="s">
        <v>260</v>
      </c>
      <c r="BE3" s="4" t="s">
        <v>260</v>
      </c>
      <c r="BF3" s="4" t="s">
        <v>260</v>
      </c>
      <c r="BG3" s="4" t="s">
        <v>260</v>
      </c>
      <c r="BH3" s="4" t="s">
        <v>260</v>
      </c>
      <c r="BI3" s="4" t="s">
        <v>260</v>
      </c>
      <c r="BJ3" s="4" t="s">
        <v>260</v>
      </c>
      <c r="BK3" s="4" t="s">
        <v>260</v>
      </c>
      <c r="BL3" s="4" t="s">
        <v>260</v>
      </c>
      <c r="BM3" s="4" t="s">
        <v>260</v>
      </c>
      <c r="BN3" s="4" t="s">
        <v>260</v>
      </c>
      <c r="BO3" s="4" t="s">
        <v>260</v>
      </c>
      <c r="BP3" s="4" t="s">
        <v>260</v>
      </c>
      <c r="BQ3" s="4" t="s">
        <v>260</v>
      </c>
      <c r="BR3" s="4" t="s">
        <v>260</v>
      </c>
      <c r="BS3" s="4" t="s">
        <v>260</v>
      </c>
      <c r="BT3" s="4" t="s">
        <v>260</v>
      </c>
      <c r="BU3" s="4" t="s">
        <v>260</v>
      </c>
      <c r="BV3" s="4" t="s">
        <v>260</v>
      </c>
      <c r="BW3" s="4" t="s">
        <v>260</v>
      </c>
      <c r="BX3" s="4" t="s">
        <v>260</v>
      </c>
      <c r="BY3" s="4" t="s">
        <v>260</v>
      </c>
      <c r="BZ3" s="4" t="s">
        <v>260</v>
      </c>
      <c r="CA3" s="4" t="s">
        <v>260</v>
      </c>
      <c r="CB3" s="4" t="s">
        <v>260</v>
      </c>
      <c r="CC3" s="4" t="s">
        <v>260</v>
      </c>
      <c r="CD3" s="4" t="s">
        <v>260</v>
      </c>
      <c r="CE3" s="4" t="s">
        <v>260</v>
      </c>
      <c r="CF3" s="4" t="s">
        <v>260</v>
      </c>
      <c r="CG3" s="4" t="s">
        <v>260</v>
      </c>
      <c r="CH3" s="4" t="s">
        <v>260</v>
      </c>
      <c r="CI3" s="4" t="s">
        <v>260</v>
      </c>
      <c r="CJ3" s="4" t="s">
        <v>260</v>
      </c>
      <c r="CK3" s="4" t="s">
        <v>260</v>
      </c>
      <c r="CL3" s="4" t="s">
        <v>260</v>
      </c>
      <c r="CM3" s="4" t="s">
        <v>260</v>
      </c>
      <c r="CN3" s="4" t="s">
        <v>260</v>
      </c>
      <c r="CO3" s="4" t="s">
        <v>260</v>
      </c>
      <c r="CP3" s="4" t="s">
        <v>260</v>
      </c>
      <c r="CQ3" s="4" t="s">
        <v>260</v>
      </c>
      <c r="CR3" s="4" t="s">
        <v>260</v>
      </c>
      <c r="CS3" s="4" t="s">
        <v>260</v>
      </c>
      <c r="CT3" s="4" t="s">
        <v>260</v>
      </c>
      <c r="CU3" s="4" t="s">
        <v>260</v>
      </c>
      <c r="CV3" s="4" t="s">
        <v>260</v>
      </c>
      <c r="CW3" s="4" t="s">
        <v>260</v>
      </c>
      <c r="CX3" s="4" t="s">
        <v>260</v>
      </c>
      <c r="CY3" s="4" t="s">
        <v>260</v>
      </c>
      <c r="CZ3" s="4" t="s">
        <v>260</v>
      </c>
      <c r="DA3" s="4" t="s">
        <v>260</v>
      </c>
      <c r="DB3" s="4" t="s">
        <v>260</v>
      </c>
      <c r="DC3" s="4" t="s">
        <v>260</v>
      </c>
      <c r="DD3" s="4" t="s">
        <v>260</v>
      </c>
      <c r="DE3" s="4" t="s">
        <v>260</v>
      </c>
      <c r="DF3" s="4" t="s">
        <v>260</v>
      </c>
      <c r="DG3" s="4" t="s">
        <v>260</v>
      </c>
      <c r="DH3" s="4" t="s">
        <v>260</v>
      </c>
      <c r="DI3" s="4" t="s">
        <v>260</v>
      </c>
      <c r="DJ3" s="4" t="s">
        <v>260</v>
      </c>
      <c r="DK3" s="4" t="s">
        <v>260</v>
      </c>
      <c r="DL3" s="4" t="s">
        <v>260</v>
      </c>
      <c r="DM3" s="4" t="s">
        <v>260</v>
      </c>
      <c r="DN3" s="4" t="s">
        <v>260</v>
      </c>
      <c r="DO3" s="4" t="s">
        <v>260</v>
      </c>
      <c r="DP3" s="4" t="s">
        <v>260</v>
      </c>
      <c r="DQ3" s="4" t="s">
        <v>260</v>
      </c>
      <c r="DR3" s="4" t="s">
        <v>260</v>
      </c>
      <c r="DS3" s="4" t="s">
        <v>260</v>
      </c>
      <c r="DT3" s="4" t="s">
        <v>260</v>
      </c>
      <c r="DU3" s="4" t="s">
        <v>260</v>
      </c>
      <c r="DV3" s="4" t="s">
        <v>260</v>
      </c>
      <c r="DW3" s="4" t="s">
        <v>260</v>
      </c>
      <c r="DX3" s="4" t="s">
        <v>260</v>
      </c>
      <c r="DY3" s="4" t="s">
        <v>260</v>
      </c>
      <c r="DZ3" s="4" t="s">
        <v>260</v>
      </c>
      <c r="EA3" s="4" t="s">
        <v>260</v>
      </c>
      <c r="EB3" s="4" t="s">
        <v>260</v>
      </c>
      <c r="EC3" s="4" t="s">
        <v>260</v>
      </c>
      <c r="ED3" s="4" t="s">
        <v>260</v>
      </c>
      <c r="EE3" s="4" t="s">
        <v>260</v>
      </c>
      <c r="EF3" s="4" t="s">
        <v>260</v>
      </c>
      <c r="EG3" s="4" t="s">
        <v>260</v>
      </c>
      <c r="EH3" s="4" t="s">
        <v>260</v>
      </c>
      <c r="EI3" s="4" t="s">
        <v>260</v>
      </c>
      <c r="EJ3" s="4" t="s">
        <v>260</v>
      </c>
      <c r="EK3" s="4" t="s">
        <v>260</v>
      </c>
      <c r="EL3" s="4" t="s">
        <v>260</v>
      </c>
      <c r="EM3" s="4" t="s">
        <v>260</v>
      </c>
      <c r="EN3" s="4" t="s">
        <v>260</v>
      </c>
      <c r="EO3" s="4" t="s">
        <v>260</v>
      </c>
      <c r="EP3" s="4" t="s">
        <v>260</v>
      </c>
      <c r="EQ3" s="4" t="s">
        <v>260</v>
      </c>
      <c r="ER3" s="4" t="s">
        <v>260</v>
      </c>
      <c r="ES3" s="4" t="s">
        <v>260</v>
      </c>
      <c r="ET3" s="4" t="s">
        <v>260</v>
      </c>
      <c r="EU3" s="4" t="s">
        <v>260</v>
      </c>
      <c r="EV3" s="4" t="s">
        <v>260</v>
      </c>
      <c r="EW3" s="4" t="s">
        <v>260</v>
      </c>
      <c r="EX3" s="4" t="s">
        <v>260</v>
      </c>
      <c r="EY3" s="4" t="s">
        <v>260</v>
      </c>
      <c r="EZ3" s="4" t="s">
        <v>260</v>
      </c>
      <c r="FA3" s="4" t="s">
        <v>260</v>
      </c>
      <c r="FB3" s="4" t="s">
        <v>260</v>
      </c>
      <c r="FC3" s="4" t="s">
        <v>260</v>
      </c>
      <c r="FD3" s="4" t="s">
        <v>260</v>
      </c>
      <c r="FE3" s="4" t="s">
        <v>260</v>
      </c>
      <c r="FF3" s="4" t="s">
        <v>260</v>
      </c>
      <c r="FG3" s="4" t="s">
        <v>260</v>
      </c>
      <c r="FH3" s="4" t="s">
        <v>260</v>
      </c>
      <c r="FI3" s="4" t="s">
        <v>260</v>
      </c>
      <c r="FJ3" s="4" t="s">
        <v>260</v>
      </c>
      <c r="FK3" s="4" t="s">
        <v>260</v>
      </c>
      <c r="FL3" s="4" t="s">
        <v>260</v>
      </c>
      <c r="FM3" s="4" t="s">
        <v>260</v>
      </c>
      <c r="FN3" s="4" t="s">
        <v>260</v>
      </c>
      <c r="FO3" s="4" t="s">
        <v>260</v>
      </c>
      <c r="FP3" s="4" t="s">
        <v>260</v>
      </c>
      <c r="FQ3" s="4" t="s">
        <v>260</v>
      </c>
      <c r="FR3" s="4" t="s">
        <v>260</v>
      </c>
      <c r="FS3" s="4" t="s">
        <v>260</v>
      </c>
      <c r="FT3" s="4" t="s">
        <v>260</v>
      </c>
      <c r="FU3" s="4" t="s">
        <v>260</v>
      </c>
      <c r="FV3" s="4" t="s">
        <v>260</v>
      </c>
      <c r="FW3" s="4" t="s">
        <v>260</v>
      </c>
      <c r="FX3" s="4" t="s">
        <v>260</v>
      </c>
      <c r="FY3" s="4" t="s">
        <v>260</v>
      </c>
      <c r="FZ3" s="4" t="s">
        <v>260</v>
      </c>
      <c r="GA3" s="4" t="s">
        <v>260</v>
      </c>
      <c r="GB3" s="4" t="s">
        <v>260</v>
      </c>
      <c r="GC3" s="4" t="s">
        <v>260</v>
      </c>
      <c r="GD3" s="4" t="s">
        <v>260</v>
      </c>
      <c r="GE3" s="4" t="s">
        <v>260</v>
      </c>
      <c r="GF3" s="4" t="s">
        <v>260</v>
      </c>
      <c r="GG3" s="4" t="s">
        <v>260</v>
      </c>
      <c r="GH3" s="4" t="s">
        <v>260</v>
      </c>
      <c r="GI3" s="4" t="s">
        <v>260</v>
      </c>
      <c r="GJ3" s="4" t="s">
        <v>260</v>
      </c>
      <c r="GK3" s="4" t="s">
        <v>260</v>
      </c>
      <c r="GL3" s="4" t="s">
        <v>260</v>
      </c>
      <c r="GM3" s="4" t="s">
        <v>260</v>
      </c>
      <c r="GN3" s="4" t="s">
        <v>260</v>
      </c>
      <c r="GO3" s="4" t="s">
        <v>260</v>
      </c>
      <c r="GP3" s="4" t="s">
        <v>260</v>
      </c>
      <c r="GQ3" s="4" t="s">
        <v>260</v>
      </c>
      <c r="GR3" s="4" t="s">
        <v>260</v>
      </c>
      <c r="GS3" s="4" t="s">
        <v>260</v>
      </c>
      <c r="GT3" s="4" t="s">
        <v>260</v>
      </c>
      <c r="GU3" s="4" t="s">
        <v>260</v>
      </c>
      <c r="GV3" s="4" t="s">
        <v>260</v>
      </c>
      <c r="GW3" s="4" t="s">
        <v>260</v>
      </c>
      <c r="GX3" s="4" t="s">
        <v>260</v>
      </c>
      <c r="GY3" s="4" t="s">
        <v>260</v>
      </c>
      <c r="GZ3" s="4" t="s">
        <v>260</v>
      </c>
      <c r="HA3" s="4" t="s">
        <v>260</v>
      </c>
      <c r="HB3" s="4" t="s">
        <v>260</v>
      </c>
      <c r="HC3" s="4" t="s">
        <v>260</v>
      </c>
      <c r="HD3" s="4" t="s">
        <v>260</v>
      </c>
      <c r="HE3" s="4" t="s">
        <v>260</v>
      </c>
      <c r="HF3" s="4" t="s">
        <v>260</v>
      </c>
      <c r="HG3" s="4" t="s">
        <v>260</v>
      </c>
      <c r="HH3" s="4" t="s">
        <v>260</v>
      </c>
      <c r="HI3" s="4" t="s">
        <v>260</v>
      </c>
      <c r="HJ3" s="4" t="s">
        <v>260</v>
      </c>
      <c r="HK3" s="4" t="s">
        <v>260</v>
      </c>
      <c r="HL3" s="4" t="s">
        <v>260</v>
      </c>
      <c r="HM3" s="4" t="s">
        <v>260</v>
      </c>
      <c r="HN3" s="4" t="s">
        <v>260</v>
      </c>
      <c r="HO3" s="4" t="s">
        <v>260</v>
      </c>
      <c r="HP3" s="4" t="s">
        <v>260</v>
      </c>
      <c r="HQ3" s="4" t="s">
        <v>260</v>
      </c>
      <c r="HR3" s="4" t="s">
        <v>260</v>
      </c>
      <c r="HS3" s="4" t="s">
        <v>260</v>
      </c>
      <c r="HT3" s="4" t="s">
        <v>260</v>
      </c>
      <c r="HU3" s="4" t="s">
        <v>260</v>
      </c>
      <c r="HV3" s="4" t="s">
        <v>260</v>
      </c>
      <c r="HW3" s="4" t="s">
        <v>260</v>
      </c>
      <c r="HX3" s="4" t="s">
        <v>260</v>
      </c>
      <c r="HY3" s="4" t="s">
        <v>260</v>
      </c>
      <c r="HZ3" s="4" t="s">
        <v>260</v>
      </c>
      <c r="IA3" s="4" t="s">
        <v>260</v>
      </c>
      <c r="IB3" s="4" t="s">
        <v>260</v>
      </c>
      <c r="IC3" s="4" t="s">
        <v>260</v>
      </c>
      <c r="ID3" s="4" t="s">
        <v>260</v>
      </c>
      <c r="IE3" s="4" t="s">
        <v>260</v>
      </c>
      <c r="IF3" s="4" t="s">
        <v>260</v>
      </c>
      <c r="IG3" s="4" t="s">
        <v>260</v>
      </c>
      <c r="IH3" s="4" t="s">
        <v>260</v>
      </c>
      <c r="II3" s="4" t="s">
        <v>260</v>
      </c>
      <c r="IJ3" s="4" t="s">
        <v>260</v>
      </c>
      <c r="IK3" s="4" t="s">
        <v>260</v>
      </c>
      <c r="IL3" s="4" t="s">
        <v>260</v>
      </c>
      <c r="IM3" s="4" t="s">
        <v>260</v>
      </c>
      <c r="IN3" s="4" t="s">
        <v>260</v>
      </c>
      <c r="IO3" s="4" t="s">
        <v>260</v>
      </c>
      <c r="IP3" s="4" t="s">
        <v>260</v>
      </c>
      <c r="IQ3" s="4" t="s">
        <v>260</v>
      </c>
    </row>
    <row r="4" spans="1:251">
      <c r="A4" s="54" t="s">
        <v>252</v>
      </c>
      <c r="B4" s="4" t="s">
        <v>261</v>
      </c>
      <c r="C4" s="4" t="s">
        <v>261</v>
      </c>
      <c r="D4" s="4" t="s">
        <v>261</v>
      </c>
      <c r="E4" s="4" t="s">
        <v>261</v>
      </c>
      <c r="F4" s="4" t="s">
        <v>261</v>
      </c>
      <c r="G4" s="4" t="s">
        <v>261</v>
      </c>
      <c r="H4" s="4" t="s">
        <v>261</v>
      </c>
      <c r="I4" s="4" t="s">
        <v>261</v>
      </c>
      <c r="J4" s="4" t="s">
        <v>261</v>
      </c>
      <c r="K4" s="4" t="s">
        <v>261</v>
      </c>
      <c r="L4" s="4" t="s">
        <v>261</v>
      </c>
      <c r="M4" s="4" t="s">
        <v>261</v>
      </c>
      <c r="N4" s="4" t="s">
        <v>261</v>
      </c>
      <c r="O4" s="4" t="s">
        <v>261</v>
      </c>
      <c r="P4" s="4" t="s">
        <v>261</v>
      </c>
      <c r="Q4" s="4" t="s">
        <v>261</v>
      </c>
      <c r="R4" s="4" t="s">
        <v>261</v>
      </c>
      <c r="S4" s="4" t="s">
        <v>261</v>
      </c>
      <c r="T4" s="4" t="s">
        <v>261</v>
      </c>
      <c r="U4" s="4" t="s">
        <v>261</v>
      </c>
      <c r="V4" s="4" t="s">
        <v>261</v>
      </c>
      <c r="W4" s="4" t="s">
        <v>261</v>
      </c>
      <c r="X4" s="4" t="s">
        <v>261</v>
      </c>
      <c r="Y4" s="4" t="s">
        <v>261</v>
      </c>
      <c r="Z4" s="4" t="s">
        <v>261</v>
      </c>
      <c r="AA4" s="4" t="s">
        <v>261</v>
      </c>
      <c r="AB4" s="4" t="s">
        <v>261</v>
      </c>
      <c r="AC4" s="4" t="s">
        <v>261</v>
      </c>
      <c r="AD4" s="4" t="s">
        <v>261</v>
      </c>
      <c r="AE4" s="4" t="s">
        <v>261</v>
      </c>
      <c r="AF4" s="4" t="s">
        <v>261</v>
      </c>
      <c r="AG4" s="4" t="s">
        <v>261</v>
      </c>
      <c r="AH4" s="4" t="s">
        <v>261</v>
      </c>
      <c r="AI4" s="4" t="s">
        <v>261</v>
      </c>
      <c r="AJ4" s="4" t="s">
        <v>261</v>
      </c>
      <c r="AK4" s="4" t="s">
        <v>261</v>
      </c>
      <c r="AL4" s="4" t="s">
        <v>261</v>
      </c>
      <c r="AM4" s="4" t="s">
        <v>261</v>
      </c>
      <c r="AN4" s="4" t="s">
        <v>261</v>
      </c>
      <c r="AO4" s="4" t="s">
        <v>261</v>
      </c>
      <c r="AP4" s="4" t="s">
        <v>261</v>
      </c>
      <c r="AQ4" s="4" t="s">
        <v>261</v>
      </c>
      <c r="AR4" s="4" t="s">
        <v>261</v>
      </c>
      <c r="AS4" s="4" t="s">
        <v>261</v>
      </c>
      <c r="AT4" s="4" t="s">
        <v>261</v>
      </c>
      <c r="AU4" s="4" t="s">
        <v>261</v>
      </c>
      <c r="AV4" s="4" t="s">
        <v>261</v>
      </c>
      <c r="AW4" s="4" t="s">
        <v>261</v>
      </c>
      <c r="AX4" s="4" t="s">
        <v>261</v>
      </c>
      <c r="AY4" s="4" t="s">
        <v>261</v>
      </c>
      <c r="AZ4" s="4" t="s">
        <v>261</v>
      </c>
      <c r="BA4" s="4" t="s">
        <v>261</v>
      </c>
      <c r="BB4" s="4" t="s">
        <v>261</v>
      </c>
      <c r="BC4" s="4" t="s">
        <v>261</v>
      </c>
      <c r="BD4" s="4" t="s">
        <v>261</v>
      </c>
      <c r="BE4" s="4" t="s">
        <v>261</v>
      </c>
      <c r="BF4" s="4" t="s">
        <v>261</v>
      </c>
      <c r="BG4" s="4" t="s">
        <v>261</v>
      </c>
      <c r="BH4" s="4" t="s">
        <v>261</v>
      </c>
      <c r="BI4" s="4" t="s">
        <v>261</v>
      </c>
      <c r="BJ4" s="4" t="s">
        <v>261</v>
      </c>
      <c r="BK4" s="4" t="s">
        <v>261</v>
      </c>
      <c r="BL4" s="4" t="s">
        <v>261</v>
      </c>
      <c r="BM4" s="4" t="s">
        <v>261</v>
      </c>
      <c r="BN4" s="4" t="s">
        <v>261</v>
      </c>
      <c r="BO4" s="4" t="s">
        <v>261</v>
      </c>
      <c r="BP4" s="4" t="s">
        <v>261</v>
      </c>
      <c r="BQ4" s="4" t="s">
        <v>261</v>
      </c>
      <c r="BR4" s="4" t="s">
        <v>261</v>
      </c>
      <c r="BS4" s="4" t="s">
        <v>261</v>
      </c>
      <c r="BT4" s="4" t="s">
        <v>261</v>
      </c>
      <c r="BU4" s="4" t="s">
        <v>261</v>
      </c>
      <c r="BV4" s="4" t="s">
        <v>261</v>
      </c>
      <c r="BW4" s="4" t="s">
        <v>261</v>
      </c>
      <c r="BX4" s="4" t="s">
        <v>261</v>
      </c>
      <c r="BY4" s="4" t="s">
        <v>261</v>
      </c>
      <c r="BZ4" s="4" t="s">
        <v>261</v>
      </c>
      <c r="CA4" s="4" t="s">
        <v>261</v>
      </c>
      <c r="CB4" s="4" t="s">
        <v>261</v>
      </c>
      <c r="CC4" s="4" t="s">
        <v>261</v>
      </c>
      <c r="CD4" s="4" t="s">
        <v>261</v>
      </c>
      <c r="CE4" s="4" t="s">
        <v>261</v>
      </c>
      <c r="CF4" s="4" t="s">
        <v>261</v>
      </c>
      <c r="CG4" s="4" t="s">
        <v>261</v>
      </c>
      <c r="CH4" s="4" t="s">
        <v>261</v>
      </c>
      <c r="CI4" s="4" t="s">
        <v>261</v>
      </c>
      <c r="CJ4" s="4" t="s">
        <v>261</v>
      </c>
      <c r="CK4" s="4" t="s">
        <v>261</v>
      </c>
      <c r="CL4" s="4" t="s">
        <v>261</v>
      </c>
      <c r="CM4" s="4" t="s">
        <v>261</v>
      </c>
      <c r="CN4" s="4" t="s">
        <v>261</v>
      </c>
      <c r="CO4" s="4" t="s">
        <v>261</v>
      </c>
      <c r="CP4" s="4" t="s">
        <v>261</v>
      </c>
      <c r="CQ4" s="4" t="s">
        <v>261</v>
      </c>
      <c r="CR4" s="4" t="s">
        <v>261</v>
      </c>
      <c r="CS4" s="4" t="s">
        <v>261</v>
      </c>
      <c r="CT4" s="4" t="s">
        <v>261</v>
      </c>
      <c r="CU4" s="4" t="s">
        <v>261</v>
      </c>
      <c r="CV4" s="4" t="s">
        <v>261</v>
      </c>
      <c r="CW4" s="4" t="s">
        <v>261</v>
      </c>
      <c r="CX4" s="4" t="s">
        <v>261</v>
      </c>
      <c r="CY4" s="4" t="s">
        <v>261</v>
      </c>
      <c r="CZ4" s="4" t="s">
        <v>261</v>
      </c>
      <c r="DA4" s="4" t="s">
        <v>261</v>
      </c>
      <c r="DB4" s="4" t="s">
        <v>261</v>
      </c>
      <c r="DC4" s="4" t="s">
        <v>261</v>
      </c>
      <c r="DD4" s="4" t="s">
        <v>261</v>
      </c>
      <c r="DE4" s="4" t="s">
        <v>261</v>
      </c>
      <c r="DF4" s="4" t="s">
        <v>261</v>
      </c>
      <c r="DG4" s="4" t="s">
        <v>261</v>
      </c>
      <c r="DH4" s="4" t="s">
        <v>261</v>
      </c>
      <c r="DI4" s="4" t="s">
        <v>261</v>
      </c>
      <c r="DJ4" s="4" t="s">
        <v>261</v>
      </c>
      <c r="DK4" s="4" t="s">
        <v>261</v>
      </c>
      <c r="DL4" s="4" t="s">
        <v>261</v>
      </c>
      <c r="DM4" s="4" t="s">
        <v>261</v>
      </c>
      <c r="DN4" s="4" t="s">
        <v>261</v>
      </c>
      <c r="DO4" s="4" t="s">
        <v>261</v>
      </c>
      <c r="DP4" s="4" t="s">
        <v>261</v>
      </c>
      <c r="DQ4" s="4" t="s">
        <v>261</v>
      </c>
      <c r="DR4" s="4" t="s">
        <v>261</v>
      </c>
      <c r="DS4" s="4" t="s">
        <v>261</v>
      </c>
      <c r="DT4" s="4" t="s">
        <v>261</v>
      </c>
      <c r="DU4" s="4" t="s">
        <v>261</v>
      </c>
      <c r="DV4" s="4" t="s">
        <v>261</v>
      </c>
      <c r="DW4" s="4" t="s">
        <v>261</v>
      </c>
      <c r="DX4" s="4" t="s">
        <v>261</v>
      </c>
      <c r="DY4" s="4" t="s">
        <v>261</v>
      </c>
      <c r="DZ4" s="4" t="s">
        <v>261</v>
      </c>
      <c r="EA4" s="4" t="s">
        <v>261</v>
      </c>
      <c r="EB4" s="4" t="s">
        <v>261</v>
      </c>
      <c r="EC4" s="4" t="s">
        <v>261</v>
      </c>
      <c r="ED4" s="4" t="s">
        <v>261</v>
      </c>
      <c r="EE4" s="4" t="s">
        <v>261</v>
      </c>
      <c r="EF4" s="4" t="s">
        <v>261</v>
      </c>
      <c r="EG4" s="4" t="s">
        <v>261</v>
      </c>
      <c r="EH4" s="4" t="s">
        <v>261</v>
      </c>
      <c r="EI4" s="4" t="s">
        <v>261</v>
      </c>
      <c r="EJ4" s="4" t="s">
        <v>261</v>
      </c>
      <c r="EK4" s="4" t="s">
        <v>261</v>
      </c>
      <c r="EL4" s="4" t="s">
        <v>261</v>
      </c>
      <c r="EM4" s="4" t="s">
        <v>261</v>
      </c>
      <c r="EN4" s="4" t="s">
        <v>261</v>
      </c>
      <c r="EO4" s="4" t="s">
        <v>261</v>
      </c>
      <c r="EP4" s="4" t="s">
        <v>261</v>
      </c>
      <c r="EQ4" s="4" t="s">
        <v>261</v>
      </c>
      <c r="ER4" s="4" t="s">
        <v>261</v>
      </c>
      <c r="ES4" s="4" t="s">
        <v>261</v>
      </c>
      <c r="ET4" s="4" t="s">
        <v>261</v>
      </c>
      <c r="EU4" s="4" t="s">
        <v>261</v>
      </c>
      <c r="EV4" s="4" t="s">
        <v>261</v>
      </c>
      <c r="EW4" s="4" t="s">
        <v>261</v>
      </c>
      <c r="EX4" s="4" t="s">
        <v>261</v>
      </c>
      <c r="EY4" s="4" t="s">
        <v>261</v>
      </c>
      <c r="EZ4" s="4" t="s">
        <v>261</v>
      </c>
      <c r="FA4" s="4" t="s">
        <v>261</v>
      </c>
      <c r="FB4" s="4" t="s">
        <v>261</v>
      </c>
      <c r="FC4" s="4" t="s">
        <v>261</v>
      </c>
      <c r="FD4" s="4" t="s">
        <v>261</v>
      </c>
      <c r="FE4" s="4" t="s">
        <v>261</v>
      </c>
      <c r="FF4" s="4" t="s">
        <v>261</v>
      </c>
      <c r="FG4" s="4" t="s">
        <v>261</v>
      </c>
      <c r="FH4" s="4" t="s">
        <v>261</v>
      </c>
      <c r="FI4" s="4" t="s">
        <v>261</v>
      </c>
      <c r="FJ4" s="4" t="s">
        <v>261</v>
      </c>
      <c r="FK4" s="4" t="s">
        <v>261</v>
      </c>
      <c r="FL4" s="4" t="s">
        <v>261</v>
      </c>
      <c r="FM4" s="4" t="s">
        <v>261</v>
      </c>
      <c r="FN4" s="4" t="s">
        <v>261</v>
      </c>
      <c r="FO4" s="4" t="s">
        <v>261</v>
      </c>
      <c r="FP4" s="4" t="s">
        <v>261</v>
      </c>
      <c r="FQ4" s="4" t="s">
        <v>261</v>
      </c>
      <c r="FR4" s="4" t="s">
        <v>261</v>
      </c>
      <c r="FS4" s="4" t="s">
        <v>261</v>
      </c>
      <c r="FT4" s="4" t="s">
        <v>261</v>
      </c>
      <c r="FU4" s="4" t="s">
        <v>261</v>
      </c>
      <c r="FV4" s="4" t="s">
        <v>261</v>
      </c>
      <c r="FW4" s="4" t="s">
        <v>261</v>
      </c>
      <c r="FX4" s="4" t="s">
        <v>261</v>
      </c>
      <c r="FY4" s="4" t="s">
        <v>261</v>
      </c>
      <c r="FZ4" s="4" t="s">
        <v>261</v>
      </c>
      <c r="GA4" s="4" t="s">
        <v>261</v>
      </c>
      <c r="GB4" s="4" t="s">
        <v>261</v>
      </c>
      <c r="GC4" s="4" t="s">
        <v>261</v>
      </c>
      <c r="GD4" s="4" t="s">
        <v>261</v>
      </c>
      <c r="GE4" s="4" t="s">
        <v>261</v>
      </c>
      <c r="GF4" s="4" t="s">
        <v>261</v>
      </c>
      <c r="GG4" s="4" t="s">
        <v>261</v>
      </c>
      <c r="GH4" s="4" t="s">
        <v>261</v>
      </c>
      <c r="GI4" s="4" t="s">
        <v>261</v>
      </c>
      <c r="GJ4" s="4" t="s">
        <v>261</v>
      </c>
      <c r="GK4" s="4" t="s">
        <v>261</v>
      </c>
      <c r="GL4" s="4" t="s">
        <v>261</v>
      </c>
      <c r="GM4" s="4" t="s">
        <v>261</v>
      </c>
      <c r="GN4" s="4" t="s">
        <v>261</v>
      </c>
      <c r="GO4" s="4" t="s">
        <v>261</v>
      </c>
      <c r="GP4" s="4" t="s">
        <v>261</v>
      </c>
      <c r="GQ4" s="4" t="s">
        <v>261</v>
      </c>
      <c r="GR4" s="4" t="s">
        <v>261</v>
      </c>
      <c r="GS4" s="4" t="s">
        <v>261</v>
      </c>
      <c r="GT4" s="4" t="s">
        <v>261</v>
      </c>
      <c r="GU4" s="4" t="s">
        <v>261</v>
      </c>
      <c r="GV4" s="4" t="s">
        <v>261</v>
      </c>
      <c r="GW4" s="4" t="s">
        <v>261</v>
      </c>
      <c r="GX4" s="4" t="s">
        <v>261</v>
      </c>
      <c r="GY4" s="4" t="s">
        <v>261</v>
      </c>
      <c r="GZ4" s="4" t="s">
        <v>261</v>
      </c>
      <c r="HA4" s="4" t="s">
        <v>261</v>
      </c>
      <c r="HB4" s="4" t="s">
        <v>261</v>
      </c>
      <c r="HC4" s="4" t="s">
        <v>261</v>
      </c>
      <c r="HD4" s="4" t="s">
        <v>261</v>
      </c>
      <c r="HE4" s="4" t="s">
        <v>261</v>
      </c>
      <c r="HF4" s="4" t="s">
        <v>261</v>
      </c>
      <c r="HG4" s="4" t="s">
        <v>261</v>
      </c>
      <c r="HH4" s="4" t="s">
        <v>261</v>
      </c>
      <c r="HI4" s="4" t="s">
        <v>261</v>
      </c>
      <c r="HJ4" s="4" t="s">
        <v>261</v>
      </c>
      <c r="HK4" s="4" t="s">
        <v>261</v>
      </c>
      <c r="HL4" s="4" t="s">
        <v>261</v>
      </c>
      <c r="HM4" s="4" t="s">
        <v>261</v>
      </c>
      <c r="HN4" s="4" t="s">
        <v>261</v>
      </c>
      <c r="HO4" s="4" t="s">
        <v>261</v>
      </c>
      <c r="HP4" s="4" t="s">
        <v>261</v>
      </c>
      <c r="HQ4" s="4" t="s">
        <v>261</v>
      </c>
      <c r="HR4" s="4" t="s">
        <v>261</v>
      </c>
      <c r="HS4" s="4" t="s">
        <v>261</v>
      </c>
      <c r="HT4" s="4" t="s">
        <v>261</v>
      </c>
      <c r="HU4" s="4" t="s">
        <v>261</v>
      </c>
      <c r="HV4" s="4" t="s">
        <v>261</v>
      </c>
      <c r="HW4" s="4" t="s">
        <v>261</v>
      </c>
      <c r="HX4" s="4" t="s">
        <v>261</v>
      </c>
      <c r="HY4" s="4" t="s">
        <v>261</v>
      </c>
      <c r="HZ4" s="4" t="s">
        <v>261</v>
      </c>
      <c r="IA4" s="4" t="s">
        <v>261</v>
      </c>
      <c r="IB4" s="4" t="s">
        <v>261</v>
      </c>
      <c r="IC4" s="4" t="s">
        <v>261</v>
      </c>
      <c r="ID4" s="4" t="s">
        <v>261</v>
      </c>
      <c r="IE4" s="4" t="s">
        <v>261</v>
      </c>
      <c r="IF4" s="4" t="s">
        <v>261</v>
      </c>
      <c r="IG4" s="4" t="s">
        <v>261</v>
      </c>
      <c r="IH4" s="4" t="s">
        <v>261</v>
      </c>
      <c r="II4" s="4" t="s">
        <v>261</v>
      </c>
      <c r="IJ4" s="4" t="s">
        <v>261</v>
      </c>
      <c r="IK4" s="4" t="s">
        <v>261</v>
      </c>
      <c r="IL4" s="4" t="s">
        <v>261</v>
      </c>
      <c r="IM4" s="4" t="s">
        <v>261</v>
      </c>
      <c r="IN4" s="4" t="s">
        <v>261</v>
      </c>
      <c r="IO4" s="4" t="s">
        <v>261</v>
      </c>
      <c r="IP4" s="4" t="s">
        <v>261</v>
      </c>
      <c r="IQ4" s="4" t="s">
        <v>261</v>
      </c>
    </row>
    <row r="5" spans="1:251">
      <c r="A5" s="54" t="s">
        <v>253</v>
      </c>
      <c r="B5" s="4" t="s">
        <v>262</v>
      </c>
      <c r="C5" s="4" t="s">
        <v>262</v>
      </c>
      <c r="D5" s="4" t="s">
        <v>262</v>
      </c>
      <c r="E5" s="4" t="s">
        <v>262</v>
      </c>
      <c r="F5" s="4" t="s">
        <v>262</v>
      </c>
      <c r="G5" s="4" t="s">
        <v>262</v>
      </c>
      <c r="H5" s="4" t="s">
        <v>262</v>
      </c>
      <c r="I5" s="4" t="s">
        <v>262</v>
      </c>
      <c r="J5" s="4" t="s">
        <v>262</v>
      </c>
      <c r="K5" s="4" t="s">
        <v>262</v>
      </c>
      <c r="L5" s="4" t="s">
        <v>262</v>
      </c>
      <c r="M5" s="4" t="s">
        <v>262</v>
      </c>
      <c r="N5" s="4" t="s">
        <v>262</v>
      </c>
      <c r="O5" s="4" t="s">
        <v>262</v>
      </c>
      <c r="P5" s="4" t="s">
        <v>262</v>
      </c>
      <c r="Q5" s="4" t="s">
        <v>262</v>
      </c>
      <c r="R5" s="4" t="s">
        <v>262</v>
      </c>
      <c r="S5" s="4" t="s">
        <v>262</v>
      </c>
      <c r="T5" s="4" t="s">
        <v>262</v>
      </c>
      <c r="U5" s="4" t="s">
        <v>262</v>
      </c>
      <c r="V5" s="4" t="s">
        <v>262</v>
      </c>
      <c r="W5" s="4" t="s">
        <v>262</v>
      </c>
      <c r="X5" s="4" t="s">
        <v>262</v>
      </c>
      <c r="Y5" s="4" t="s">
        <v>262</v>
      </c>
      <c r="Z5" s="4" t="s">
        <v>262</v>
      </c>
      <c r="AA5" s="4" t="s">
        <v>262</v>
      </c>
      <c r="AB5" s="4" t="s">
        <v>262</v>
      </c>
      <c r="AC5" s="4" t="s">
        <v>262</v>
      </c>
      <c r="AD5" s="4" t="s">
        <v>262</v>
      </c>
      <c r="AE5" s="4" t="s">
        <v>262</v>
      </c>
      <c r="AF5" s="4" t="s">
        <v>262</v>
      </c>
      <c r="AG5" s="4" t="s">
        <v>262</v>
      </c>
      <c r="AH5" s="4" t="s">
        <v>262</v>
      </c>
      <c r="AI5" s="4" t="s">
        <v>262</v>
      </c>
      <c r="AJ5" s="4" t="s">
        <v>262</v>
      </c>
      <c r="AK5" s="4" t="s">
        <v>262</v>
      </c>
      <c r="AL5" s="4" t="s">
        <v>262</v>
      </c>
      <c r="AM5" s="4" t="s">
        <v>262</v>
      </c>
      <c r="AN5" s="4" t="s">
        <v>262</v>
      </c>
      <c r="AO5" s="4" t="s">
        <v>262</v>
      </c>
      <c r="AP5" s="4" t="s">
        <v>262</v>
      </c>
      <c r="AQ5" s="4" t="s">
        <v>262</v>
      </c>
      <c r="AR5" s="4" t="s">
        <v>262</v>
      </c>
      <c r="AS5" s="4" t="s">
        <v>262</v>
      </c>
      <c r="AT5" s="4" t="s">
        <v>262</v>
      </c>
      <c r="AU5" s="4" t="s">
        <v>262</v>
      </c>
      <c r="AV5" s="4" t="s">
        <v>262</v>
      </c>
      <c r="AW5" s="4" t="s">
        <v>262</v>
      </c>
      <c r="AX5" s="4" t="s">
        <v>262</v>
      </c>
      <c r="AY5" s="4" t="s">
        <v>262</v>
      </c>
      <c r="AZ5" s="4" t="s">
        <v>262</v>
      </c>
      <c r="BA5" s="4" t="s">
        <v>262</v>
      </c>
      <c r="BB5" s="4" t="s">
        <v>262</v>
      </c>
      <c r="BC5" s="4" t="s">
        <v>262</v>
      </c>
      <c r="BD5" s="4" t="s">
        <v>262</v>
      </c>
      <c r="BE5" s="4" t="s">
        <v>262</v>
      </c>
      <c r="BF5" s="4" t="s">
        <v>262</v>
      </c>
      <c r="BG5" s="4" t="s">
        <v>262</v>
      </c>
      <c r="BH5" s="4" t="s">
        <v>262</v>
      </c>
      <c r="BI5" s="4" t="s">
        <v>262</v>
      </c>
      <c r="BJ5" s="4" t="s">
        <v>262</v>
      </c>
      <c r="BK5" s="4" t="s">
        <v>262</v>
      </c>
      <c r="BL5" s="4" t="s">
        <v>262</v>
      </c>
      <c r="BM5" s="4" t="s">
        <v>262</v>
      </c>
      <c r="BN5" s="4" t="s">
        <v>262</v>
      </c>
      <c r="BO5" s="4" t="s">
        <v>262</v>
      </c>
      <c r="BP5" s="4" t="s">
        <v>262</v>
      </c>
      <c r="BQ5" s="4" t="s">
        <v>262</v>
      </c>
      <c r="BR5" s="4" t="s">
        <v>262</v>
      </c>
      <c r="BS5" s="4" t="s">
        <v>262</v>
      </c>
      <c r="BT5" s="4" t="s">
        <v>262</v>
      </c>
      <c r="BU5" s="4" t="s">
        <v>262</v>
      </c>
      <c r="BV5" s="4" t="s">
        <v>262</v>
      </c>
      <c r="BW5" s="4" t="s">
        <v>262</v>
      </c>
      <c r="BX5" s="4" t="s">
        <v>262</v>
      </c>
      <c r="BY5" s="4" t="s">
        <v>262</v>
      </c>
      <c r="BZ5" s="4" t="s">
        <v>262</v>
      </c>
      <c r="CA5" s="4" t="s">
        <v>262</v>
      </c>
      <c r="CB5" s="4" t="s">
        <v>262</v>
      </c>
      <c r="CC5" s="4" t="s">
        <v>262</v>
      </c>
      <c r="CD5" s="4" t="s">
        <v>262</v>
      </c>
      <c r="CE5" s="4" t="s">
        <v>262</v>
      </c>
      <c r="CF5" s="4" t="s">
        <v>262</v>
      </c>
      <c r="CG5" s="4" t="s">
        <v>262</v>
      </c>
      <c r="CH5" s="4" t="s">
        <v>262</v>
      </c>
      <c r="CI5" s="4" t="s">
        <v>262</v>
      </c>
      <c r="CJ5" s="4" t="s">
        <v>262</v>
      </c>
      <c r="CK5" s="4" t="s">
        <v>262</v>
      </c>
      <c r="CL5" s="4" t="s">
        <v>262</v>
      </c>
      <c r="CM5" s="4" t="s">
        <v>262</v>
      </c>
      <c r="CN5" s="4" t="s">
        <v>262</v>
      </c>
      <c r="CO5" s="4" t="s">
        <v>262</v>
      </c>
      <c r="CP5" s="4" t="s">
        <v>262</v>
      </c>
      <c r="CQ5" s="4" t="s">
        <v>262</v>
      </c>
      <c r="CR5" s="4" t="s">
        <v>262</v>
      </c>
      <c r="CS5" s="4" t="s">
        <v>262</v>
      </c>
      <c r="CT5" s="4" t="s">
        <v>262</v>
      </c>
      <c r="CU5" s="4" t="s">
        <v>262</v>
      </c>
      <c r="CV5" s="4" t="s">
        <v>262</v>
      </c>
      <c r="CW5" s="4" t="s">
        <v>262</v>
      </c>
      <c r="CX5" s="4" t="s">
        <v>262</v>
      </c>
      <c r="CY5" s="4" t="s">
        <v>262</v>
      </c>
      <c r="CZ5" s="4" t="s">
        <v>262</v>
      </c>
      <c r="DA5" s="4" t="s">
        <v>262</v>
      </c>
      <c r="DB5" s="4" t="s">
        <v>262</v>
      </c>
      <c r="DC5" s="4" t="s">
        <v>262</v>
      </c>
      <c r="DD5" s="4" t="s">
        <v>262</v>
      </c>
      <c r="DE5" s="4" t="s">
        <v>262</v>
      </c>
      <c r="DF5" s="4" t="s">
        <v>262</v>
      </c>
      <c r="DG5" s="4" t="s">
        <v>262</v>
      </c>
      <c r="DH5" s="4" t="s">
        <v>262</v>
      </c>
      <c r="DI5" s="4" t="s">
        <v>262</v>
      </c>
      <c r="DJ5" s="4" t="s">
        <v>262</v>
      </c>
      <c r="DK5" s="4" t="s">
        <v>262</v>
      </c>
      <c r="DL5" s="4" t="s">
        <v>262</v>
      </c>
      <c r="DM5" s="4" t="s">
        <v>262</v>
      </c>
      <c r="DN5" s="4" t="s">
        <v>262</v>
      </c>
      <c r="DO5" s="4" t="s">
        <v>262</v>
      </c>
      <c r="DP5" s="4" t="s">
        <v>262</v>
      </c>
      <c r="DQ5" s="4" t="s">
        <v>262</v>
      </c>
      <c r="DR5" s="4" t="s">
        <v>262</v>
      </c>
      <c r="DS5" s="4" t="s">
        <v>262</v>
      </c>
      <c r="DT5" s="4" t="s">
        <v>262</v>
      </c>
      <c r="DU5" s="4" t="s">
        <v>262</v>
      </c>
      <c r="DV5" s="4" t="s">
        <v>262</v>
      </c>
      <c r="DW5" s="4" t="s">
        <v>262</v>
      </c>
      <c r="DX5" s="4" t="s">
        <v>262</v>
      </c>
      <c r="DY5" s="4" t="s">
        <v>262</v>
      </c>
      <c r="DZ5" s="4" t="s">
        <v>262</v>
      </c>
      <c r="EA5" s="4" t="s">
        <v>262</v>
      </c>
      <c r="EB5" s="4" t="s">
        <v>262</v>
      </c>
      <c r="EC5" s="4" t="s">
        <v>262</v>
      </c>
      <c r="ED5" s="4" t="s">
        <v>262</v>
      </c>
      <c r="EE5" s="4" t="s">
        <v>262</v>
      </c>
      <c r="EF5" s="4" t="s">
        <v>262</v>
      </c>
      <c r="EG5" s="4" t="s">
        <v>262</v>
      </c>
      <c r="EH5" s="4" t="s">
        <v>262</v>
      </c>
      <c r="EI5" s="4" t="s">
        <v>262</v>
      </c>
      <c r="EJ5" s="4" t="s">
        <v>262</v>
      </c>
      <c r="EK5" s="4" t="s">
        <v>262</v>
      </c>
      <c r="EL5" s="4" t="s">
        <v>262</v>
      </c>
      <c r="EM5" s="4" t="s">
        <v>262</v>
      </c>
      <c r="EN5" s="4" t="s">
        <v>262</v>
      </c>
      <c r="EO5" s="4" t="s">
        <v>262</v>
      </c>
      <c r="EP5" s="4" t="s">
        <v>262</v>
      </c>
      <c r="EQ5" s="4" t="s">
        <v>262</v>
      </c>
      <c r="ER5" s="4" t="s">
        <v>262</v>
      </c>
      <c r="ES5" s="4" t="s">
        <v>262</v>
      </c>
      <c r="ET5" s="4" t="s">
        <v>262</v>
      </c>
      <c r="EU5" s="4" t="s">
        <v>262</v>
      </c>
      <c r="EV5" s="4" t="s">
        <v>262</v>
      </c>
      <c r="EW5" s="4" t="s">
        <v>262</v>
      </c>
      <c r="EX5" s="4" t="s">
        <v>262</v>
      </c>
      <c r="EY5" s="4" t="s">
        <v>262</v>
      </c>
      <c r="EZ5" s="4" t="s">
        <v>262</v>
      </c>
      <c r="FA5" s="4" t="s">
        <v>262</v>
      </c>
      <c r="FB5" s="4" t="s">
        <v>262</v>
      </c>
      <c r="FC5" s="4" t="s">
        <v>262</v>
      </c>
      <c r="FD5" s="4" t="s">
        <v>262</v>
      </c>
      <c r="FE5" s="4" t="s">
        <v>262</v>
      </c>
      <c r="FF5" s="4" t="s">
        <v>262</v>
      </c>
      <c r="FG5" s="4" t="s">
        <v>262</v>
      </c>
      <c r="FH5" s="4" t="s">
        <v>262</v>
      </c>
      <c r="FI5" s="4" t="s">
        <v>262</v>
      </c>
      <c r="FJ5" s="4" t="s">
        <v>262</v>
      </c>
      <c r="FK5" s="4" t="s">
        <v>262</v>
      </c>
      <c r="FL5" s="4" t="s">
        <v>262</v>
      </c>
      <c r="FM5" s="4" t="s">
        <v>262</v>
      </c>
      <c r="FN5" s="4" t="s">
        <v>262</v>
      </c>
      <c r="FO5" s="4" t="s">
        <v>262</v>
      </c>
      <c r="FP5" s="4" t="s">
        <v>262</v>
      </c>
      <c r="FQ5" s="4" t="s">
        <v>262</v>
      </c>
      <c r="FR5" s="4" t="s">
        <v>262</v>
      </c>
      <c r="FS5" s="4" t="s">
        <v>262</v>
      </c>
      <c r="FT5" s="4" t="s">
        <v>262</v>
      </c>
      <c r="FU5" s="4" t="s">
        <v>262</v>
      </c>
      <c r="FV5" s="4" t="s">
        <v>262</v>
      </c>
      <c r="FW5" s="4" t="s">
        <v>262</v>
      </c>
      <c r="FX5" s="4" t="s">
        <v>262</v>
      </c>
      <c r="FY5" s="4" t="s">
        <v>262</v>
      </c>
      <c r="FZ5" s="4" t="s">
        <v>262</v>
      </c>
      <c r="GA5" s="4" t="s">
        <v>262</v>
      </c>
      <c r="GB5" s="4" t="s">
        <v>262</v>
      </c>
      <c r="GC5" s="4" t="s">
        <v>262</v>
      </c>
      <c r="GD5" s="4" t="s">
        <v>262</v>
      </c>
      <c r="GE5" s="4" t="s">
        <v>262</v>
      </c>
      <c r="GF5" s="4" t="s">
        <v>262</v>
      </c>
      <c r="GG5" s="4" t="s">
        <v>262</v>
      </c>
      <c r="GH5" s="4" t="s">
        <v>262</v>
      </c>
      <c r="GI5" s="4" t="s">
        <v>262</v>
      </c>
      <c r="GJ5" s="4" t="s">
        <v>262</v>
      </c>
      <c r="GK5" s="4" t="s">
        <v>262</v>
      </c>
      <c r="GL5" s="4" t="s">
        <v>262</v>
      </c>
      <c r="GM5" s="4" t="s">
        <v>262</v>
      </c>
      <c r="GN5" s="4" t="s">
        <v>262</v>
      </c>
      <c r="GO5" s="4" t="s">
        <v>262</v>
      </c>
      <c r="GP5" s="4" t="s">
        <v>262</v>
      </c>
      <c r="GQ5" s="4" t="s">
        <v>262</v>
      </c>
      <c r="GR5" s="4" t="s">
        <v>262</v>
      </c>
      <c r="GS5" s="4" t="s">
        <v>262</v>
      </c>
      <c r="GT5" s="4" t="s">
        <v>262</v>
      </c>
      <c r="GU5" s="4" t="s">
        <v>262</v>
      </c>
      <c r="GV5" s="4" t="s">
        <v>262</v>
      </c>
      <c r="GW5" s="4" t="s">
        <v>262</v>
      </c>
      <c r="GX5" s="4" t="s">
        <v>262</v>
      </c>
      <c r="GY5" s="4" t="s">
        <v>262</v>
      </c>
      <c r="GZ5" s="4" t="s">
        <v>262</v>
      </c>
      <c r="HA5" s="4" t="s">
        <v>262</v>
      </c>
      <c r="HB5" s="4" t="s">
        <v>262</v>
      </c>
      <c r="HC5" s="4" t="s">
        <v>262</v>
      </c>
      <c r="HD5" s="4" t="s">
        <v>262</v>
      </c>
      <c r="HE5" s="4" t="s">
        <v>262</v>
      </c>
      <c r="HF5" s="4" t="s">
        <v>262</v>
      </c>
      <c r="HG5" s="4" t="s">
        <v>262</v>
      </c>
      <c r="HH5" s="4" t="s">
        <v>262</v>
      </c>
      <c r="HI5" s="4" t="s">
        <v>262</v>
      </c>
      <c r="HJ5" s="4" t="s">
        <v>262</v>
      </c>
      <c r="HK5" s="4" t="s">
        <v>262</v>
      </c>
      <c r="HL5" s="4" t="s">
        <v>262</v>
      </c>
      <c r="HM5" s="4" t="s">
        <v>262</v>
      </c>
      <c r="HN5" s="4" t="s">
        <v>262</v>
      </c>
      <c r="HO5" s="4" t="s">
        <v>262</v>
      </c>
      <c r="HP5" s="4" t="s">
        <v>262</v>
      </c>
      <c r="HQ5" s="4" t="s">
        <v>262</v>
      </c>
      <c r="HR5" s="4" t="s">
        <v>262</v>
      </c>
      <c r="HS5" s="4" t="s">
        <v>262</v>
      </c>
      <c r="HT5" s="4" t="s">
        <v>262</v>
      </c>
      <c r="HU5" s="4" t="s">
        <v>262</v>
      </c>
      <c r="HV5" s="4" t="s">
        <v>262</v>
      </c>
      <c r="HW5" s="4" t="s">
        <v>262</v>
      </c>
      <c r="HX5" s="4" t="s">
        <v>262</v>
      </c>
      <c r="HY5" s="4" t="s">
        <v>262</v>
      </c>
      <c r="HZ5" s="4" t="s">
        <v>262</v>
      </c>
      <c r="IA5" s="4" t="s">
        <v>262</v>
      </c>
      <c r="IB5" s="4" t="s">
        <v>262</v>
      </c>
      <c r="IC5" s="4" t="s">
        <v>262</v>
      </c>
      <c r="ID5" s="4" t="s">
        <v>262</v>
      </c>
      <c r="IE5" s="4" t="s">
        <v>262</v>
      </c>
      <c r="IF5" s="4" t="s">
        <v>262</v>
      </c>
      <c r="IG5" s="4" t="s">
        <v>262</v>
      </c>
      <c r="IH5" s="4" t="s">
        <v>262</v>
      </c>
      <c r="II5" s="4" t="s">
        <v>262</v>
      </c>
      <c r="IJ5" s="4" t="s">
        <v>262</v>
      </c>
      <c r="IK5" s="4" t="s">
        <v>262</v>
      </c>
      <c r="IL5" s="4" t="s">
        <v>262</v>
      </c>
      <c r="IM5" s="4" t="s">
        <v>262</v>
      </c>
      <c r="IN5" s="4" t="s">
        <v>262</v>
      </c>
      <c r="IO5" s="4" t="s">
        <v>262</v>
      </c>
      <c r="IP5" s="4" t="s">
        <v>262</v>
      </c>
      <c r="IQ5" s="4" t="s">
        <v>262</v>
      </c>
    </row>
    <row r="6" spans="1:251">
      <c r="A6" s="54" t="s">
        <v>254</v>
      </c>
      <c r="B6" s="55">
        <v>1</v>
      </c>
      <c r="C6" s="55">
        <v>1</v>
      </c>
      <c r="D6" s="55">
        <v>1</v>
      </c>
      <c r="E6" s="55">
        <v>1</v>
      </c>
      <c r="F6" s="55">
        <v>1</v>
      </c>
      <c r="G6" s="55">
        <v>1</v>
      </c>
      <c r="H6" s="55">
        <v>1</v>
      </c>
      <c r="I6" s="55">
        <v>1</v>
      </c>
      <c r="J6" s="55">
        <v>1</v>
      </c>
      <c r="K6" s="55">
        <v>1</v>
      </c>
      <c r="L6" s="55">
        <v>1</v>
      </c>
      <c r="M6" s="55">
        <v>1</v>
      </c>
      <c r="N6" s="55">
        <v>1</v>
      </c>
      <c r="O6" s="55">
        <v>1</v>
      </c>
      <c r="P6" s="55">
        <v>1</v>
      </c>
      <c r="Q6" s="55">
        <v>1</v>
      </c>
      <c r="R6" s="55">
        <v>1</v>
      </c>
      <c r="S6" s="55">
        <v>1</v>
      </c>
      <c r="T6" s="55">
        <v>1</v>
      </c>
      <c r="U6" s="55">
        <v>1</v>
      </c>
      <c r="V6" s="55">
        <v>1</v>
      </c>
      <c r="W6" s="55">
        <v>1</v>
      </c>
      <c r="X6" s="55">
        <v>1</v>
      </c>
      <c r="Y6" s="55">
        <v>1</v>
      </c>
      <c r="Z6" s="55">
        <v>1</v>
      </c>
      <c r="AA6" s="55">
        <v>1</v>
      </c>
      <c r="AB6" s="55">
        <v>1</v>
      </c>
      <c r="AC6" s="55">
        <v>1</v>
      </c>
      <c r="AD6" s="55">
        <v>1</v>
      </c>
      <c r="AE6" s="55">
        <v>1</v>
      </c>
      <c r="AF6" s="55">
        <v>1</v>
      </c>
      <c r="AG6" s="55">
        <v>1</v>
      </c>
      <c r="AH6" s="55">
        <v>1</v>
      </c>
      <c r="AI6" s="55">
        <v>1</v>
      </c>
      <c r="AJ6" s="55">
        <v>1</v>
      </c>
      <c r="AK6" s="55">
        <v>1</v>
      </c>
      <c r="AL6" s="55">
        <v>1</v>
      </c>
      <c r="AM6" s="55">
        <v>1</v>
      </c>
      <c r="AN6" s="55">
        <v>1</v>
      </c>
      <c r="AO6" s="55">
        <v>1</v>
      </c>
      <c r="AP6" s="55">
        <v>1</v>
      </c>
      <c r="AQ6" s="55">
        <v>1</v>
      </c>
      <c r="AR6" s="55">
        <v>1</v>
      </c>
      <c r="AS6" s="55">
        <v>1</v>
      </c>
      <c r="AT6" s="55">
        <v>1</v>
      </c>
      <c r="AU6" s="55">
        <v>1</v>
      </c>
      <c r="AV6" s="55">
        <v>1</v>
      </c>
      <c r="AW6" s="55">
        <v>1</v>
      </c>
      <c r="AX6" s="55">
        <v>1</v>
      </c>
      <c r="AY6" s="55">
        <v>1</v>
      </c>
      <c r="AZ6" s="55">
        <v>1</v>
      </c>
      <c r="BA6" s="55">
        <v>1</v>
      </c>
      <c r="BB6" s="55">
        <v>1</v>
      </c>
      <c r="BC6" s="55">
        <v>1</v>
      </c>
      <c r="BD6" s="55">
        <v>1</v>
      </c>
      <c r="BE6" s="55">
        <v>1</v>
      </c>
      <c r="BF6" s="55">
        <v>1</v>
      </c>
      <c r="BG6" s="55">
        <v>1</v>
      </c>
      <c r="BH6" s="55">
        <v>1</v>
      </c>
      <c r="BI6" s="55">
        <v>1</v>
      </c>
      <c r="BJ6" s="55">
        <v>1</v>
      </c>
      <c r="BK6" s="55">
        <v>1</v>
      </c>
      <c r="BL6" s="55">
        <v>1</v>
      </c>
      <c r="BM6" s="55">
        <v>1</v>
      </c>
      <c r="BN6" s="55">
        <v>1</v>
      </c>
      <c r="BO6" s="55">
        <v>1</v>
      </c>
      <c r="BP6" s="55">
        <v>1</v>
      </c>
      <c r="BQ6" s="55">
        <v>1</v>
      </c>
      <c r="BR6" s="55">
        <v>1</v>
      </c>
      <c r="BS6" s="55">
        <v>1</v>
      </c>
      <c r="BT6" s="55">
        <v>1</v>
      </c>
      <c r="BU6" s="55">
        <v>1</v>
      </c>
      <c r="BV6" s="55">
        <v>1</v>
      </c>
      <c r="BW6" s="55">
        <v>1</v>
      </c>
      <c r="BX6" s="55">
        <v>1</v>
      </c>
      <c r="BY6" s="55">
        <v>1</v>
      </c>
      <c r="BZ6" s="55">
        <v>1</v>
      </c>
      <c r="CA6" s="55">
        <v>1</v>
      </c>
      <c r="CB6" s="55">
        <v>1</v>
      </c>
      <c r="CC6" s="55">
        <v>1</v>
      </c>
      <c r="CD6" s="55">
        <v>1</v>
      </c>
      <c r="CE6" s="55">
        <v>1</v>
      </c>
      <c r="CF6" s="55">
        <v>1</v>
      </c>
      <c r="CG6" s="55">
        <v>1</v>
      </c>
      <c r="CH6" s="55">
        <v>1</v>
      </c>
      <c r="CI6" s="55">
        <v>1</v>
      </c>
      <c r="CJ6" s="55">
        <v>1</v>
      </c>
      <c r="CK6" s="55">
        <v>1</v>
      </c>
      <c r="CL6" s="55">
        <v>1</v>
      </c>
      <c r="CM6" s="55">
        <v>1</v>
      </c>
      <c r="CN6" s="55">
        <v>1</v>
      </c>
      <c r="CO6" s="55">
        <v>1</v>
      </c>
      <c r="CP6" s="55">
        <v>1</v>
      </c>
      <c r="CQ6" s="55">
        <v>1</v>
      </c>
      <c r="CR6" s="55">
        <v>1</v>
      </c>
      <c r="CS6" s="55">
        <v>1</v>
      </c>
      <c r="CT6" s="55">
        <v>1</v>
      </c>
      <c r="CU6" s="55">
        <v>1</v>
      </c>
      <c r="CV6" s="55">
        <v>1</v>
      </c>
      <c r="CW6" s="55">
        <v>1</v>
      </c>
      <c r="CX6" s="55">
        <v>1</v>
      </c>
      <c r="CY6" s="55">
        <v>1</v>
      </c>
      <c r="CZ6" s="55">
        <v>1</v>
      </c>
      <c r="DA6" s="55">
        <v>1</v>
      </c>
      <c r="DB6" s="55">
        <v>1</v>
      </c>
      <c r="DC6" s="55">
        <v>1</v>
      </c>
      <c r="DD6" s="55">
        <v>1</v>
      </c>
      <c r="DE6" s="55">
        <v>1</v>
      </c>
      <c r="DF6" s="55">
        <v>1</v>
      </c>
      <c r="DG6" s="55">
        <v>1</v>
      </c>
      <c r="DH6" s="55">
        <v>1</v>
      </c>
      <c r="DI6" s="55">
        <v>1</v>
      </c>
      <c r="DJ6" s="55">
        <v>1</v>
      </c>
      <c r="DK6" s="55">
        <v>1</v>
      </c>
      <c r="DL6" s="55">
        <v>1</v>
      </c>
      <c r="DM6" s="55">
        <v>1</v>
      </c>
      <c r="DN6" s="55">
        <v>1</v>
      </c>
      <c r="DO6" s="55">
        <v>1</v>
      </c>
      <c r="DP6" s="55">
        <v>1</v>
      </c>
      <c r="DQ6" s="55">
        <v>1</v>
      </c>
      <c r="DR6" s="55">
        <v>1</v>
      </c>
      <c r="DS6" s="55">
        <v>1</v>
      </c>
      <c r="DT6" s="55">
        <v>1</v>
      </c>
      <c r="DU6" s="55">
        <v>1</v>
      </c>
      <c r="DV6" s="55">
        <v>1</v>
      </c>
      <c r="DW6" s="55">
        <v>1</v>
      </c>
      <c r="DX6" s="55">
        <v>1</v>
      </c>
      <c r="DY6" s="55">
        <v>1</v>
      </c>
      <c r="DZ6" s="55">
        <v>1</v>
      </c>
      <c r="EA6" s="55">
        <v>1</v>
      </c>
      <c r="EB6" s="55">
        <v>1</v>
      </c>
      <c r="EC6" s="55">
        <v>1</v>
      </c>
      <c r="ED6" s="55">
        <v>1</v>
      </c>
      <c r="EE6" s="55">
        <v>1</v>
      </c>
      <c r="EF6" s="55">
        <v>1</v>
      </c>
      <c r="EG6" s="55">
        <v>1</v>
      </c>
      <c r="EH6" s="55">
        <v>1</v>
      </c>
      <c r="EI6" s="55">
        <v>1</v>
      </c>
      <c r="EJ6" s="55">
        <v>1</v>
      </c>
      <c r="EK6" s="55">
        <v>1</v>
      </c>
      <c r="EL6" s="55">
        <v>1</v>
      </c>
      <c r="EM6" s="55">
        <v>1</v>
      </c>
      <c r="EN6" s="55">
        <v>1</v>
      </c>
      <c r="EO6" s="55">
        <v>1</v>
      </c>
      <c r="EP6" s="55">
        <v>1</v>
      </c>
      <c r="EQ6" s="55">
        <v>1</v>
      </c>
      <c r="ER6" s="55">
        <v>1</v>
      </c>
      <c r="ES6" s="55">
        <v>1</v>
      </c>
      <c r="ET6" s="55">
        <v>1</v>
      </c>
      <c r="EU6" s="55">
        <v>1</v>
      </c>
      <c r="EV6" s="55">
        <v>1</v>
      </c>
      <c r="EW6" s="55">
        <v>1</v>
      </c>
      <c r="EX6" s="55">
        <v>1</v>
      </c>
      <c r="EY6" s="55">
        <v>1</v>
      </c>
      <c r="EZ6" s="55">
        <v>1</v>
      </c>
      <c r="FA6" s="55">
        <v>1</v>
      </c>
      <c r="FB6" s="55">
        <v>1</v>
      </c>
      <c r="FC6" s="55">
        <v>1</v>
      </c>
      <c r="FD6" s="55">
        <v>1</v>
      </c>
      <c r="FE6" s="55">
        <v>1</v>
      </c>
      <c r="FF6" s="55">
        <v>1</v>
      </c>
      <c r="FG6" s="55">
        <v>1</v>
      </c>
      <c r="FH6" s="55">
        <v>1</v>
      </c>
      <c r="FI6" s="55">
        <v>1</v>
      </c>
      <c r="FJ6" s="55">
        <v>1</v>
      </c>
      <c r="FK6" s="55">
        <v>1</v>
      </c>
      <c r="FL6" s="55">
        <v>1</v>
      </c>
      <c r="FM6" s="55">
        <v>1</v>
      </c>
      <c r="FN6" s="55">
        <v>1</v>
      </c>
      <c r="FO6" s="55">
        <v>1</v>
      </c>
      <c r="FP6" s="55">
        <v>1</v>
      </c>
      <c r="FQ6" s="55">
        <v>1</v>
      </c>
      <c r="FR6" s="55">
        <v>1</v>
      </c>
      <c r="FS6" s="55">
        <v>1</v>
      </c>
      <c r="FT6" s="55">
        <v>1</v>
      </c>
      <c r="FU6" s="55">
        <v>1</v>
      </c>
      <c r="FV6" s="55">
        <v>1</v>
      </c>
      <c r="FW6" s="55">
        <v>1</v>
      </c>
      <c r="FX6" s="55">
        <v>1</v>
      </c>
      <c r="FY6" s="55">
        <v>1</v>
      </c>
      <c r="FZ6" s="55">
        <v>1</v>
      </c>
      <c r="GA6" s="55">
        <v>1</v>
      </c>
      <c r="GB6" s="55">
        <v>1</v>
      </c>
      <c r="GC6" s="55">
        <v>1</v>
      </c>
      <c r="GD6" s="55">
        <v>1</v>
      </c>
      <c r="GE6" s="55">
        <v>1</v>
      </c>
      <c r="GF6" s="55">
        <v>1</v>
      </c>
      <c r="GG6" s="55">
        <v>1</v>
      </c>
      <c r="GH6" s="55">
        <v>1</v>
      </c>
      <c r="GI6" s="55">
        <v>1</v>
      </c>
      <c r="GJ6" s="55">
        <v>1</v>
      </c>
      <c r="GK6" s="55">
        <v>1</v>
      </c>
      <c r="GL6" s="55">
        <v>1</v>
      </c>
      <c r="GM6" s="55">
        <v>1</v>
      </c>
      <c r="GN6" s="55">
        <v>1</v>
      </c>
      <c r="GO6" s="55">
        <v>1</v>
      </c>
      <c r="GP6" s="55">
        <v>1</v>
      </c>
      <c r="GQ6" s="55">
        <v>1</v>
      </c>
      <c r="GR6" s="55">
        <v>1</v>
      </c>
      <c r="GS6" s="55">
        <v>1</v>
      </c>
      <c r="GT6" s="55">
        <v>1</v>
      </c>
      <c r="GU6" s="55">
        <v>1</v>
      </c>
      <c r="GV6" s="55">
        <v>1</v>
      </c>
      <c r="GW6" s="55">
        <v>1</v>
      </c>
      <c r="GX6" s="55">
        <v>1</v>
      </c>
      <c r="GY6" s="55">
        <v>1</v>
      </c>
      <c r="GZ6" s="55">
        <v>1</v>
      </c>
      <c r="HA6" s="55">
        <v>1</v>
      </c>
      <c r="HB6" s="55">
        <v>1</v>
      </c>
      <c r="HC6" s="55">
        <v>1</v>
      </c>
      <c r="HD6" s="55">
        <v>1</v>
      </c>
      <c r="HE6" s="55">
        <v>1</v>
      </c>
      <c r="HF6" s="55">
        <v>1</v>
      </c>
      <c r="HG6" s="55">
        <v>1</v>
      </c>
      <c r="HH6" s="55">
        <v>1</v>
      </c>
      <c r="HI6" s="55">
        <v>1</v>
      </c>
      <c r="HJ6" s="55">
        <v>1</v>
      </c>
      <c r="HK6" s="55">
        <v>1</v>
      </c>
      <c r="HL6" s="55">
        <v>1</v>
      </c>
      <c r="HM6" s="55">
        <v>1</v>
      </c>
      <c r="HN6" s="55">
        <v>1</v>
      </c>
      <c r="HO6" s="55">
        <v>1</v>
      </c>
      <c r="HP6" s="55">
        <v>1</v>
      </c>
      <c r="HQ6" s="55">
        <v>1</v>
      </c>
      <c r="HR6" s="55">
        <v>1</v>
      </c>
      <c r="HS6" s="55">
        <v>1</v>
      </c>
      <c r="HT6" s="55">
        <v>1</v>
      </c>
      <c r="HU6" s="55">
        <v>1</v>
      </c>
      <c r="HV6" s="55">
        <v>1</v>
      </c>
      <c r="HW6" s="55">
        <v>1</v>
      </c>
      <c r="HX6" s="55">
        <v>1</v>
      </c>
      <c r="HY6" s="55">
        <v>1</v>
      </c>
      <c r="HZ6" s="55">
        <v>1</v>
      </c>
      <c r="IA6" s="55">
        <v>1</v>
      </c>
      <c r="IB6" s="55">
        <v>1</v>
      </c>
      <c r="IC6" s="55">
        <v>1</v>
      </c>
      <c r="ID6" s="55">
        <v>1</v>
      </c>
      <c r="IE6" s="55">
        <v>1</v>
      </c>
      <c r="IF6" s="55">
        <v>1</v>
      </c>
      <c r="IG6" s="55">
        <v>1</v>
      </c>
      <c r="IH6" s="55">
        <v>1</v>
      </c>
      <c r="II6" s="55">
        <v>1</v>
      </c>
      <c r="IJ6" s="55">
        <v>1</v>
      </c>
      <c r="IK6" s="55">
        <v>1</v>
      </c>
      <c r="IL6" s="55">
        <v>1</v>
      </c>
      <c r="IM6" s="55">
        <v>1</v>
      </c>
      <c r="IN6" s="55">
        <v>1</v>
      </c>
      <c r="IO6" s="55">
        <v>1</v>
      </c>
      <c r="IP6" s="55">
        <v>1</v>
      </c>
      <c r="IQ6" s="55">
        <v>1</v>
      </c>
    </row>
    <row r="7" spans="1:251" s="57" customFormat="1">
      <c r="A7" s="56" t="s">
        <v>255</v>
      </c>
      <c r="B7" s="57">
        <v>41821</v>
      </c>
      <c r="C7" s="57">
        <v>41821</v>
      </c>
      <c r="D7" s="57">
        <v>41821</v>
      </c>
      <c r="E7" s="57">
        <v>41821</v>
      </c>
      <c r="F7" s="57">
        <v>41821</v>
      </c>
      <c r="G7" s="57">
        <v>41821</v>
      </c>
      <c r="H7" s="57">
        <v>41821</v>
      </c>
      <c r="I7" s="57">
        <v>41821</v>
      </c>
      <c r="J7" s="57">
        <v>41821</v>
      </c>
      <c r="K7" s="57">
        <v>41821</v>
      </c>
      <c r="L7" s="57">
        <v>41821</v>
      </c>
      <c r="M7" s="57">
        <v>41821</v>
      </c>
      <c r="N7" s="57">
        <v>41821</v>
      </c>
      <c r="O7" s="57">
        <v>41821</v>
      </c>
      <c r="P7" s="57">
        <v>41821</v>
      </c>
      <c r="Q7" s="57">
        <v>41821</v>
      </c>
      <c r="R7" s="57">
        <v>41821</v>
      </c>
      <c r="S7" s="57">
        <v>41821</v>
      </c>
      <c r="T7" s="57">
        <v>41821</v>
      </c>
      <c r="U7" s="57">
        <v>41821</v>
      </c>
      <c r="V7" s="57">
        <v>41821</v>
      </c>
      <c r="W7" s="57">
        <v>41821</v>
      </c>
      <c r="X7" s="57">
        <v>41821</v>
      </c>
      <c r="Y7" s="57">
        <v>41821</v>
      </c>
      <c r="Z7" s="57">
        <v>41821</v>
      </c>
      <c r="AA7" s="57">
        <v>41821</v>
      </c>
      <c r="AB7" s="57">
        <v>41821</v>
      </c>
      <c r="AC7" s="57">
        <v>41821</v>
      </c>
      <c r="AD7" s="57">
        <v>41821</v>
      </c>
      <c r="AE7" s="57">
        <v>41821</v>
      </c>
      <c r="AF7" s="57">
        <v>41821</v>
      </c>
      <c r="AG7" s="57">
        <v>41821</v>
      </c>
      <c r="AH7" s="57">
        <v>41821</v>
      </c>
      <c r="AI7" s="57">
        <v>41821</v>
      </c>
      <c r="AJ7" s="57">
        <v>41821</v>
      </c>
      <c r="AK7" s="57">
        <v>41821</v>
      </c>
      <c r="AL7" s="57">
        <v>41821</v>
      </c>
      <c r="AM7" s="57">
        <v>41821</v>
      </c>
      <c r="AN7" s="57">
        <v>41821</v>
      </c>
      <c r="AO7" s="57">
        <v>41821</v>
      </c>
      <c r="AP7" s="57">
        <v>41821</v>
      </c>
      <c r="AQ7" s="57">
        <v>41821</v>
      </c>
      <c r="AR7" s="57">
        <v>41821</v>
      </c>
      <c r="AS7" s="57">
        <v>41821</v>
      </c>
      <c r="AT7" s="57">
        <v>41821</v>
      </c>
      <c r="AU7" s="57">
        <v>41821</v>
      </c>
      <c r="AV7" s="57">
        <v>41821</v>
      </c>
      <c r="AW7" s="57">
        <v>41821</v>
      </c>
      <c r="AX7" s="57">
        <v>41821</v>
      </c>
      <c r="AY7" s="57">
        <v>41821</v>
      </c>
      <c r="AZ7" s="57">
        <v>41821</v>
      </c>
      <c r="BA7" s="57">
        <v>41821</v>
      </c>
      <c r="BB7" s="57">
        <v>41821</v>
      </c>
      <c r="BC7" s="57">
        <v>41821</v>
      </c>
      <c r="BD7" s="57">
        <v>41821</v>
      </c>
      <c r="BE7" s="57">
        <v>41821</v>
      </c>
      <c r="BF7" s="57">
        <v>41821</v>
      </c>
      <c r="BG7" s="57">
        <v>41821</v>
      </c>
      <c r="BH7" s="57">
        <v>41821</v>
      </c>
      <c r="BI7" s="57">
        <v>41821</v>
      </c>
      <c r="BJ7" s="57">
        <v>41821</v>
      </c>
      <c r="BK7" s="57">
        <v>41821</v>
      </c>
      <c r="BL7" s="57">
        <v>41821</v>
      </c>
      <c r="BM7" s="57">
        <v>41821</v>
      </c>
      <c r="BN7" s="57">
        <v>41821</v>
      </c>
      <c r="BO7" s="57">
        <v>41821</v>
      </c>
      <c r="BP7" s="57">
        <v>41821</v>
      </c>
      <c r="BQ7" s="57">
        <v>41821</v>
      </c>
      <c r="BR7" s="57">
        <v>41821</v>
      </c>
      <c r="BS7" s="57">
        <v>41821</v>
      </c>
      <c r="BT7" s="57">
        <v>41821</v>
      </c>
      <c r="BU7" s="57">
        <v>41821</v>
      </c>
      <c r="BV7" s="57">
        <v>41821</v>
      </c>
      <c r="BW7" s="57">
        <v>41821</v>
      </c>
      <c r="BX7" s="57">
        <v>41821</v>
      </c>
      <c r="BY7" s="57">
        <v>41821</v>
      </c>
      <c r="BZ7" s="57">
        <v>41821</v>
      </c>
      <c r="CA7" s="57">
        <v>41821</v>
      </c>
      <c r="CB7" s="57">
        <v>41821</v>
      </c>
      <c r="CC7" s="57">
        <v>41821</v>
      </c>
      <c r="CD7" s="57">
        <v>41821</v>
      </c>
      <c r="CE7" s="57">
        <v>41821</v>
      </c>
      <c r="CF7" s="57">
        <v>41821</v>
      </c>
      <c r="CG7" s="57">
        <v>41821</v>
      </c>
      <c r="CH7" s="57">
        <v>41821</v>
      </c>
      <c r="CI7" s="57">
        <v>41821</v>
      </c>
      <c r="CJ7" s="57">
        <v>41821</v>
      </c>
      <c r="CK7" s="57">
        <v>41821</v>
      </c>
      <c r="CL7" s="57">
        <v>41821</v>
      </c>
      <c r="CM7" s="57">
        <v>41821</v>
      </c>
      <c r="CN7" s="57">
        <v>41821</v>
      </c>
      <c r="CO7" s="57">
        <v>41821</v>
      </c>
      <c r="CP7" s="57">
        <v>41821</v>
      </c>
      <c r="CQ7" s="57">
        <v>41821</v>
      </c>
      <c r="CR7" s="57">
        <v>41821</v>
      </c>
      <c r="CS7" s="57">
        <v>41821</v>
      </c>
      <c r="CT7" s="57">
        <v>41821</v>
      </c>
      <c r="CU7" s="57">
        <v>41821</v>
      </c>
      <c r="CV7" s="57">
        <v>41821</v>
      </c>
      <c r="CW7" s="57">
        <v>41821</v>
      </c>
      <c r="CX7" s="57">
        <v>41821</v>
      </c>
      <c r="CY7" s="57">
        <v>41821</v>
      </c>
      <c r="CZ7" s="57">
        <v>41821</v>
      </c>
      <c r="DA7" s="57">
        <v>41821</v>
      </c>
      <c r="DB7" s="57">
        <v>41821</v>
      </c>
      <c r="DC7" s="57">
        <v>41821</v>
      </c>
      <c r="DD7" s="57">
        <v>41821</v>
      </c>
      <c r="DE7" s="57">
        <v>41821</v>
      </c>
      <c r="DF7" s="57">
        <v>41821</v>
      </c>
      <c r="DG7" s="57">
        <v>41821</v>
      </c>
      <c r="DH7" s="57">
        <v>41821</v>
      </c>
      <c r="DI7" s="57">
        <v>41821</v>
      </c>
      <c r="DJ7" s="57">
        <v>41821</v>
      </c>
      <c r="DK7" s="57">
        <v>41821</v>
      </c>
      <c r="DL7" s="57">
        <v>41821</v>
      </c>
      <c r="DM7" s="57">
        <v>41821</v>
      </c>
      <c r="DN7" s="57">
        <v>41821</v>
      </c>
      <c r="DO7" s="57">
        <v>41821</v>
      </c>
      <c r="DP7" s="57">
        <v>41821</v>
      </c>
      <c r="DQ7" s="57">
        <v>41821</v>
      </c>
      <c r="DR7" s="57">
        <v>41821</v>
      </c>
      <c r="DS7" s="57">
        <v>41821</v>
      </c>
      <c r="DT7" s="57">
        <v>41821</v>
      </c>
      <c r="DU7" s="57">
        <v>41821</v>
      </c>
      <c r="DV7" s="57">
        <v>41821</v>
      </c>
      <c r="DW7" s="57">
        <v>41821</v>
      </c>
      <c r="DX7" s="57">
        <v>41821</v>
      </c>
      <c r="DY7" s="57">
        <v>41821</v>
      </c>
      <c r="DZ7" s="57">
        <v>41821</v>
      </c>
      <c r="EA7" s="57">
        <v>41821</v>
      </c>
      <c r="EB7" s="57">
        <v>41821</v>
      </c>
      <c r="EC7" s="57">
        <v>41821</v>
      </c>
      <c r="ED7" s="57">
        <v>41821</v>
      </c>
      <c r="EE7" s="57">
        <v>41821</v>
      </c>
      <c r="EF7" s="57">
        <v>41821</v>
      </c>
      <c r="EG7" s="57">
        <v>41821</v>
      </c>
      <c r="EH7" s="57">
        <v>41821</v>
      </c>
      <c r="EI7" s="57">
        <v>41821</v>
      </c>
      <c r="EJ7" s="57">
        <v>41821</v>
      </c>
      <c r="EK7" s="57">
        <v>41821</v>
      </c>
      <c r="EL7" s="57">
        <v>41821</v>
      </c>
      <c r="EM7" s="57">
        <v>41821</v>
      </c>
      <c r="EN7" s="57">
        <v>41821</v>
      </c>
      <c r="EO7" s="57">
        <v>41821</v>
      </c>
      <c r="EP7" s="57">
        <v>41821</v>
      </c>
      <c r="EQ7" s="57">
        <v>41821</v>
      </c>
      <c r="ER7" s="57">
        <v>41821</v>
      </c>
      <c r="ES7" s="57">
        <v>41821</v>
      </c>
      <c r="ET7" s="57">
        <v>41821</v>
      </c>
      <c r="EU7" s="57">
        <v>41821</v>
      </c>
      <c r="EV7" s="57">
        <v>41821</v>
      </c>
      <c r="EW7" s="57">
        <v>41821</v>
      </c>
      <c r="EX7" s="57">
        <v>41821</v>
      </c>
      <c r="EY7" s="57">
        <v>41821</v>
      </c>
      <c r="EZ7" s="57">
        <v>41821</v>
      </c>
      <c r="FA7" s="57">
        <v>41821</v>
      </c>
      <c r="FB7" s="57">
        <v>41821</v>
      </c>
      <c r="FC7" s="57">
        <v>41821</v>
      </c>
      <c r="FD7" s="57">
        <v>41821</v>
      </c>
      <c r="FE7" s="57">
        <v>41821</v>
      </c>
      <c r="FF7" s="57">
        <v>41821</v>
      </c>
      <c r="FG7" s="57">
        <v>41821</v>
      </c>
      <c r="FH7" s="57">
        <v>41821</v>
      </c>
      <c r="FI7" s="57">
        <v>41821</v>
      </c>
      <c r="FJ7" s="57">
        <v>41821</v>
      </c>
      <c r="FK7" s="57">
        <v>41821</v>
      </c>
      <c r="FL7" s="57">
        <v>41821</v>
      </c>
      <c r="FM7" s="57">
        <v>41821</v>
      </c>
      <c r="FN7" s="57">
        <v>41821</v>
      </c>
      <c r="FO7" s="57">
        <v>41821</v>
      </c>
      <c r="FP7" s="57">
        <v>41821</v>
      </c>
      <c r="FQ7" s="57">
        <v>41821</v>
      </c>
      <c r="FR7" s="57">
        <v>41821</v>
      </c>
      <c r="FS7" s="57">
        <v>41821</v>
      </c>
      <c r="FT7" s="57">
        <v>41821</v>
      </c>
      <c r="FU7" s="57">
        <v>41821</v>
      </c>
      <c r="FV7" s="57">
        <v>41821</v>
      </c>
      <c r="FW7" s="57">
        <v>41821</v>
      </c>
      <c r="FX7" s="57">
        <v>41821</v>
      </c>
      <c r="FY7" s="57">
        <v>41821</v>
      </c>
      <c r="FZ7" s="57">
        <v>41821</v>
      </c>
      <c r="GA7" s="57">
        <v>41821</v>
      </c>
      <c r="GB7" s="57">
        <v>41821</v>
      </c>
      <c r="GC7" s="57">
        <v>41821</v>
      </c>
      <c r="GD7" s="57">
        <v>41821</v>
      </c>
      <c r="GE7" s="57">
        <v>41821</v>
      </c>
      <c r="GF7" s="57">
        <v>41821</v>
      </c>
      <c r="GG7" s="57">
        <v>41821</v>
      </c>
      <c r="GH7" s="57">
        <v>41821</v>
      </c>
      <c r="GI7" s="57">
        <v>41821</v>
      </c>
      <c r="GJ7" s="57">
        <v>41821</v>
      </c>
      <c r="GK7" s="57">
        <v>41821</v>
      </c>
      <c r="GL7" s="57">
        <v>41821</v>
      </c>
      <c r="GM7" s="57">
        <v>41821</v>
      </c>
      <c r="GN7" s="57">
        <v>41821</v>
      </c>
      <c r="GO7" s="57">
        <v>41821</v>
      </c>
      <c r="GP7" s="57">
        <v>41821</v>
      </c>
      <c r="GQ7" s="57">
        <v>41821</v>
      </c>
      <c r="GR7" s="57">
        <v>41821</v>
      </c>
      <c r="GS7" s="57">
        <v>41821</v>
      </c>
      <c r="GT7" s="57">
        <v>41821</v>
      </c>
      <c r="GU7" s="57">
        <v>41821</v>
      </c>
      <c r="GV7" s="57">
        <v>41821</v>
      </c>
      <c r="GW7" s="57">
        <v>41821</v>
      </c>
      <c r="GX7" s="57">
        <v>41821</v>
      </c>
      <c r="GY7" s="57">
        <v>41821</v>
      </c>
      <c r="GZ7" s="57">
        <v>41821</v>
      </c>
      <c r="HA7" s="57">
        <v>41821</v>
      </c>
      <c r="HB7" s="57">
        <v>41821</v>
      </c>
      <c r="HC7" s="57">
        <v>41821</v>
      </c>
      <c r="HD7" s="57">
        <v>41821</v>
      </c>
      <c r="HE7" s="57">
        <v>41821</v>
      </c>
      <c r="HF7" s="57">
        <v>41821</v>
      </c>
      <c r="HG7" s="57">
        <v>41821</v>
      </c>
      <c r="HH7" s="57">
        <v>41821</v>
      </c>
      <c r="HI7" s="57">
        <v>41821</v>
      </c>
      <c r="HJ7" s="57">
        <v>41821</v>
      </c>
      <c r="HK7" s="57">
        <v>41821</v>
      </c>
      <c r="HL7" s="57">
        <v>41821</v>
      </c>
      <c r="HM7" s="57">
        <v>41821</v>
      </c>
      <c r="HN7" s="57">
        <v>41821</v>
      </c>
      <c r="HO7" s="57">
        <v>41821</v>
      </c>
      <c r="HP7" s="57">
        <v>41821</v>
      </c>
      <c r="HQ7" s="57">
        <v>41821</v>
      </c>
      <c r="HR7" s="57">
        <v>41821</v>
      </c>
      <c r="HS7" s="57">
        <v>41821</v>
      </c>
      <c r="HT7" s="57">
        <v>41821</v>
      </c>
      <c r="HU7" s="57">
        <v>41821</v>
      </c>
      <c r="HV7" s="57">
        <v>41821</v>
      </c>
      <c r="HW7" s="57">
        <v>41821</v>
      </c>
      <c r="HX7" s="57">
        <v>41821</v>
      </c>
      <c r="HY7" s="57">
        <v>41821</v>
      </c>
      <c r="HZ7" s="57">
        <v>41821</v>
      </c>
      <c r="IA7" s="57">
        <v>41821</v>
      </c>
      <c r="IB7" s="57">
        <v>41821</v>
      </c>
      <c r="IC7" s="57">
        <v>41821</v>
      </c>
      <c r="ID7" s="57">
        <v>41821</v>
      </c>
      <c r="IE7" s="57">
        <v>41821</v>
      </c>
      <c r="IF7" s="57">
        <v>41821</v>
      </c>
      <c r="IG7" s="57">
        <v>41821</v>
      </c>
      <c r="IH7" s="57">
        <v>41821</v>
      </c>
      <c r="II7" s="57">
        <v>41821</v>
      </c>
      <c r="IJ7" s="57">
        <v>41821</v>
      </c>
      <c r="IK7" s="57">
        <v>41821</v>
      </c>
      <c r="IL7" s="57">
        <v>41821</v>
      </c>
      <c r="IM7" s="57">
        <v>41821</v>
      </c>
      <c r="IN7" s="57">
        <v>41821</v>
      </c>
      <c r="IO7" s="57">
        <v>41821</v>
      </c>
      <c r="IP7" s="57">
        <v>41821</v>
      </c>
      <c r="IQ7" s="57">
        <v>41821</v>
      </c>
    </row>
    <row r="8" spans="1:251" s="57" customFormat="1">
      <c r="A8" s="56" t="s">
        <v>256</v>
      </c>
      <c r="B8" s="57">
        <v>44593</v>
      </c>
      <c r="C8" s="57">
        <v>44593</v>
      </c>
      <c r="D8" s="57">
        <v>44593</v>
      </c>
      <c r="E8" s="57">
        <v>44593</v>
      </c>
      <c r="F8" s="57">
        <v>44593</v>
      </c>
      <c r="G8" s="57">
        <v>44593</v>
      </c>
      <c r="H8" s="57">
        <v>44593</v>
      </c>
      <c r="I8" s="57">
        <v>44593</v>
      </c>
      <c r="J8" s="57">
        <v>44593</v>
      </c>
      <c r="K8" s="57">
        <v>44593</v>
      </c>
      <c r="L8" s="57">
        <v>44593</v>
      </c>
      <c r="M8" s="57">
        <v>44593</v>
      </c>
      <c r="N8" s="57">
        <v>44593</v>
      </c>
      <c r="O8" s="57">
        <v>44593</v>
      </c>
      <c r="P8" s="57">
        <v>44593</v>
      </c>
      <c r="Q8" s="57">
        <v>44593</v>
      </c>
      <c r="R8" s="57">
        <v>44593</v>
      </c>
      <c r="S8" s="57">
        <v>44593</v>
      </c>
      <c r="T8" s="57">
        <v>44593</v>
      </c>
      <c r="U8" s="57">
        <v>44593</v>
      </c>
      <c r="V8" s="57">
        <v>44593</v>
      </c>
      <c r="W8" s="57">
        <v>44593</v>
      </c>
      <c r="X8" s="57">
        <v>44593</v>
      </c>
      <c r="Y8" s="57">
        <v>44593</v>
      </c>
      <c r="Z8" s="57">
        <v>44593</v>
      </c>
      <c r="AA8" s="57">
        <v>44593</v>
      </c>
      <c r="AB8" s="57">
        <v>44593</v>
      </c>
      <c r="AC8" s="57">
        <v>44593</v>
      </c>
      <c r="AD8" s="57">
        <v>44593</v>
      </c>
      <c r="AE8" s="57">
        <v>44593</v>
      </c>
      <c r="AF8" s="57">
        <v>44593</v>
      </c>
      <c r="AG8" s="57">
        <v>44593</v>
      </c>
      <c r="AH8" s="57">
        <v>44593</v>
      </c>
      <c r="AI8" s="57">
        <v>44593</v>
      </c>
      <c r="AJ8" s="57">
        <v>44593</v>
      </c>
      <c r="AK8" s="57">
        <v>44593</v>
      </c>
      <c r="AL8" s="57">
        <v>44593</v>
      </c>
      <c r="AM8" s="57">
        <v>44593</v>
      </c>
      <c r="AN8" s="57">
        <v>44593</v>
      </c>
      <c r="AO8" s="57">
        <v>44593</v>
      </c>
      <c r="AP8" s="57">
        <v>44593</v>
      </c>
      <c r="AQ8" s="57">
        <v>44593</v>
      </c>
      <c r="AR8" s="57">
        <v>44593</v>
      </c>
      <c r="AS8" s="57">
        <v>44593</v>
      </c>
      <c r="AT8" s="57">
        <v>44593</v>
      </c>
      <c r="AU8" s="57">
        <v>44593</v>
      </c>
      <c r="AV8" s="57">
        <v>44593</v>
      </c>
      <c r="AW8" s="57">
        <v>44593</v>
      </c>
      <c r="AX8" s="57">
        <v>44593</v>
      </c>
      <c r="AY8" s="57">
        <v>44593</v>
      </c>
      <c r="AZ8" s="57">
        <v>44593</v>
      </c>
      <c r="BA8" s="57">
        <v>44593</v>
      </c>
      <c r="BB8" s="57">
        <v>44593</v>
      </c>
      <c r="BC8" s="57">
        <v>44593</v>
      </c>
      <c r="BD8" s="57">
        <v>44593</v>
      </c>
      <c r="BE8" s="57">
        <v>44593</v>
      </c>
      <c r="BF8" s="57">
        <v>44593</v>
      </c>
      <c r="BG8" s="57">
        <v>44593</v>
      </c>
      <c r="BH8" s="57">
        <v>44593</v>
      </c>
      <c r="BI8" s="57">
        <v>44593</v>
      </c>
      <c r="BJ8" s="57">
        <v>44593</v>
      </c>
      <c r="BK8" s="57">
        <v>44593</v>
      </c>
      <c r="BL8" s="57">
        <v>44593</v>
      </c>
      <c r="BM8" s="57">
        <v>44593</v>
      </c>
      <c r="BN8" s="57">
        <v>44593</v>
      </c>
      <c r="BO8" s="57">
        <v>44593</v>
      </c>
      <c r="BP8" s="57">
        <v>44593</v>
      </c>
      <c r="BQ8" s="57">
        <v>44593</v>
      </c>
      <c r="BR8" s="57">
        <v>44593</v>
      </c>
      <c r="BS8" s="57">
        <v>44593</v>
      </c>
      <c r="BT8" s="57">
        <v>44593</v>
      </c>
      <c r="BU8" s="57">
        <v>44593</v>
      </c>
      <c r="BV8" s="57">
        <v>44593</v>
      </c>
      <c r="BW8" s="57">
        <v>44593</v>
      </c>
      <c r="BX8" s="57">
        <v>44593</v>
      </c>
      <c r="BY8" s="57">
        <v>44593</v>
      </c>
      <c r="BZ8" s="57">
        <v>44593</v>
      </c>
      <c r="CA8" s="57">
        <v>44593</v>
      </c>
      <c r="CB8" s="57">
        <v>44593</v>
      </c>
      <c r="CC8" s="57">
        <v>44593</v>
      </c>
      <c r="CD8" s="57">
        <v>44593</v>
      </c>
      <c r="CE8" s="57">
        <v>44593</v>
      </c>
      <c r="CF8" s="57">
        <v>44593</v>
      </c>
      <c r="CG8" s="57">
        <v>44593</v>
      </c>
      <c r="CH8" s="57">
        <v>44593</v>
      </c>
      <c r="CI8" s="57">
        <v>44593</v>
      </c>
      <c r="CJ8" s="57">
        <v>44593</v>
      </c>
      <c r="CK8" s="57">
        <v>44593</v>
      </c>
      <c r="CL8" s="57">
        <v>44593</v>
      </c>
      <c r="CM8" s="57">
        <v>44593</v>
      </c>
      <c r="CN8" s="57">
        <v>44593</v>
      </c>
      <c r="CO8" s="57">
        <v>44593</v>
      </c>
      <c r="CP8" s="57">
        <v>44593</v>
      </c>
      <c r="CQ8" s="57">
        <v>44593</v>
      </c>
      <c r="CR8" s="57">
        <v>44593</v>
      </c>
      <c r="CS8" s="57">
        <v>44593</v>
      </c>
      <c r="CT8" s="57">
        <v>44593</v>
      </c>
      <c r="CU8" s="57">
        <v>44593</v>
      </c>
      <c r="CV8" s="57">
        <v>44593</v>
      </c>
      <c r="CW8" s="57">
        <v>44593</v>
      </c>
      <c r="CX8" s="57">
        <v>44593</v>
      </c>
      <c r="CY8" s="57">
        <v>44593</v>
      </c>
      <c r="CZ8" s="57">
        <v>44593</v>
      </c>
      <c r="DA8" s="57">
        <v>44593</v>
      </c>
      <c r="DB8" s="57">
        <v>44593</v>
      </c>
      <c r="DC8" s="57">
        <v>44593</v>
      </c>
      <c r="DD8" s="57">
        <v>44593</v>
      </c>
      <c r="DE8" s="57">
        <v>44593</v>
      </c>
      <c r="DF8" s="57">
        <v>44593</v>
      </c>
      <c r="DG8" s="57">
        <v>44593</v>
      </c>
      <c r="DH8" s="57">
        <v>44593</v>
      </c>
      <c r="DI8" s="57">
        <v>44593</v>
      </c>
      <c r="DJ8" s="57">
        <v>44593</v>
      </c>
      <c r="DK8" s="57">
        <v>44593</v>
      </c>
      <c r="DL8" s="57">
        <v>44593</v>
      </c>
      <c r="DM8" s="57">
        <v>44593</v>
      </c>
      <c r="DN8" s="57">
        <v>44593</v>
      </c>
      <c r="DO8" s="57">
        <v>44593</v>
      </c>
      <c r="DP8" s="57">
        <v>44593</v>
      </c>
      <c r="DQ8" s="57">
        <v>44593</v>
      </c>
      <c r="DR8" s="57">
        <v>44593</v>
      </c>
      <c r="DS8" s="57">
        <v>44593</v>
      </c>
      <c r="DT8" s="57">
        <v>44593</v>
      </c>
      <c r="DU8" s="57">
        <v>44593</v>
      </c>
      <c r="DV8" s="57">
        <v>44593</v>
      </c>
      <c r="DW8" s="57">
        <v>44593</v>
      </c>
      <c r="DX8" s="57">
        <v>44593</v>
      </c>
      <c r="DY8" s="57">
        <v>44593</v>
      </c>
      <c r="DZ8" s="57">
        <v>44593</v>
      </c>
      <c r="EA8" s="57">
        <v>44593</v>
      </c>
      <c r="EB8" s="57">
        <v>44593</v>
      </c>
      <c r="EC8" s="57">
        <v>44593</v>
      </c>
      <c r="ED8" s="57">
        <v>44593</v>
      </c>
      <c r="EE8" s="57">
        <v>44593</v>
      </c>
      <c r="EF8" s="57">
        <v>44593</v>
      </c>
      <c r="EG8" s="57">
        <v>44593</v>
      </c>
      <c r="EH8" s="57">
        <v>44593</v>
      </c>
      <c r="EI8" s="57">
        <v>44593</v>
      </c>
      <c r="EJ8" s="57">
        <v>44593</v>
      </c>
      <c r="EK8" s="57">
        <v>44593</v>
      </c>
      <c r="EL8" s="57">
        <v>44593</v>
      </c>
      <c r="EM8" s="57">
        <v>44593</v>
      </c>
      <c r="EN8" s="57">
        <v>44593</v>
      </c>
      <c r="EO8" s="57">
        <v>44593</v>
      </c>
      <c r="EP8" s="57">
        <v>44593</v>
      </c>
      <c r="EQ8" s="57">
        <v>44593</v>
      </c>
      <c r="ER8" s="57">
        <v>44593</v>
      </c>
      <c r="ES8" s="57">
        <v>44593</v>
      </c>
      <c r="ET8" s="57">
        <v>44593</v>
      </c>
      <c r="EU8" s="57">
        <v>44593</v>
      </c>
      <c r="EV8" s="57">
        <v>44593</v>
      </c>
      <c r="EW8" s="57">
        <v>44593</v>
      </c>
      <c r="EX8" s="57">
        <v>44593</v>
      </c>
      <c r="EY8" s="57">
        <v>44593</v>
      </c>
      <c r="EZ8" s="57">
        <v>44593</v>
      </c>
      <c r="FA8" s="57">
        <v>44593</v>
      </c>
      <c r="FB8" s="57">
        <v>44593</v>
      </c>
      <c r="FC8" s="57">
        <v>44593</v>
      </c>
      <c r="FD8" s="57">
        <v>44593</v>
      </c>
      <c r="FE8" s="57">
        <v>44593</v>
      </c>
      <c r="FF8" s="57">
        <v>44593</v>
      </c>
      <c r="FG8" s="57">
        <v>44593</v>
      </c>
      <c r="FH8" s="57">
        <v>44593</v>
      </c>
      <c r="FI8" s="57">
        <v>44593</v>
      </c>
      <c r="FJ8" s="57">
        <v>44593</v>
      </c>
      <c r="FK8" s="57">
        <v>44593</v>
      </c>
      <c r="FL8" s="57">
        <v>44593</v>
      </c>
      <c r="FM8" s="57">
        <v>44593</v>
      </c>
      <c r="FN8" s="57">
        <v>44593</v>
      </c>
      <c r="FO8" s="57">
        <v>44593</v>
      </c>
      <c r="FP8" s="57">
        <v>44593</v>
      </c>
      <c r="FQ8" s="57">
        <v>44593</v>
      </c>
      <c r="FR8" s="57">
        <v>44593</v>
      </c>
      <c r="FS8" s="57">
        <v>44593</v>
      </c>
      <c r="FT8" s="57">
        <v>44593</v>
      </c>
      <c r="FU8" s="57">
        <v>44593</v>
      </c>
      <c r="FV8" s="57">
        <v>44593</v>
      </c>
      <c r="FW8" s="57">
        <v>44593</v>
      </c>
      <c r="FX8" s="57">
        <v>44593</v>
      </c>
      <c r="FY8" s="57">
        <v>44593</v>
      </c>
      <c r="FZ8" s="57">
        <v>44593</v>
      </c>
      <c r="GA8" s="57">
        <v>44593</v>
      </c>
      <c r="GB8" s="57">
        <v>44593</v>
      </c>
      <c r="GC8" s="57">
        <v>44593</v>
      </c>
      <c r="GD8" s="57">
        <v>44593</v>
      </c>
      <c r="GE8" s="57">
        <v>44593</v>
      </c>
      <c r="GF8" s="57">
        <v>44593</v>
      </c>
      <c r="GG8" s="57">
        <v>44593</v>
      </c>
      <c r="GH8" s="57">
        <v>44593</v>
      </c>
      <c r="GI8" s="57">
        <v>44593</v>
      </c>
      <c r="GJ8" s="57">
        <v>44593</v>
      </c>
      <c r="GK8" s="57">
        <v>44593</v>
      </c>
      <c r="GL8" s="57">
        <v>44593</v>
      </c>
      <c r="GM8" s="57">
        <v>44593</v>
      </c>
      <c r="GN8" s="57">
        <v>44593</v>
      </c>
      <c r="GO8" s="57">
        <v>44593</v>
      </c>
      <c r="GP8" s="57">
        <v>44593</v>
      </c>
      <c r="GQ8" s="57">
        <v>44593</v>
      </c>
      <c r="GR8" s="57">
        <v>44593</v>
      </c>
      <c r="GS8" s="57">
        <v>44593</v>
      </c>
      <c r="GT8" s="57">
        <v>44593</v>
      </c>
      <c r="GU8" s="57">
        <v>44593</v>
      </c>
      <c r="GV8" s="57">
        <v>44593</v>
      </c>
      <c r="GW8" s="57">
        <v>44593</v>
      </c>
      <c r="GX8" s="57">
        <v>44593</v>
      </c>
      <c r="GY8" s="57">
        <v>44593</v>
      </c>
      <c r="GZ8" s="57">
        <v>44593</v>
      </c>
      <c r="HA8" s="57">
        <v>44593</v>
      </c>
      <c r="HB8" s="57">
        <v>44593</v>
      </c>
      <c r="HC8" s="57">
        <v>44593</v>
      </c>
      <c r="HD8" s="57">
        <v>44593</v>
      </c>
      <c r="HE8" s="57">
        <v>44593</v>
      </c>
      <c r="HF8" s="57">
        <v>44593</v>
      </c>
      <c r="HG8" s="57">
        <v>44593</v>
      </c>
      <c r="HH8" s="57">
        <v>44593</v>
      </c>
      <c r="HI8" s="57">
        <v>44593</v>
      </c>
      <c r="HJ8" s="57">
        <v>44593</v>
      </c>
      <c r="HK8" s="57">
        <v>44593</v>
      </c>
      <c r="HL8" s="57">
        <v>44593</v>
      </c>
      <c r="HM8" s="57">
        <v>44593</v>
      </c>
      <c r="HN8" s="57">
        <v>44593</v>
      </c>
      <c r="HO8" s="57">
        <v>44593</v>
      </c>
      <c r="HP8" s="57">
        <v>44593</v>
      </c>
      <c r="HQ8" s="57">
        <v>44593</v>
      </c>
      <c r="HR8" s="57">
        <v>44593</v>
      </c>
      <c r="HS8" s="57">
        <v>44593</v>
      </c>
      <c r="HT8" s="57">
        <v>44593</v>
      </c>
      <c r="HU8" s="57">
        <v>44593</v>
      </c>
      <c r="HV8" s="57">
        <v>44593</v>
      </c>
      <c r="HW8" s="57">
        <v>44593</v>
      </c>
      <c r="HX8" s="57">
        <v>44593</v>
      </c>
      <c r="HY8" s="57">
        <v>44593</v>
      </c>
      <c r="HZ8" s="57">
        <v>44593</v>
      </c>
      <c r="IA8" s="57">
        <v>44593</v>
      </c>
      <c r="IB8" s="57">
        <v>44593</v>
      </c>
      <c r="IC8" s="57">
        <v>44593</v>
      </c>
      <c r="ID8" s="57">
        <v>44593</v>
      </c>
      <c r="IE8" s="57">
        <v>44593</v>
      </c>
      <c r="IF8" s="57">
        <v>44593</v>
      </c>
      <c r="IG8" s="57">
        <v>44593</v>
      </c>
      <c r="IH8" s="57">
        <v>44593</v>
      </c>
      <c r="II8" s="57">
        <v>44593</v>
      </c>
      <c r="IJ8" s="57">
        <v>44593</v>
      </c>
      <c r="IK8" s="57">
        <v>44593</v>
      </c>
      <c r="IL8" s="57">
        <v>44593</v>
      </c>
      <c r="IM8" s="57">
        <v>44593</v>
      </c>
      <c r="IN8" s="57">
        <v>44593</v>
      </c>
      <c r="IO8" s="57">
        <v>44593</v>
      </c>
      <c r="IP8" s="57">
        <v>44593</v>
      </c>
      <c r="IQ8" s="57">
        <v>44593</v>
      </c>
    </row>
    <row r="9" spans="1:251">
      <c r="A9" s="54" t="s">
        <v>257</v>
      </c>
      <c r="B9" s="55">
        <v>92</v>
      </c>
      <c r="C9" s="55">
        <v>92</v>
      </c>
      <c r="D9" s="55">
        <v>92</v>
      </c>
      <c r="E9" s="55">
        <v>92</v>
      </c>
      <c r="F9" s="55">
        <v>92</v>
      </c>
      <c r="G9" s="55">
        <v>92</v>
      </c>
      <c r="H9" s="55">
        <v>92</v>
      </c>
      <c r="I9" s="55">
        <v>92</v>
      </c>
      <c r="J9" s="55">
        <v>92</v>
      </c>
      <c r="K9" s="55">
        <v>92</v>
      </c>
      <c r="L9" s="55">
        <v>92</v>
      </c>
      <c r="M9" s="55">
        <v>92</v>
      </c>
      <c r="N9" s="55">
        <v>92</v>
      </c>
      <c r="O9" s="55">
        <v>92</v>
      </c>
      <c r="P9" s="55">
        <v>92</v>
      </c>
      <c r="Q9" s="55">
        <v>92</v>
      </c>
      <c r="R9" s="55">
        <v>92</v>
      </c>
      <c r="S9" s="55">
        <v>92</v>
      </c>
      <c r="T9" s="55">
        <v>92</v>
      </c>
      <c r="U9" s="55">
        <v>92</v>
      </c>
      <c r="V9" s="55">
        <v>92</v>
      </c>
      <c r="W9" s="55">
        <v>92</v>
      </c>
      <c r="X9" s="55">
        <v>92</v>
      </c>
      <c r="Y9" s="55">
        <v>92</v>
      </c>
      <c r="Z9" s="55">
        <v>92</v>
      </c>
      <c r="AA9" s="55">
        <v>92</v>
      </c>
      <c r="AB9" s="55">
        <v>92</v>
      </c>
      <c r="AC9" s="55">
        <v>92</v>
      </c>
      <c r="AD9" s="55">
        <v>92</v>
      </c>
      <c r="AE9" s="55">
        <v>92</v>
      </c>
      <c r="AF9" s="55">
        <v>92</v>
      </c>
      <c r="AG9" s="55">
        <v>92</v>
      </c>
      <c r="AH9" s="55">
        <v>92</v>
      </c>
      <c r="AI9" s="55">
        <v>92</v>
      </c>
      <c r="AJ9" s="55">
        <v>92</v>
      </c>
      <c r="AK9" s="55">
        <v>92</v>
      </c>
      <c r="AL9" s="55">
        <v>92</v>
      </c>
      <c r="AM9" s="55">
        <v>92</v>
      </c>
      <c r="AN9" s="55">
        <v>92</v>
      </c>
      <c r="AO9" s="55">
        <v>92</v>
      </c>
      <c r="AP9" s="55">
        <v>92</v>
      </c>
      <c r="AQ9" s="55">
        <v>92</v>
      </c>
      <c r="AR9" s="55">
        <v>92</v>
      </c>
      <c r="AS9" s="55">
        <v>92</v>
      </c>
      <c r="AT9" s="55">
        <v>92</v>
      </c>
      <c r="AU9" s="55">
        <v>92</v>
      </c>
      <c r="AV9" s="55">
        <v>92</v>
      </c>
      <c r="AW9" s="55">
        <v>92</v>
      </c>
      <c r="AX9" s="55">
        <v>92</v>
      </c>
      <c r="AY9" s="55">
        <v>92</v>
      </c>
      <c r="AZ9" s="55">
        <v>92</v>
      </c>
      <c r="BA9" s="55">
        <v>92</v>
      </c>
      <c r="BB9" s="55">
        <v>92</v>
      </c>
      <c r="BC9" s="55">
        <v>92</v>
      </c>
      <c r="BD9" s="55">
        <v>92</v>
      </c>
      <c r="BE9" s="55">
        <v>92</v>
      </c>
      <c r="BF9" s="55">
        <v>92</v>
      </c>
      <c r="BG9" s="55">
        <v>92</v>
      </c>
      <c r="BH9" s="55">
        <v>92</v>
      </c>
      <c r="BI9" s="55">
        <v>92</v>
      </c>
      <c r="BJ9" s="55">
        <v>92</v>
      </c>
      <c r="BK9" s="55">
        <v>92</v>
      </c>
      <c r="BL9" s="55">
        <v>92</v>
      </c>
      <c r="BM9" s="55">
        <v>92</v>
      </c>
      <c r="BN9" s="55">
        <v>92</v>
      </c>
      <c r="BO9" s="55">
        <v>92</v>
      </c>
      <c r="BP9" s="55">
        <v>92</v>
      </c>
      <c r="BQ9" s="55">
        <v>92</v>
      </c>
      <c r="BR9" s="55">
        <v>92</v>
      </c>
      <c r="BS9" s="55">
        <v>92</v>
      </c>
      <c r="BT9" s="55">
        <v>92</v>
      </c>
      <c r="BU9" s="55">
        <v>92</v>
      </c>
      <c r="BV9" s="55">
        <v>92</v>
      </c>
      <c r="BW9" s="55">
        <v>92</v>
      </c>
      <c r="BX9" s="55">
        <v>92</v>
      </c>
      <c r="BY9" s="55">
        <v>92</v>
      </c>
      <c r="BZ9" s="55">
        <v>92</v>
      </c>
      <c r="CA9" s="55">
        <v>92</v>
      </c>
      <c r="CB9" s="55">
        <v>92</v>
      </c>
      <c r="CC9" s="55">
        <v>92</v>
      </c>
      <c r="CD9" s="55">
        <v>92</v>
      </c>
      <c r="CE9" s="55">
        <v>92</v>
      </c>
      <c r="CF9" s="55">
        <v>92</v>
      </c>
      <c r="CG9" s="55">
        <v>92</v>
      </c>
      <c r="CH9" s="55">
        <v>92</v>
      </c>
      <c r="CI9" s="55">
        <v>92</v>
      </c>
      <c r="CJ9" s="55">
        <v>92</v>
      </c>
      <c r="CK9" s="55">
        <v>92</v>
      </c>
      <c r="CL9" s="55">
        <v>92</v>
      </c>
      <c r="CM9" s="55">
        <v>92</v>
      </c>
      <c r="CN9" s="55">
        <v>92</v>
      </c>
      <c r="CO9" s="55">
        <v>92</v>
      </c>
      <c r="CP9" s="55">
        <v>92</v>
      </c>
      <c r="CQ9" s="55">
        <v>92</v>
      </c>
      <c r="CR9" s="55">
        <v>92</v>
      </c>
      <c r="CS9" s="55">
        <v>92</v>
      </c>
      <c r="CT9" s="55">
        <v>92</v>
      </c>
      <c r="CU9" s="55">
        <v>92</v>
      </c>
      <c r="CV9" s="55">
        <v>92</v>
      </c>
      <c r="CW9" s="55">
        <v>92</v>
      </c>
      <c r="CX9" s="55">
        <v>92</v>
      </c>
      <c r="CY9" s="55">
        <v>92</v>
      </c>
      <c r="CZ9" s="55">
        <v>92</v>
      </c>
      <c r="DA9" s="55">
        <v>92</v>
      </c>
      <c r="DB9" s="55">
        <v>92</v>
      </c>
      <c r="DC9" s="55">
        <v>92</v>
      </c>
      <c r="DD9" s="55">
        <v>92</v>
      </c>
      <c r="DE9" s="55">
        <v>92</v>
      </c>
      <c r="DF9" s="55">
        <v>92</v>
      </c>
      <c r="DG9" s="55">
        <v>92</v>
      </c>
      <c r="DH9" s="55">
        <v>92</v>
      </c>
      <c r="DI9" s="55">
        <v>92</v>
      </c>
      <c r="DJ9" s="55">
        <v>92</v>
      </c>
      <c r="DK9" s="55">
        <v>92</v>
      </c>
      <c r="DL9" s="55">
        <v>92</v>
      </c>
      <c r="DM9" s="55">
        <v>92</v>
      </c>
      <c r="DN9" s="55">
        <v>92</v>
      </c>
      <c r="DO9" s="55">
        <v>92</v>
      </c>
      <c r="DP9" s="55">
        <v>92</v>
      </c>
      <c r="DQ9" s="55">
        <v>92</v>
      </c>
      <c r="DR9" s="55">
        <v>92</v>
      </c>
      <c r="DS9" s="55">
        <v>92</v>
      </c>
      <c r="DT9" s="55">
        <v>92</v>
      </c>
      <c r="DU9" s="55">
        <v>92</v>
      </c>
      <c r="DV9" s="55">
        <v>92</v>
      </c>
      <c r="DW9" s="55">
        <v>92</v>
      </c>
      <c r="DX9" s="55">
        <v>92</v>
      </c>
      <c r="DY9" s="55">
        <v>92</v>
      </c>
      <c r="DZ9" s="55">
        <v>92</v>
      </c>
      <c r="EA9" s="55">
        <v>92</v>
      </c>
      <c r="EB9" s="55">
        <v>92</v>
      </c>
      <c r="EC9" s="55">
        <v>92</v>
      </c>
      <c r="ED9" s="55">
        <v>92</v>
      </c>
      <c r="EE9" s="55">
        <v>92</v>
      </c>
      <c r="EF9" s="55">
        <v>92</v>
      </c>
      <c r="EG9" s="55">
        <v>92</v>
      </c>
      <c r="EH9" s="55">
        <v>92</v>
      </c>
      <c r="EI9" s="55">
        <v>92</v>
      </c>
      <c r="EJ9" s="55">
        <v>92</v>
      </c>
      <c r="EK9" s="55">
        <v>92</v>
      </c>
      <c r="EL9" s="55">
        <v>92</v>
      </c>
      <c r="EM9" s="55">
        <v>92</v>
      </c>
      <c r="EN9" s="55">
        <v>92</v>
      </c>
      <c r="EO9" s="55">
        <v>92</v>
      </c>
      <c r="EP9" s="55">
        <v>92</v>
      </c>
      <c r="EQ9" s="55">
        <v>92</v>
      </c>
      <c r="ER9" s="55">
        <v>92</v>
      </c>
      <c r="ES9" s="55">
        <v>92</v>
      </c>
      <c r="ET9" s="55">
        <v>92</v>
      </c>
      <c r="EU9" s="55">
        <v>92</v>
      </c>
      <c r="EV9" s="55">
        <v>92</v>
      </c>
      <c r="EW9" s="55">
        <v>92</v>
      </c>
      <c r="EX9" s="55">
        <v>92</v>
      </c>
      <c r="EY9" s="55">
        <v>92</v>
      </c>
      <c r="EZ9" s="55">
        <v>92</v>
      </c>
      <c r="FA9" s="55">
        <v>92</v>
      </c>
      <c r="FB9" s="55">
        <v>92</v>
      </c>
      <c r="FC9" s="55">
        <v>92</v>
      </c>
      <c r="FD9" s="55">
        <v>92</v>
      </c>
      <c r="FE9" s="55">
        <v>92</v>
      </c>
      <c r="FF9" s="55">
        <v>92</v>
      </c>
      <c r="FG9" s="55">
        <v>92</v>
      </c>
      <c r="FH9" s="55">
        <v>92</v>
      </c>
      <c r="FI9" s="55">
        <v>92</v>
      </c>
      <c r="FJ9" s="55">
        <v>92</v>
      </c>
      <c r="FK9" s="55">
        <v>92</v>
      </c>
      <c r="FL9" s="55">
        <v>92</v>
      </c>
      <c r="FM9" s="55">
        <v>92</v>
      </c>
      <c r="FN9" s="55">
        <v>92</v>
      </c>
      <c r="FO9" s="55">
        <v>92</v>
      </c>
      <c r="FP9" s="55">
        <v>92</v>
      </c>
      <c r="FQ9" s="55">
        <v>92</v>
      </c>
      <c r="FR9" s="55">
        <v>92</v>
      </c>
      <c r="FS9" s="55">
        <v>92</v>
      </c>
      <c r="FT9" s="55">
        <v>92</v>
      </c>
      <c r="FU9" s="55">
        <v>92</v>
      </c>
      <c r="FV9" s="55">
        <v>92</v>
      </c>
      <c r="FW9" s="55">
        <v>92</v>
      </c>
      <c r="FX9" s="55">
        <v>92</v>
      </c>
      <c r="FY9" s="55">
        <v>92</v>
      </c>
      <c r="FZ9" s="55">
        <v>92</v>
      </c>
      <c r="GA9" s="55">
        <v>92</v>
      </c>
      <c r="GB9" s="55">
        <v>92</v>
      </c>
      <c r="GC9" s="55">
        <v>92</v>
      </c>
      <c r="GD9" s="55">
        <v>92</v>
      </c>
      <c r="GE9" s="55">
        <v>92</v>
      </c>
      <c r="GF9" s="55">
        <v>92</v>
      </c>
      <c r="GG9" s="55">
        <v>92</v>
      </c>
      <c r="GH9" s="55">
        <v>92</v>
      </c>
      <c r="GI9" s="55">
        <v>92</v>
      </c>
      <c r="GJ9" s="55">
        <v>92</v>
      </c>
      <c r="GK9" s="55">
        <v>92</v>
      </c>
      <c r="GL9" s="55">
        <v>92</v>
      </c>
      <c r="GM9" s="55">
        <v>92</v>
      </c>
      <c r="GN9" s="55">
        <v>92</v>
      </c>
      <c r="GO9" s="55">
        <v>92</v>
      </c>
      <c r="GP9" s="55">
        <v>92</v>
      </c>
      <c r="GQ9" s="55">
        <v>92</v>
      </c>
      <c r="GR9" s="55">
        <v>92</v>
      </c>
      <c r="GS9" s="55">
        <v>92</v>
      </c>
      <c r="GT9" s="55">
        <v>92</v>
      </c>
      <c r="GU9" s="55">
        <v>92</v>
      </c>
      <c r="GV9" s="55">
        <v>92</v>
      </c>
      <c r="GW9" s="55">
        <v>92</v>
      </c>
      <c r="GX9" s="55">
        <v>92</v>
      </c>
      <c r="GY9" s="55">
        <v>92</v>
      </c>
      <c r="GZ9" s="55">
        <v>92</v>
      </c>
      <c r="HA9" s="55">
        <v>92</v>
      </c>
      <c r="HB9" s="55">
        <v>92</v>
      </c>
      <c r="HC9" s="55">
        <v>92</v>
      </c>
      <c r="HD9" s="55">
        <v>92</v>
      </c>
      <c r="HE9" s="55">
        <v>92</v>
      </c>
      <c r="HF9" s="55">
        <v>92</v>
      </c>
      <c r="HG9" s="55">
        <v>92</v>
      </c>
      <c r="HH9" s="55">
        <v>92</v>
      </c>
      <c r="HI9" s="55">
        <v>92</v>
      </c>
      <c r="HJ9" s="55">
        <v>92</v>
      </c>
      <c r="HK9" s="55">
        <v>92</v>
      </c>
      <c r="HL9" s="55">
        <v>92</v>
      </c>
      <c r="HM9" s="55">
        <v>92</v>
      </c>
      <c r="HN9" s="55">
        <v>92</v>
      </c>
      <c r="HO9" s="55">
        <v>92</v>
      </c>
      <c r="HP9" s="55">
        <v>92</v>
      </c>
      <c r="HQ9" s="55">
        <v>92</v>
      </c>
      <c r="HR9" s="55">
        <v>92</v>
      </c>
      <c r="HS9" s="55">
        <v>92</v>
      </c>
      <c r="HT9" s="55">
        <v>92</v>
      </c>
      <c r="HU9" s="55">
        <v>92</v>
      </c>
      <c r="HV9" s="55">
        <v>92</v>
      </c>
      <c r="HW9" s="55">
        <v>92</v>
      </c>
      <c r="HX9" s="55">
        <v>92</v>
      </c>
      <c r="HY9" s="55">
        <v>92</v>
      </c>
      <c r="HZ9" s="55">
        <v>92</v>
      </c>
      <c r="IA9" s="55">
        <v>92</v>
      </c>
      <c r="IB9" s="55">
        <v>92</v>
      </c>
      <c r="IC9" s="55">
        <v>92</v>
      </c>
      <c r="ID9" s="55">
        <v>92</v>
      </c>
      <c r="IE9" s="55">
        <v>92</v>
      </c>
      <c r="IF9" s="55">
        <v>92</v>
      </c>
      <c r="IG9" s="55">
        <v>92</v>
      </c>
      <c r="IH9" s="55">
        <v>92</v>
      </c>
      <c r="II9" s="55">
        <v>92</v>
      </c>
      <c r="IJ9" s="55">
        <v>92</v>
      </c>
      <c r="IK9" s="55">
        <v>92</v>
      </c>
      <c r="IL9" s="55">
        <v>92</v>
      </c>
      <c r="IM9" s="55">
        <v>92</v>
      </c>
      <c r="IN9" s="55">
        <v>92</v>
      </c>
      <c r="IO9" s="55">
        <v>92</v>
      </c>
      <c r="IP9" s="55">
        <v>92</v>
      </c>
      <c r="IQ9" s="55">
        <v>92</v>
      </c>
    </row>
    <row r="10" spans="1:251">
      <c r="A10" s="54" t="s">
        <v>258</v>
      </c>
      <c r="B10" s="4" t="s">
        <v>263</v>
      </c>
      <c r="C10" s="4" t="s">
        <v>264</v>
      </c>
      <c r="D10" s="4" t="s">
        <v>265</v>
      </c>
      <c r="E10" s="4" t="s">
        <v>266</v>
      </c>
      <c r="F10" s="4" t="s">
        <v>267</v>
      </c>
      <c r="G10" s="4" t="s">
        <v>268</v>
      </c>
      <c r="H10" s="4" t="s">
        <v>269</v>
      </c>
      <c r="I10" s="4" t="s">
        <v>270</v>
      </c>
      <c r="J10" s="4" t="s">
        <v>271</v>
      </c>
      <c r="K10" s="4" t="s">
        <v>272</v>
      </c>
      <c r="L10" s="4" t="s">
        <v>273</v>
      </c>
      <c r="M10" s="4" t="s">
        <v>274</v>
      </c>
      <c r="N10" s="4" t="s">
        <v>275</v>
      </c>
      <c r="O10" s="4" t="s">
        <v>276</v>
      </c>
      <c r="P10" s="4" t="s">
        <v>277</v>
      </c>
      <c r="Q10" s="4" t="s">
        <v>278</v>
      </c>
      <c r="R10" s="4" t="s">
        <v>279</v>
      </c>
      <c r="S10" s="4" t="s">
        <v>280</v>
      </c>
      <c r="T10" s="4" t="s">
        <v>281</v>
      </c>
      <c r="U10" s="4" t="s">
        <v>282</v>
      </c>
      <c r="V10" s="4" t="s">
        <v>283</v>
      </c>
      <c r="W10" s="4" t="s">
        <v>284</v>
      </c>
      <c r="X10" s="4" t="s">
        <v>285</v>
      </c>
      <c r="Y10" s="4" t="s">
        <v>286</v>
      </c>
      <c r="Z10" s="4" t="s">
        <v>287</v>
      </c>
      <c r="AA10" s="4" t="s">
        <v>288</v>
      </c>
      <c r="AB10" s="4" t="s">
        <v>289</v>
      </c>
      <c r="AC10" s="4" t="s">
        <v>290</v>
      </c>
      <c r="AD10" s="4" t="s">
        <v>291</v>
      </c>
      <c r="AE10" s="4" t="s">
        <v>292</v>
      </c>
      <c r="AF10" s="4" t="s">
        <v>293</v>
      </c>
      <c r="AG10" s="4" t="s">
        <v>294</v>
      </c>
      <c r="AH10" s="4" t="s">
        <v>295</v>
      </c>
      <c r="AI10" s="4" t="s">
        <v>296</v>
      </c>
      <c r="AJ10" s="4" t="s">
        <v>297</v>
      </c>
      <c r="AK10" s="4" t="s">
        <v>298</v>
      </c>
      <c r="AL10" s="4" t="s">
        <v>299</v>
      </c>
      <c r="AM10" s="4" t="s">
        <v>300</v>
      </c>
      <c r="AN10" s="4" t="s">
        <v>301</v>
      </c>
      <c r="AO10" s="4" t="s">
        <v>302</v>
      </c>
      <c r="AP10" s="4" t="s">
        <v>303</v>
      </c>
      <c r="AQ10" s="4" t="s">
        <v>304</v>
      </c>
      <c r="AR10" s="4" t="s">
        <v>305</v>
      </c>
      <c r="AS10" s="4" t="s">
        <v>306</v>
      </c>
      <c r="AT10" s="4" t="s">
        <v>307</v>
      </c>
      <c r="AU10" s="4" t="s">
        <v>308</v>
      </c>
      <c r="AV10" s="4" t="s">
        <v>309</v>
      </c>
      <c r="AW10" s="4" t="s">
        <v>310</v>
      </c>
      <c r="AX10" s="4" t="s">
        <v>311</v>
      </c>
      <c r="AY10" s="4" t="s">
        <v>312</v>
      </c>
      <c r="AZ10" s="4" t="s">
        <v>313</v>
      </c>
      <c r="BA10" s="4" t="s">
        <v>314</v>
      </c>
      <c r="BB10" s="4" t="s">
        <v>315</v>
      </c>
      <c r="BC10" s="4" t="s">
        <v>316</v>
      </c>
      <c r="BD10" s="4" t="s">
        <v>317</v>
      </c>
      <c r="BE10" s="4" t="s">
        <v>318</v>
      </c>
      <c r="BF10" s="4" t="s">
        <v>319</v>
      </c>
      <c r="BG10" s="4" t="s">
        <v>320</v>
      </c>
      <c r="BH10" s="4" t="s">
        <v>321</v>
      </c>
      <c r="BI10" s="4" t="s">
        <v>322</v>
      </c>
      <c r="BJ10" s="4" t="s">
        <v>323</v>
      </c>
      <c r="BK10" s="4" t="s">
        <v>324</v>
      </c>
      <c r="BL10" s="4" t="s">
        <v>325</v>
      </c>
      <c r="BM10" s="4" t="s">
        <v>326</v>
      </c>
      <c r="BN10" s="4" t="s">
        <v>327</v>
      </c>
      <c r="BO10" s="4" t="s">
        <v>328</v>
      </c>
      <c r="BP10" s="4" t="s">
        <v>329</v>
      </c>
      <c r="BQ10" s="4" t="s">
        <v>330</v>
      </c>
      <c r="BR10" s="4" t="s">
        <v>331</v>
      </c>
      <c r="BS10" s="4" t="s">
        <v>332</v>
      </c>
      <c r="BT10" s="4" t="s">
        <v>333</v>
      </c>
      <c r="BU10" s="4" t="s">
        <v>334</v>
      </c>
      <c r="BV10" s="4" t="s">
        <v>335</v>
      </c>
      <c r="BW10" s="4" t="s">
        <v>336</v>
      </c>
      <c r="BX10" s="4" t="s">
        <v>337</v>
      </c>
      <c r="BY10" s="4" t="s">
        <v>338</v>
      </c>
      <c r="BZ10" s="4" t="s">
        <v>339</v>
      </c>
      <c r="CA10" s="4" t="s">
        <v>340</v>
      </c>
      <c r="CB10" s="4" t="s">
        <v>341</v>
      </c>
      <c r="CC10" s="4" t="s">
        <v>342</v>
      </c>
      <c r="CD10" s="4" t="s">
        <v>343</v>
      </c>
      <c r="CE10" s="4" t="s">
        <v>344</v>
      </c>
      <c r="CF10" s="4" t="s">
        <v>345</v>
      </c>
      <c r="CG10" s="4" t="s">
        <v>346</v>
      </c>
      <c r="CH10" s="4" t="s">
        <v>347</v>
      </c>
      <c r="CI10" s="4" t="s">
        <v>348</v>
      </c>
      <c r="CJ10" s="4" t="s">
        <v>349</v>
      </c>
      <c r="CK10" s="4" t="s">
        <v>350</v>
      </c>
      <c r="CL10" s="4" t="s">
        <v>351</v>
      </c>
      <c r="CM10" s="4" t="s">
        <v>352</v>
      </c>
      <c r="CN10" s="4" t="s">
        <v>353</v>
      </c>
      <c r="CO10" s="4" t="s">
        <v>354</v>
      </c>
      <c r="CP10" s="4" t="s">
        <v>355</v>
      </c>
      <c r="CQ10" s="4" t="s">
        <v>356</v>
      </c>
      <c r="CR10" s="4" t="s">
        <v>357</v>
      </c>
      <c r="CS10" s="4" t="s">
        <v>358</v>
      </c>
      <c r="CT10" s="4" t="s">
        <v>359</v>
      </c>
      <c r="CU10" s="4" t="s">
        <v>360</v>
      </c>
      <c r="CV10" s="4" t="s">
        <v>361</v>
      </c>
      <c r="CW10" s="4" t="s">
        <v>362</v>
      </c>
      <c r="CX10" s="4" t="s">
        <v>363</v>
      </c>
      <c r="CY10" s="4" t="s">
        <v>364</v>
      </c>
      <c r="CZ10" s="4" t="s">
        <v>365</v>
      </c>
      <c r="DA10" s="4" t="s">
        <v>366</v>
      </c>
      <c r="DB10" s="4" t="s">
        <v>367</v>
      </c>
      <c r="DC10" s="4" t="s">
        <v>368</v>
      </c>
      <c r="DD10" s="4" t="s">
        <v>369</v>
      </c>
      <c r="DE10" s="4" t="s">
        <v>370</v>
      </c>
      <c r="DF10" s="4" t="s">
        <v>371</v>
      </c>
      <c r="DG10" s="4" t="s">
        <v>372</v>
      </c>
      <c r="DH10" s="4" t="s">
        <v>373</v>
      </c>
      <c r="DI10" s="4" t="s">
        <v>374</v>
      </c>
      <c r="DJ10" s="4" t="s">
        <v>375</v>
      </c>
      <c r="DK10" s="4" t="s">
        <v>376</v>
      </c>
      <c r="DL10" s="4" t="s">
        <v>377</v>
      </c>
      <c r="DM10" s="4" t="s">
        <v>378</v>
      </c>
      <c r="DN10" s="4" t="s">
        <v>379</v>
      </c>
      <c r="DO10" s="4" t="s">
        <v>380</v>
      </c>
      <c r="DP10" s="4" t="s">
        <v>381</v>
      </c>
      <c r="DQ10" s="4" t="s">
        <v>382</v>
      </c>
      <c r="DR10" s="4" t="s">
        <v>383</v>
      </c>
      <c r="DS10" s="4" t="s">
        <v>384</v>
      </c>
      <c r="DT10" s="4" t="s">
        <v>385</v>
      </c>
      <c r="DU10" s="4" t="s">
        <v>386</v>
      </c>
      <c r="DV10" s="4" t="s">
        <v>387</v>
      </c>
      <c r="DW10" s="4" t="s">
        <v>388</v>
      </c>
      <c r="DX10" s="4" t="s">
        <v>389</v>
      </c>
      <c r="DY10" s="4" t="s">
        <v>390</v>
      </c>
      <c r="DZ10" s="4" t="s">
        <v>391</v>
      </c>
      <c r="EA10" s="4" t="s">
        <v>392</v>
      </c>
      <c r="EB10" s="4" t="s">
        <v>393</v>
      </c>
      <c r="EC10" s="4" t="s">
        <v>394</v>
      </c>
      <c r="ED10" s="4" t="s">
        <v>395</v>
      </c>
      <c r="EE10" s="4" t="s">
        <v>396</v>
      </c>
      <c r="EF10" s="4" t="s">
        <v>397</v>
      </c>
      <c r="EG10" s="4" t="s">
        <v>398</v>
      </c>
      <c r="EH10" s="4" t="s">
        <v>399</v>
      </c>
      <c r="EI10" s="4" t="s">
        <v>400</v>
      </c>
      <c r="EJ10" s="4" t="s">
        <v>401</v>
      </c>
      <c r="EK10" s="4" t="s">
        <v>402</v>
      </c>
      <c r="EL10" s="4" t="s">
        <v>403</v>
      </c>
      <c r="EM10" s="4" t="s">
        <v>404</v>
      </c>
      <c r="EN10" s="4" t="s">
        <v>405</v>
      </c>
      <c r="EO10" s="4" t="s">
        <v>406</v>
      </c>
      <c r="EP10" s="4" t="s">
        <v>407</v>
      </c>
      <c r="EQ10" s="4" t="s">
        <v>408</v>
      </c>
      <c r="ER10" s="4" t="s">
        <v>409</v>
      </c>
      <c r="ES10" s="4" t="s">
        <v>410</v>
      </c>
      <c r="ET10" s="4" t="s">
        <v>411</v>
      </c>
      <c r="EU10" s="4" t="s">
        <v>412</v>
      </c>
      <c r="EV10" s="4" t="s">
        <v>413</v>
      </c>
      <c r="EW10" s="4" t="s">
        <v>414</v>
      </c>
      <c r="EX10" s="4" t="s">
        <v>415</v>
      </c>
      <c r="EY10" s="4" t="s">
        <v>416</v>
      </c>
      <c r="EZ10" s="4" t="s">
        <v>417</v>
      </c>
      <c r="FA10" s="4" t="s">
        <v>418</v>
      </c>
      <c r="FB10" s="4" t="s">
        <v>419</v>
      </c>
      <c r="FC10" s="4" t="s">
        <v>420</v>
      </c>
      <c r="FD10" s="4" t="s">
        <v>421</v>
      </c>
      <c r="FE10" s="4" t="s">
        <v>422</v>
      </c>
      <c r="FF10" s="4" t="s">
        <v>423</v>
      </c>
      <c r="FG10" s="4" t="s">
        <v>424</v>
      </c>
      <c r="FH10" s="4" t="s">
        <v>425</v>
      </c>
      <c r="FI10" s="4" t="s">
        <v>426</v>
      </c>
      <c r="FJ10" s="4" t="s">
        <v>427</v>
      </c>
      <c r="FK10" s="4" t="s">
        <v>428</v>
      </c>
      <c r="FL10" s="4" t="s">
        <v>429</v>
      </c>
      <c r="FM10" s="4" t="s">
        <v>430</v>
      </c>
      <c r="FN10" s="4" t="s">
        <v>431</v>
      </c>
      <c r="FO10" s="4" t="s">
        <v>432</v>
      </c>
      <c r="FP10" s="4" t="s">
        <v>433</v>
      </c>
      <c r="FQ10" s="4" t="s">
        <v>434</v>
      </c>
      <c r="FR10" s="4" t="s">
        <v>435</v>
      </c>
      <c r="FS10" s="4" t="s">
        <v>436</v>
      </c>
      <c r="FT10" s="4" t="s">
        <v>437</v>
      </c>
      <c r="FU10" s="4" t="s">
        <v>438</v>
      </c>
      <c r="FV10" s="4" t="s">
        <v>439</v>
      </c>
      <c r="FW10" s="4" t="s">
        <v>440</v>
      </c>
      <c r="FX10" s="4" t="s">
        <v>441</v>
      </c>
      <c r="FY10" s="4" t="s">
        <v>442</v>
      </c>
      <c r="FZ10" s="4" t="s">
        <v>443</v>
      </c>
      <c r="GA10" s="4" t="s">
        <v>444</v>
      </c>
      <c r="GB10" s="4" t="s">
        <v>445</v>
      </c>
      <c r="GC10" s="4" t="s">
        <v>446</v>
      </c>
      <c r="GD10" s="4" t="s">
        <v>447</v>
      </c>
      <c r="GE10" s="4" t="s">
        <v>448</v>
      </c>
      <c r="GF10" s="4" t="s">
        <v>449</v>
      </c>
      <c r="GG10" s="4" t="s">
        <v>450</v>
      </c>
      <c r="GH10" s="4" t="s">
        <v>451</v>
      </c>
      <c r="GI10" s="4" t="s">
        <v>452</v>
      </c>
      <c r="GJ10" s="4" t="s">
        <v>453</v>
      </c>
      <c r="GK10" s="4" t="s">
        <v>454</v>
      </c>
      <c r="GL10" s="4" t="s">
        <v>455</v>
      </c>
      <c r="GM10" s="4" t="s">
        <v>456</v>
      </c>
      <c r="GN10" s="4" t="s">
        <v>457</v>
      </c>
      <c r="GO10" s="4" t="s">
        <v>458</v>
      </c>
      <c r="GP10" s="4" t="s">
        <v>459</v>
      </c>
      <c r="GQ10" s="4" t="s">
        <v>460</v>
      </c>
      <c r="GR10" s="4" t="s">
        <v>461</v>
      </c>
      <c r="GS10" s="4" t="s">
        <v>462</v>
      </c>
      <c r="GT10" s="4" t="s">
        <v>463</v>
      </c>
      <c r="GU10" s="4" t="s">
        <v>464</v>
      </c>
      <c r="GV10" s="4" t="s">
        <v>465</v>
      </c>
      <c r="GW10" s="4" t="s">
        <v>466</v>
      </c>
      <c r="GX10" s="4" t="s">
        <v>467</v>
      </c>
      <c r="GY10" s="4" t="s">
        <v>468</v>
      </c>
      <c r="GZ10" s="4" t="s">
        <v>469</v>
      </c>
      <c r="HA10" s="4" t="s">
        <v>470</v>
      </c>
      <c r="HB10" s="4" t="s">
        <v>471</v>
      </c>
      <c r="HC10" s="4" t="s">
        <v>472</v>
      </c>
      <c r="HD10" s="4" t="s">
        <v>473</v>
      </c>
      <c r="HE10" s="4" t="s">
        <v>474</v>
      </c>
      <c r="HF10" s="4" t="s">
        <v>475</v>
      </c>
      <c r="HG10" s="4" t="s">
        <v>476</v>
      </c>
      <c r="HH10" s="4" t="s">
        <v>477</v>
      </c>
      <c r="HI10" s="4" t="s">
        <v>478</v>
      </c>
      <c r="HJ10" s="4" t="s">
        <v>479</v>
      </c>
      <c r="HK10" s="4" t="s">
        <v>480</v>
      </c>
      <c r="HL10" s="4" t="s">
        <v>481</v>
      </c>
      <c r="HM10" s="4" t="s">
        <v>482</v>
      </c>
      <c r="HN10" s="4" t="s">
        <v>483</v>
      </c>
      <c r="HO10" s="4" t="s">
        <v>484</v>
      </c>
      <c r="HP10" s="4" t="s">
        <v>485</v>
      </c>
      <c r="HQ10" s="4" t="s">
        <v>486</v>
      </c>
      <c r="HR10" s="4" t="s">
        <v>487</v>
      </c>
      <c r="HS10" s="4" t="s">
        <v>488</v>
      </c>
      <c r="HT10" s="4" t="s">
        <v>489</v>
      </c>
      <c r="HU10" s="4" t="s">
        <v>490</v>
      </c>
      <c r="HV10" s="4" t="s">
        <v>491</v>
      </c>
      <c r="HW10" s="4" t="s">
        <v>492</v>
      </c>
      <c r="HX10" s="4" t="s">
        <v>493</v>
      </c>
      <c r="HY10" s="4" t="s">
        <v>494</v>
      </c>
      <c r="HZ10" s="4" t="s">
        <v>495</v>
      </c>
      <c r="IA10" s="4" t="s">
        <v>496</v>
      </c>
      <c r="IB10" s="4" t="s">
        <v>497</v>
      </c>
      <c r="IC10" s="4" t="s">
        <v>498</v>
      </c>
      <c r="ID10" s="4" t="s">
        <v>499</v>
      </c>
      <c r="IE10" s="4" t="s">
        <v>500</v>
      </c>
      <c r="IF10" s="4" t="s">
        <v>501</v>
      </c>
      <c r="IG10" s="4" t="s">
        <v>502</v>
      </c>
      <c r="IH10" s="4" t="s">
        <v>503</v>
      </c>
      <c r="II10" s="4" t="s">
        <v>504</v>
      </c>
      <c r="IJ10" s="4" t="s">
        <v>505</v>
      </c>
      <c r="IK10" s="4" t="s">
        <v>506</v>
      </c>
      <c r="IL10" s="4" t="s">
        <v>507</v>
      </c>
      <c r="IM10" s="4" t="s">
        <v>508</v>
      </c>
      <c r="IN10" s="4" t="s">
        <v>509</v>
      </c>
      <c r="IO10" s="4" t="s">
        <v>510</v>
      </c>
      <c r="IP10" s="4" t="s">
        <v>511</v>
      </c>
      <c r="IQ10" s="4" t="s">
        <v>512</v>
      </c>
    </row>
    <row r="11" spans="1:251">
      <c r="A11" s="5">
        <v>41821</v>
      </c>
      <c r="B11" s="58">
        <v>11542.16</v>
      </c>
      <c r="C11" s="58">
        <v>6224.3680000000004</v>
      </c>
      <c r="D11" s="58">
        <v>5317.7920000000004</v>
      </c>
      <c r="E11" s="58">
        <v>8043.6469999999999</v>
      </c>
      <c r="F11" s="58">
        <v>5172.6450000000004</v>
      </c>
      <c r="G11" s="58">
        <v>2871.002</v>
      </c>
      <c r="H11" s="58">
        <v>3498.5120000000002</v>
      </c>
      <c r="I11" s="58">
        <v>1051.723</v>
      </c>
      <c r="J11" s="58">
        <v>2446.7890000000002</v>
      </c>
      <c r="K11" s="58">
        <v>1690.058</v>
      </c>
      <c r="L11" s="58">
        <v>908.649</v>
      </c>
      <c r="M11" s="58">
        <v>781.40800000000002</v>
      </c>
      <c r="N11" s="58">
        <v>322.30700000000002</v>
      </c>
      <c r="O11" s="58">
        <v>190.71199999999999</v>
      </c>
      <c r="P11" s="58">
        <v>131.59399999999999</v>
      </c>
      <c r="Q11" s="58">
        <v>123.675</v>
      </c>
      <c r="R11" s="58">
        <v>96.652000000000001</v>
      </c>
      <c r="S11" s="58">
        <v>27.023</v>
      </c>
      <c r="T11" s="58">
        <v>70.222999999999999</v>
      </c>
      <c r="U11" s="58">
        <v>52.377000000000002</v>
      </c>
      <c r="V11" s="58">
        <v>17.847000000000001</v>
      </c>
      <c r="W11" s="58">
        <v>53.451000000000001</v>
      </c>
      <c r="X11" s="58">
        <v>44.274999999999999</v>
      </c>
      <c r="Y11" s="58">
        <v>9.1760000000000002</v>
      </c>
      <c r="Z11" s="58">
        <v>198.63200000000001</v>
      </c>
      <c r="AA11" s="58">
        <v>94.06</v>
      </c>
      <c r="AB11" s="58">
        <v>104.572</v>
      </c>
      <c r="AC11" s="58">
        <v>1520.99</v>
      </c>
      <c r="AD11" s="58">
        <v>802.16200000000003</v>
      </c>
      <c r="AE11" s="58">
        <v>718.827</v>
      </c>
      <c r="AF11" s="58">
        <v>586.26499999999999</v>
      </c>
      <c r="AG11" s="58">
        <v>436.65</v>
      </c>
      <c r="AH11" s="58">
        <v>149.61500000000001</v>
      </c>
      <c r="AI11" s="58">
        <v>934.72500000000002</v>
      </c>
      <c r="AJ11" s="58">
        <v>365.512</v>
      </c>
      <c r="AK11" s="58">
        <v>569.21199999999999</v>
      </c>
      <c r="AL11" s="58">
        <v>675.52800000000002</v>
      </c>
      <c r="AM11" s="58">
        <v>507.21800000000002</v>
      </c>
      <c r="AN11" s="58">
        <v>168.31</v>
      </c>
      <c r="AO11" s="58">
        <v>1014.53</v>
      </c>
      <c r="AP11" s="58">
        <v>401.43099999999998</v>
      </c>
      <c r="AQ11" s="58">
        <v>613.09900000000005</v>
      </c>
      <c r="AR11" s="58">
        <v>1004.948</v>
      </c>
      <c r="AS11" s="58">
        <v>417.88900000000001</v>
      </c>
      <c r="AT11" s="58">
        <v>587.05899999999997</v>
      </c>
      <c r="AU11" s="58">
        <v>11131.941000000001</v>
      </c>
      <c r="AV11" s="58">
        <v>5965.4629999999997</v>
      </c>
      <c r="AW11" s="58">
        <v>5166.4780000000001</v>
      </c>
      <c r="AX11" s="58">
        <v>7872.3810000000003</v>
      </c>
      <c r="AY11" s="58">
        <v>5044.4780000000001</v>
      </c>
      <c r="AZ11" s="58">
        <v>2827.9029999999998</v>
      </c>
      <c r="BA11" s="58">
        <v>3259.56</v>
      </c>
      <c r="BB11" s="58">
        <v>920.98500000000001</v>
      </c>
      <c r="BC11" s="58">
        <v>2338.5749999999998</v>
      </c>
      <c r="BD11" s="58">
        <v>1649.0119999999999</v>
      </c>
      <c r="BE11" s="58">
        <v>880.31500000000005</v>
      </c>
      <c r="BF11" s="58">
        <v>768.697</v>
      </c>
      <c r="BG11" s="58">
        <v>305.404</v>
      </c>
      <c r="BH11" s="58">
        <v>177.68199999999999</v>
      </c>
      <c r="BI11" s="58">
        <v>127.72199999999999</v>
      </c>
      <c r="BJ11" s="58">
        <v>119.97499999999999</v>
      </c>
      <c r="BK11" s="58">
        <v>93.411000000000001</v>
      </c>
      <c r="BL11" s="58">
        <v>26.564</v>
      </c>
      <c r="BM11" s="58">
        <v>67.475999999999999</v>
      </c>
      <c r="BN11" s="58">
        <v>50.087000000000003</v>
      </c>
      <c r="BO11" s="58">
        <v>17.388000000000002</v>
      </c>
      <c r="BP11" s="58">
        <v>52.499000000000002</v>
      </c>
      <c r="BQ11" s="58">
        <v>43.323</v>
      </c>
      <c r="BR11" s="58">
        <v>9.1760000000000002</v>
      </c>
      <c r="BS11" s="58">
        <v>185.429</v>
      </c>
      <c r="BT11" s="58">
        <v>84.272000000000006</v>
      </c>
      <c r="BU11" s="58">
        <v>101.158</v>
      </c>
      <c r="BV11" s="58">
        <v>1492.992</v>
      </c>
      <c r="BW11" s="58">
        <v>783.39099999999996</v>
      </c>
      <c r="BX11" s="58">
        <v>709.601</v>
      </c>
      <c r="BY11" s="58">
        <v>579.77800000000002</v>
      </c>
      <c r="BZ11" s="58">
        <v>431.36900000000003</v>
      </c>
      <c r="CA11" s="58">
        <v>148.41</v>
      </c>
      <c r="CB11" s="58">
        <v>913.21400000000006</v>
      </c>
      <c r="CC11" s="58">
        <v>352.02199999999999</v>
      </c>
      <c r="CD11" s="58">
        <v>561.19100000000003</v>
      </c>
      <c r="CE11" s="58">
        <v>666.04399999999998</v>
      </c>
      <c r="CF11" s="58">
        <v>499.39800000000002</v>
      </c>
      <c r="CG11" s="58">
        <v>166.64599999999999</v>
      </c>
      <c r="CH11" s="58">
        <v>982.96799999999996</v>
      </c>
      <c r="CI11" s="58">
        <v>380.91699999999997</v>
      </c>
      <c r="CJ11" s="58">
        <v>602.04999999999995</v>
      </c>
      <c r="CK11" s="58">
        <v>980.68899999999996</v>
      </c>
      <c r="CL11" s="58">
        <v>402.11</v>
      </c>
      <c r="CM11" s="58">
        <v>578.58000000000004</v>
      </c>
      <c r="CN11" s="58">
        <v>1790.7260000000001</v>
      </c>
      <c r="CO11" s="58">
        <v>900.41800000000001</v>
      </c>
      <c r="CP11" s="58">
        <v>890.30799999999999</v>
      </c>
      <c r="CQ11" s="58">
        <v>895.75900000000001</v>
      </c>
      <c r="CR11" s="58">
        <v>533.27200000000005</v>
      </c>
      <c r="CS11" s="58">
        <v>362.48700000000002</v>
      </c>
      <c r="CT11" s="58">
        <v>894.96699999999998</v>
      </c>
      <c r="CU11" s="58">
        <v>367.14600000000002</v>
      </c>
      <c r="CV11" s="58">
        <v>527.82100000000003</v>
      </c>
      <c r="CW11" s="58">
        <v>467.08199999999999</v>
      </c>
      <c r="CX11" s="58">
        <v>231.44300000000001</v>
      </c>
      <c r="CY11" s="58">
        <v>235.63900000000001</v>
      </c>
      <c r="CZ11" s="58">
        <v>75.177999999999997</v>
      </c>
      <c r="DA11" s="58">
        <v>37.564</v>
      </c>
      <c r="DB11" s="58">
        <v>37.615000000000002</v>
      </c>
      <c r="DC11" s="58">
        <v>16.559000000000001</v>
      </c>
      <c r="DD11" s="58">
        <v>13.708</v>
      </c>
      <c r="DE11" s="58">
        <v>2.851</v>
      </c>
      <c r="DF11" s="58">
        <v>13.272</v>
      </c>
      <c r="DG11" s="58">
        <v>10.422000000000001</v>
      </c>
      <c r="DH11" s="58">
        <v>2.851</v>
      </c>
      <c r="DI11" s="58">
        <v>3.2869999999999999</v>
      </c>
      <c r="DJ11" s="58">
        <v>3.2869999999999999</v>
      </c>
      <c r="DK11" s="58">
        <v>0</v>
      </c>
      <c r="DL11" s="58">
        <v>58.619</v>
      </c>
      <c r="DM11" s="58">
        <v>23.855</v>
      </c>
      <c r="DN11" s="58">
        <v>34.764000000000003</v>
      </c>
      <c r="DO11" s="58">
        <v>438.017</v>
      </c>
      <c r="DP11" s="58">
        <v>212.23400000000001</v>
      </c>
      <c r="DQ11" s="58">
        <v>225.78299999999999</v>
      </c>
      <c r="DR11" s="58">
        <v>114.834</v>
      </c>
      <c r="DS11" s="58">
        <v>78.31</v>
      </c>
      <c r="DT11" s="58">
        <v>36.524999999999999</v>
      </c>
      <c r="DU11" s="58">
        <v>323.18299999999999</v>
      </c>
      <c r="DV11" s="58">
        <v>133.92400000000001</v>
      </c>
      <c r="DW11" s="58">
        <v>189.25899999999999</v>
      </c>
      <c r="DX11" s="58">
        <v>124.095</v>
      </c>
      <c r="DY11" s="58">
        <v>86.965000000000003</v>
      </c>
      <c r="DZ11" s="58">
        <v>37.130000000000003</v>
      </c>
      <c r="EA11" s="58">
        <v>342.98599999999999</v>
      </c>
      <c r="EB11" s="58">
        <v>144.477</v>
      </c>
      <c r="EC11" s="58">
        <v>198.50899999999999</v>
      </c>
      <c r="ED11" s="58">
        <v>336.45499999999998</v>
      </c>
      <c r="EE11" s="58">
        <v>144.346</v>
      </c>
      <c r="EF11" s="58">
        <v>192.10900000000001</v>
      </c>
      <c r="EG11" s="58">
        <v>636.89300000000003</v>
      </c>
      <c r="EH11" s="58">
        <v>303.75299999999999</v>
      </c>
      <c r="EI11" s="58">
        <v>333.14</v>
      </c>
      <c r="EJ11" s="58">
        <v>173.334</v>
      </c>
      <c r="EK11" s="58">
        <v>112.79900000000001</v>
      </c>
      <c r="EL11" s="58">
        <v>60.533999999999999</v>
      </c>
      <c r="EM11" s="58">
        <v>463.55900000000003</v>
      </c>
      <c r="EN11" s="58">
        <v>190.95400000000001</v>
      </c>
      <c r="EO11" s="58">
        <v>272.60500000000002</v>
      </c>
      <c r="EP11" s="58">
        <v>199.02</v>
      </c>
      <c r="EQ11" s="58">
        <v>87.174999999999997</v>
      </c>
      <c r="ER11" s="58">
        <v>111.845</v>
      </c>
      <c r="ES11" s="58">
        <v>37.075000000000003</v>
      </c>
      <c r="ET11" s="58">
        <v>16.867999999999999</v>
      </c>
      <c r="EU11" s="58">
        <v>20.207000000000001</v>
      </c>
      <c r="EV11" s="58">
        <v>4.2169999999999996</v>
      </c>
      <c r="EW11" s="58">
        <v>3.887</v>
      </c>
      <c r="EX11" s="58">
        <v>0.33</v>
      </c>
      <c r="EY11" s="58">
        <v>3.746</v>
      </c>
      <c r="EZ11" s="58">
        <v>3.415</v>
      </c>
      <c r="FA11" s="58">
        <v>0.33</v>
      </c>
      <c r="FB11" s="58">
        <v>0.47099999999999997</v>
      </c>
      <c r="FC11" s="58">
        <v>0.47099999999999997</v>
      </c>
      <c r="FD11" s="58">
        <v>0</v>
      </c>
      <c r="FE11" s="58">
        <v>32.857999999999997</v>
      </c>
      <c r="FF11" s="58">
        <v>12.981</v>
      </c>
      <c r="FG11" s="58">
        <v>19.876000000000001</v>
      </c>
      <c r="FH11" s="58">
        <v>183.834</v>
      </c>
      <c r="FI11" s="58">
        <v>77.980999999999995</v>
      </c>
      <c r="FJ11" s="58">
        <v>105.85299999999999</v>
      </c>
      <c r="FK11" s="58">
        <v>26.428000000000001</v>
      </c>
      <c r="FL11" s="58">
        <v>18.802</v>
      </c>
      <c r="FM11" s="58">
        <v>7.6260000000000003</v>
      </c>
      <c r="FN11" s="58">
        <v>157.405</v>
      </c>
      <c r="FO11" s="58">
        <v>59.177999999999997</v>
      </c>
      <c r="FP11" s="58">
        <v>98.227000000000004</v>
      </c>
      <c r="FQ11" s="58">
        <v>28.558</v>
      </c>
      <c r="FR11" s="58">
        <v>20.931999999999999</v>
      </c>
      <c r="FS11" s="58">
        <v>7.6260000000000003</v>
      </c>
      <c r="FT11" s="58">
        <v>170.46199999999999</v>
      </c>
      <c r="FU11" s="58">
        <v>66.242999999999995</v>
      </c>
      <c r="FV11" s="58">
        <v>104.22</v>
      </c>
      <c r="FW11" s="58">
        <v>161.15100000000001</v>
      </c>
      <c r="FX11" s="58">
        <v>62.594000000000001</v>
      </c>
      <c r="FY11" s="58">
        <v>98.557000000000002</v>
      </c>
      <c r="FZ11" s="58">
        <v>1153.8330000000001</v>
      </c>
      <c r="GA11" s="58">
        <v>596.66499999999996</v>
      </c>
      <c r="GB11" s="58">
        <v>557.16800000000001</v>
      </c>
      <c r="GC11" s="58">
        <v>722.42499999999995</v>
      </c>
      <c r="GD11" s="58">
        <v>420.47300000000001</v>
      </c>
      <c r="GE11" s="58">
        <v>301.95299999999997</v>
      </c>
      <c r="GF11" s="58">
        <v>431.40800000000002</v>
      </c>
      <c r="GG11" s="58">
        <v>176.19200000000001</v>
      </c>
      <c r="GH11" s="58">
        <v>255.21600000000001</v>
      </c>
      <c r="GI11" s="58">
        <v>268.06099999999998</v>
      </c>
      <c r="GJ11" s="58">
        <v>144.268</v>
      </c>
      <c r="GK11" s="58">
        <v>123.79300000000001</v>
      </c>
      <c r="GL11" s="58">
        <v>38.103000000000002</v>
      </c>
      <c r="GM11" s="58">
        <v>20.695</v>
      </c>
      <c r="GN11" s="58">
        <v>17.408000000000001</v>
      </c>
      <c r="GO11" s="58">
        <v>12.340999999999999</v>
      </c>
      <c r="GP11" s="58">
        <v>9.8209999999999997</v>
      </c>
      <c r="GQ11" s="58">
        <v>2.52</v>
      </c>
      <c r="GR11" s="58">
        <v>9.5259999999999998</v>
      </c>
      <c r="GS11" s="58">
        <v>7.0060000000000002</v>
      </c>
      <c r="GT11" s="58">
        <v>2.52</v>
      </c>
      <c r="GU11" s="58">
        <v>2.8149999999999999</v>
      </c>
      <c r="GV11" s="58">
        <v>2.8149999999999999</v>
      </c>
      <c r="GW11" s="58">
        <v>0</v>
      </c>
      <c r="GX11" s="58">
        <v>25.762</v>
      </c>
      <c r="GY11" s="58">
        <v>10.874000000000001</v>
      </c>
      <c r="GZ11" s="58">
        <v>14.888</v>
      </c>
      <c r="HA11" s="58">
        <v>254.184</v>
      </c>
      <c r="HB11" s="58">
        <v>134.25299999999999</v>
      </c>
      <c r="HC11" s="58">
        <v>119.93</v>
      </c>
      <c r="HD11" s="58">
        <v>88.406000000000006</v>
      </c>
      <c r="HE11" s="58">
        <v>59.506999999999998</v>
      </c>
      <c r="HF11" s="58">
        <v>28.899000000000001</v>
      </c>
      <c r="HG11" s="58">
        <v>165.77799999999999</v>
      </c>
      <c r="HH11" s="58">
        <v>74.745999999999995</v>
      </c>
      <c r="HI11" s="58">
        <v>91.031999999999996</v>
      </c>
      <c r="HJ11" s="58">
        <v>95.537000000000006</v>
      </c>
      <c r="HK11" s="58">
        <v>66.033000000000001</v>
      </c>
      <c r="HL11" s="58">
        <v>29.504000000000001</v>
      </c>
      <c r="HM11" s="58">
        <v>172.524</v>
      </c>
      <c r="HN11" s="58">
        <v>78.234999999999999</v>
      </c>
      <c r="HO11" s="58">
        <v>94.289000000000001</v>
      </c>
      <c r="HP11" s="58">
        <v>175.304</v>
      </c>
      <c r="HQ11" s="58">
        <v>81.751999999999995</v>
      </c>
      <c r="HR11" s="58">
        <v>93.552000000000007</v>
      </c>
      <c r="HS11" s="58">
        <v>2680.9549999999999</v>
      </c>
      <c r="HT11" s="58">
        <v>1469.2750000000001</v>
      </c>
      <c r="HU11" s="58">
        <v>1211.68</v>
      </c>
      <c r="HV11" s="58">
        <v>2107.2150000000001</v>
      </c>
      <c r="HW11" s="58">
        <v>1305.058</v>
      </c>
      <c r="HX11" s="58">
        <v>802.15700000000004</v>
      </c>
      <c r="HY11" s="58">
        <v>573.74</v>
      </c>
      <c r="HZ11" s="58">
        <v>164.21700000000001</v>
      </c>
      <c r="IA11" s="58">
        <v>409.52300000000002</v>
      </c>
      <c r="IB11" s="58">
        <v>383.20499999999998</v>
      </c>
      <c r="IC11" s="58">
        <v>227.29599999999999</v>
      </c>
      <c r="ID11" s="58">
        <v>155.90899999999999</v>
      </c>
      <c r="IE11" s="58">
        <v>59.343000000000004</v>
      </c>
      <c r="IF11" s="58">
        <v>29.04</v>
      </c>
      <c r="IG11" s="58">
        <v>30.303000000000001</v>
      </c>
      <c r="IH11" s="58">
        <v>26.672999999999998</v>
      </c>
      <c r="II11" s="58">
        <v>15.071999999999999</v>
      </c>
      <c r="IJ11" s="58">
        <v>11.601000000000001</v>
      </c>
      <c r="IK11" s="58">
        <v>13.194000000000001</v>
      </c>
      <c r="IL11" s="58">
        <v>7.0819999999999999</v>
      </c>
      <c r="IM11" s="58">
        <v>6.1120000000000001</v>
      </c>
      <c r="IN11" s="58">
        <v>13.478999999999999</v>
      </c>
      <c r="IO11" s="58">
        <v>7.9889999999999999</v>
      </c>
      <c r="IP11" s="58">
        <v>5.49</v>
      </c>
      <c r="IQ11" s="58">
        <v>32.67</v>
      </c>
    </row>
    <row r="12" spans="1:251">
      <c r="A12" s="5">
        <v>41852</v>
      </c>
      <c r="B12" s="58">
        <v>11572.763999999999</v>
      </c>
      <c r="C12" s="58">
        <v>6225.33</v>
      </c>
      <c r="D12" s="58">
        <v>5347.4340000000002</v>
      </c>
      <c r="E12" s="58">
        <v>7964.2359999999999</v>
      </c>
      <c r="F12" s="58">
        <v>5120.6469999999999</v>
      </c>
      <c r="G12" s="58">
        <v>2843.5889999999999</v>
      </c>
      <c r="H12" s="58">
        <v>3608.5279999999998</v>
      </c>
      <c r="I12" s="58">
        <v>1104.683</v>
      </c>
      <c r="J12" s="58">
        <v>2503.8449999999998</v>
      </c>
      <c r="K12" s="58">
        <v>1730.4590000000001</v>
      </c>
      <c r="L12" s="58">
        <v>919.02200000000005</v>
      </c>
      <c r="M12" s="58">
        <v>811.43700000000001</v>
      </c>
      <c r="N12" s="58">
        <v>310.87599999999998</v>
      </c>
      <c r="O12" s="58">
        <v>183.71799999999999</v>
      </c>
      <c r="P12" s="58">
        <v>127.157</v>
      </c>
      <c r="Q12" s="58">
        <v>120.249</v>
      </c>
      <c r="R12" s="58">
        <v>96.834999999999994</v>
      </c>
      <c r="S12" s="58">
        <v>23.413</v>
      </c>
      <c r="T12" s="58">
        <v>67.367999999999995</v>
      </c>
      <c r="U12" s="58">
        <v>54.466999999999999</v>
      </c>
      <c r="V12" s="58">
        <v>12.901</v>
      </c>
      <c r="W12" s="58">
        <v>52.88</v>
      </c>
      <c r="X12" s="58">
        <v>42.368000000000002</v>
      </c>
      <c r="Y12" s="58">
        <v>10.513</v>
      </c>
      <c r="Z12" s="58">
        <v>190.62700000000001</v>
      </c>
      <c r="AA12" s="58">
        <v>86.882999999999996</v>
      </c>
      <c r="AB12" s="58">
        <v>103.744</v>
      </c>
      <c r="AC12" s="58">
        <v>1546.778</v>
      </c>
      <c r="AD12" s="58">
        <v>809.97</v>
      </c>
      <c r="AE12" s="58">
        <v>736.80700000000002</v>
      </c>
      <c r="AF12" s="58">
        <v>571.23299999999995</v>
      </c>
      <c r="AG12" s="58">
        <v>424.23599999999999</v>
      </c>
      <c r="AH12" s="58">
        <v>146.99700000000001</v>
      </c>
      <c r="AI12" s="58">
        <v>975.54499999999996</v>
      </c>
      <c r="AJ12" s="58">
        <v>385.73399999999998</v>
      </c>
      <c r="AK12" s="58">
        <v>589.81100000000004</v>
      </c>
      <c r="AL12" s="58">
        <v>664.49599999999998</v>
      </c>
      <c r="AM12" s="58">
        <v>498.77499999999998</v>
      </c>
      <c r="AN12" s="58">
        <v>165.721</v>
      </c>
      <c r="AO12" s="58">
        <v>1065.963</v>
      </c>
      <c r="AP12" s="58">
        <v>420.24700000000001</v>
      </c>
      <c r="AQ12" s="58">
        <v>645.71600000000001</v>
      </c>
      <c r="AR12" s="58">
        <v>1042.913</v>
      </c>
      <c r="AS12" s="58">
        <v>440.202</v>
      </c>
      <c r="AT12" s="58">
        <v>602.71199999999999</v>
      </c>
      <c r="AU12" s="58">
        <v>11137.752</v>
      </c>
      <c r="AV12" s="58">
        <v>5952.3649999999998</v>
      </c>
      <c r="AW12" s="58">
        <v>5185.3869999999997</v>
      </c>
      <c r="AX12" s="58">
        <v>7787.1009999999997</v>
      </c>
      <c r="AY12" s="58">
        <v>4984.9139999999998</v>
      </c>
      <c r="AZ12" s="58">
        <v>2802.1869999999999</v>
      </c>
      <c r="BA12" s="58">
        <v>3350.652</v>
      </c>
      <c r="BB12" s="58">
        <v>967.452</v>
      </c>
      <c r="BC12" s="58">
        <v>2383.1999999999998</v>
      </c>
      <c r="BD12" s="58">
        <v>1682.51</v>
      </c>
      <c r="BE12" s="58">
        <v>886.22900000000004</v>
      </c>
      <c r="BF12" s="58">
        <v>796.28099999999995</v>
      </c>
      <c r="BG12" s="58">
        <v>290.60300000000001</v>
      </c>
      <c r="BH12" s="58">
        <v>169.41</v>
      </c>
      <c r="BI12" s="58">
        <v>121.193</v>
      </c>
      <c r="BJ12" s="58">
        <v>115.42100000000001</v>
      </c>
      <c r="BK12" s="58">
        <v>92.834999999999994</v>
      </c>
      <c r="BL12" s="58">
        <v>22.585999999999999</v>
      </c>
      <c r="BM12" s="58">
        <v>63.02</v>
      </c>
      <c r="BN12" s="58">
        <v>50.945999999999998</v>
      </c>
      <c r="BO12" s="58">
        <v>12.074</v>
      </c>
      <c r="BP12" s="58">
        <v>52.402000000000001</v>
      </c>
      <c r="BQ12" s="58">
        <v>41.889000000000003</v>
      </c>
      <c r="BR12" s="58">
        <v>10.513</v>
      </c>
      <c r="BS12" s="58">
        <v>175.18100000000001</v>
      </c>
      <c r="BT12" s="58">
        <v>76.575000000000003</v>
      </c>
      <c r="BU12" s="58">
        <v>98.605999999999995</v>
      </c>
      <c r="BV12" s="58">
        <v>1514.4480000000001</v>
      </c>
      <c r="BW12" s="58">
        <v>787.58199999999999</v>
      </c>
      <c r="BX12" s="58">
        <v>726.86599999999999</v>
      </c>
      <c r="BY12" s="58">
        <v>564.23299999999995</v>
      </c>
      <c r="BZ12" s="58">
        <v>418.64600000000002</v>
      </c>
      <c r="CA12" s="58">
        <v>145.58799999999999</v>
      </c>
      <c r="CB12" s="58">
        <v>950.21500000000003</v>
      </c>
      <c r="CC12" s="58">
        <v>368.93700000000001</v>
      </c>
      <c r="CD12" s="58">
        <v>581.27800000000002</v>
      </c>
      <c r="CE12" s="58">
        <v>652.66899999999998</v>
      </c>
      <c r="CF12" s="58">
        <v>489.18400000000003</v>
      </c>
      <c r="CG12" s="58">
        <v>163.48500000000001</v>
      </c>
      <c r="CH12" s="58">
        <v>1029.8409999999999</v>
      </c>
      <c r="CI12" s="58">
        <v>397.04399999999998</v>
      </c>
      <c r="CJ12" s="58">
        <v>632.79600000000005</v>
      </c>
      <c r="CK12" s="58">
        <v>1013.235</v>
      </c>
      <c r="CL12" s="58">
        <v>419.88200000000001</v>
      </c>
      <c r="CM12" s="58">
        <v>593.35199999999998</v>
      </c>
      <c r="CN12" s="58">
        <v>1767.4949999999999</v>
      </c>
      <c r="CO12" s="58">
        <v>886.17700000000002</v>
      </c>
      <c r="CP12" s="58">
        <v>881.31799999999998</v>
      </c>
      <c r="CQ12" s="58">
        <v>837.95899999999995</v>
      </c>
      <c r="CR12" s="58">
        <v>498.97800000000001</v>
      </c>
      <c r="CS12" s="58">
        <v>338.98099999999999</v>
      </c>
      <c r="CT12" s="58">
        <v>929.53599999999994</v>
      </c>
      <c r="CU12" s="58">
        <v>387.19900000000001</v>
      </c>
      <c r="CV12" s="58">
        <v>542.33699999999999</v>
      </c>
      <c r="CW12" s="58">
        <v>466.81</v>
      </c>
      <c r="CX12" s="58">
        <v>232.08099999999999</v>
      </c>
      <c r="CY12" s="58">
        <v>234.72900000000001</v>
      </c>
      <c r="CZ12" s="58">
        <v>61.389000000000003</v>
      </c>
      <c r="DA12" s="58">
        <v>34.576999999999998</v>
      </c>
      <c r="DB12" s="58">
        <v>26.812999999999999</v>
      </c>
      <c r="DC12" s="58">
        <v>13.859</v>
      </c>
      <c r="DD12" s="58">
        <v>11.9</v>
      </c>
      <c r="DE12" s="58">
        <v>1.9590000000000001</v>
      </c>
      <c r="DF12" s="58">
        <v>7.5190000000000001</v>
      </c>
      <c r="DG12" s="58">
        <v>6.7229999999999999</v>
      </c>
      <c r="DH12" s="58">
        <v>0.79600000000000004</v>
      </c>
      <c r="DI12" s="58">
        <v>6.34</v>
      </c>
      <c r="DJ12" s="58">
        <v>5.1769999999999996</v>
      </c>
      <c r="DK12" s="58">
        <v>1.163</v>
      </c>
      <c r="DL12" s="58">
        <v>47.53</v>
      </c>
      <c r="DM12" s="58">
        <v>22.677</v>
      </c>
      <c r="DN12" s="58">
        <v>24.853000000000002</v>
      </c>
      <c r="DO12" s="58">
        <v>435.61399999999998</v>
      </c>
      <c r="DP12" s="58">
        <v>213.43299999999999</v>
      </c>
      <c r="DQ12" s="58">
        <v>222.18100000000001</v>
      </c>
      <c r="DR12" s="58">
        <v>110.428</v>
      </c>
      <c r="DS12" s="58">
        <v>72.096000000000004</v>
      </c>
      <c r="DT12" s="58">
        <v>38.332000000000001</v>
      </c>
      <c r="DU12" s="58">
        <v>325.18599999999998</v>
      </c>
      <c r="DV12" s="58">
        <v>141.33699999999999</v>
      </c>
      <c r="DW12" s="58">
        <v>183.84899999999999</v>
      </c>
      <c r="DX12" s="58">
        <v>119.554</v>
      </c>
      <c r="DY12" s="58">
        <v>79.808999999999997</v>
      </c>
      <c r="DZ12" s="58">
        <v>39.744</v>
      </c>
      <c r="EA12" s="58">
        <v>347.25599999999997</v>
      </c>
      <c r="EB12" s="58">
        <v>152.27199999999999</v>
      </c>
      <c r="EC12" s="58">
        <v>194.98500000000001</v>
      </c>
      <c r="ED12" s="58">
        <v>332.70499999999998</v>
      </c>
      <c r="EE12" s="58">
        <v>148.06</v>
      </c>
      <c r="EF12" s="58">
        <v>184.64400000000001</v>
      </c>
      <c r="EG12" s="58">
        <v>632.73</v>
      </c>
      <c r="EH12" s="58">
        <v>306.274</v>
      </c>
      <c r="EI12" s="58">
        <v>326.45600000000002</v>
      </c>
      <c r="EJ12" s="58">
        <v>143.21299999999999</v>
      </c>
      <c r="EK12" s="58">
        <v>96.406000000000006</v>
      </c>
      <c r="EL12" s="58">
        <v>46.807000000000002</v>
      </c>
      <c r="EM12" s="58">
        <v>489.517</v>
      </c>
      <c r="EN12" s="58">
        <v>209.86799999999999</v>
      </c>
      <c r="EO12" s="58">
        <v>279.649</v>
      </c>
      <c r="EP12" s="58">
        <v>197.66</v>
      </c>
      <c r="EQ12" s="58">
        <v>93.51</v>
      </c>
      <c r="ER12" s="58">
        <v>104.15</v>
      </c>
      <c r="ES12" s="58">
        <v>31.445</v>
      </c>
      <c r="ET12" s="58">
        <v>16.190999999999999</v>
      </c>
      <c r="EU12" s="58">
        <v>15.254</v>
      </c>
      <c r="EV12" s="58">
        <v>2.66</v>
      </c>
      <c r="EW12" s="58">
        <v>2.113</v>
      </c>
      <c r="EX12" s="58">
        <v>0.54700000000000004</v>
      </c>
      <c r="EY12" s="58">
        <v>1.327</v>
      </c>
      <c r="EZ12" s="58">
        <v>0.78</v>
      </c>
      <c r="FA12" s="58">
        <v>0.54700000000000004</v>
      </c>
      <c r="FB12" s="58">
        <v>1.333</v>
      </c>
      <c r="FC12" s="58">
        <v>1.333</v>
      </c>
      <c r="FD12" s="58">
        <v>0</v>
      </c>
      <c r="FE12" s="58">
        <v>28.785</v>
      </c>
      <c r="FF12" s="58">
        <v>14.077999999999999</v>
      </c>
      <c r="FG12" s="58">
        <v>14.707000000000001</v>
      </c>
      <c r="FH12" s="58">
        <v>182.28700000000001</v>
      </c>
      <c r="FI12" s="58">
        <v>84.637</v>
      </c>
      <c r="FJ12" s="58">
        <v>97.65</v>
      </c>
      <c r="FK12" s="58">
        <v>26.754000000000001</v>
      </c>
      <c r="FL12" s="58">
        <v>19.890999999999998</v>
      </c>
      <c r="FM12" s="58">
        <v>6.8630000000000004</v>
      </c>
      <c r="FN12" s="58">
        <v>155.53299999999999</v>
      </c>
      <c r="FO12" s="58">
        <v>64.745999999999995</v>
      </c>
      <c r="FP12" s="58">
        <v>90.787000000000006</v>
      </c>
      <c r="FQ12" s="58">
        <v>27.533000000000001</v>
      </c>
      <c r="FR12" s="58">
        <v>20.67</v>
      </c>
      <c r="FS12" s="58">
        <v>6.8630000000000004</v>
      </c>
      <c r="FT12" s="58">
        <v>170.12700000000001</v>
      </c>
      <c r="FU12" s="58">
        <v>72.84</v>
      </c>
      <c r="FV12" s="58">
        <v>97.287000000000006</v>
      </c>
      <c r="FW12" s="58">
        <v>156.86000000000001</v>
      </c>
      <c r="FX12" s="58">
        <v>65.525999999999996</v>
      </c>
      <c r="FY12" s="58">
        <v>91.334000000000003</v>
      </c>
      <c r="FZ12" s="58">
        <v>1134.7650000000001</v>
      </c>
      <c r="GA12" s="58">
        <v>579.90300000000002</v>
      </c>
      <c r="GB12" s="58">
        <v>554.86199999999997</v>
      </c>
      <c r="GC12" s="58">
        <v>694.74599999999998</v>
      </c>
      <c r="GD12" s="58">
        <v>402.572</v>
      </c>
      <c r="GE12" s="58">
        <v>292.17399999999998</v>
      </c>
      <c r="GF12" s="58">
        <v>440.01900000000001</v>
      </c>
      <c r="GG12" s="58">
        <v>177.33099999999999</v>
      </c>
      <c r="GH12" s="58">
        <v>262.68799999999999</v>
      </c>
      <c r="GI12" s="58">
        <v>269.14999999999998</v>
      </c>
      <c r="GJ12" s="58">
        <v>138.571</v>
      </c>
      <c r="GK12" s="58">
        <v>130.57900000000001</v>
      </c>
      <c r="GL12" s="58">
        <v>29.943999999999999</v>
      </c>
      <c r="GM12" s="58">
        <v>18.385999999999999</v>
      </c>
      <c r="GN12" s="58">
        <v>11.558</v>
      </c>
      <c r="GO12" s="58">
        <v>11.199</v>
      </c>
      <c r="GP12" s="58">
        <v>9.7870000000000008</v>
      </c>
      <c r="GQ12" s="58">
        <v>1.4119999999999999</v>
      </c>
      <c r="GR12" s="58">
        <v>6.1920000000000002</v>
      </c>
      <c r="GS12" s="58">
        <v>5.9429999999999996</v>
      </c>
      <c r="GT12" s="58">
        <v>0.249</v>
      </c>
      <c r="GU12" s="58">
        <v>5.0069999999999997</v>
      </c>
      <c r="GV12" s="58">
        <v>3.8439999999999999</v>
      </c>
      <c r="GW12" s="58">
        <v>1.163</v>
      </c>
      <c r="GX12" s="58">
        <v>18.745000000000001</v>
      </c>
      <c r="GY12" s="58">
        <v>8.5990000000000002</v>
      </c>
      <c r="GZ12" s="58">
        <v>10.146000000000001</v>
      </c>
      <c r="HA12" s="58">
        <v>253.327</v>
      </c>
      <c r="HB12" s="58">
        <v>128.79599999999999</v>
      </c>
      <c r="HC12" s="58">
        <v>124.53100000000001</v>
      </c>
      <c r="HD12" s="58">
        <v>83.674000000000007</v>
      </c>
      <c r="HE12" s="58">
        <v>52.204999999999998</v>
      </c>
      <c r="HF12" s="58">
        <v>31.469000000000001</v>
      </c>
      <c r="HG12" s="58">
        <v>169.65199999999999</v>
      </c>
      <c r="HH12" s="58">
        <v>76.590999999999994</v>
      </c>
      <c r="HI12" s="58">
        <v>93.061000000000007</v>
      </c>
      <c r="HJ12" s="58">
        <v>92.021000000000001</v>
      </c>
      <c r="HK12" s="58">
        <v>59.139000000000003</v>
      </c>
      <c r="HL12" s="58">
        <v>32.881</v>
      </c>
      <c r="HM12" s="58">
        <v>177.13</v>
      </c>
      <c r="HN12" s="58">
        <v>79.432000000000002</v>
      </c>
      <c r="HO12" s="58">
        <v>97.697999999999993</v>
      </c>
      <c r="HP12" s="58">
        <v>175.84399999999999</v>
      </c>
      <c r="HQ12" s="58">
        <v>82.534999999999997</v>
      </c>
      <c r="HR12" s="58">
        <v>93.31</v>
      </c>
      <c r="HS12" s="58">
        <v>2684.4209999999998</v>
      </c>
      <c r="HT12" s="58">
        <v>1470.854</v>
      </c>
      <c r="HU12" s="58">
        <v>1213.568</v>
      </c>
      <c r="HV12" s="58">
        <v>2087.0619999999999</v>
      </c>
      <c r="HW12" s="58">
        <v>1290.2</v>
      </c>
      <c r="HX12" s="58">
        <v>796.86199999999997</v>
      </c>
      <c r="HY12" s="58">
        <v>597.35900000000004</v>
      </c>
      <c r="HZ12" s="58">
        <v>180.65299999999999</v>
      </c>
      <c r="IA12" s="58">
        <v>416.70600000000002</v>
      </c>
      <c r="IB12" s="58">
        <v>385.84699999999998</v>
      </c>
      <c r="IC12" s="58">
        <v>233.19300000000001</v>
      </c>
      <c r="ID12" s="58">
        <v>152.654</v>
      </c>
      <c r="IE12" s="58">
        <v>48.996000000000002</v>
      </c>
      <c r="IF12" s="58">
        <v>26.908999999999999</v>
      </c>
      <c r="IG12" s="58">
        <v>22.087</v>
      </c>
      <c r="IH12" s="58">
        <v>21.137</v>
      </c>
      <c r="II12" s="58">
        <v>14.904</v>
      </c>
      <c r="IJ12" s="58">
        <v>6.2329999999999997</v>
      </c>
      <c r="IK12" s="58">
        <v>10.228</v>
      </c>
      <c r="IL12" s="58">
        <v>8.0549999999999997</v>
      </c>
      <c r="IM12" s="58">
        <v>2.1720000000000002</v>
      </c>
      <c r="IN12" s="58">
        <v>10.909000000000001</v>
      </c>
      <c r="IO12" s="58">
        <v>6.8490000000000002</v>
      </c>
      <c r="IP12" s="58">
        <v>4.0599999999999996</v>
      </c>
      <c r="IQ12" s="58">
        <v>27.859000000000002</v>
      </c>
    </row>
    <row r="13" spans="1:251">
      <c r="A13" s="5">
        <v>41883</v>
      </c>
      <c r="B13" s="58">
        <v>11533.778</v>
      </c>
      <c r="C13" s="58">
        <v>6214.9790000000003</v>
      </c>
      <c r="D13" s="58">
        <v>5318.799</v>
      </c>
      <c r="E13" s="58">
        <v>7978.3720000000003</v>
      </c>
      <c r="F13" s="58">
        <v>5130.9679999999998</v>
      </c>
      <c r="G13" s="58">
        <v>2847.404</v>
      </c>
      <c r="H13" s="58">
        <v>3555.4059999999999</v>
      </c>
      <c r="I13" s="58">
        <v>1084.011</v>
      </c>
      <c r="J13" s="58">
        <v>2471.395</v>
      </c>
      <c r="K13" s="58">
        <v>1787.4059999999999</v>
      </c>
      <c r="L13" s="58">
        <v>959.952</v>
      </c>
      <c r="M13" s="58">
        <v>827.45399999999995</v>
      </c>
      <c r="N13" s="58">
        <v>343.45</v>
      </c>
      <c r="O13" s="58">
        <v>198.55500000000001</v>
      </c>
      <c r="P13" s="58">
        <v>144.89500000000001</v>
      </c>
      <c r="Q13" s="58">
        <v>144.75200000000001</v>
      </c>
      <c r="R13" s="58">
        <v>108.01300000000001</v>
      </c>
      <c r="S13" s="58">
        <v>36.738999999999997</v>
      </c>
      <c r="T13" s="58">
        <v>78.308999999999997</v>
      </c>
      <c r="U13" s="58">
        <v>61.482999999999997</v>
      </c>
      <c r="V13" s="58">
        <v>16.826000000000001</v>
      </c>
      <c r="W13" s="58">
        <v>66.442999999999998</v>
      </c>
      <c r="X13" s="58">
        <v>46.53</v>
      </c>
      <c r="Y13" s="58">
        <v>19.913</v>
      </c>
      <c r="Z13" s="58">
        <v>198.69800000000001</v>
      </c>
      <c r="AA13" s="58">
        <v>90.542000000000002</v>
      </c>
      <c r="AB13" s="58">
        <v>108.15600000000001</v>
      </c>
      <c r="AC13" s="58">
        <v>1589.15</v>
      </c>
      <c r="AD13" s="58">
        <v>847.779</v>
      </c>
      <c r="AE13" s="58">
        <v>741.37099999999998</v>
      </c>
      <c r="AF13" s="58">
        <v>633.702</v>
      </c>
      <c r="AG13" s="58">
        <v>478.96600000000001</v>
      </c>
      <c r="AH13" s="58">
        <v>154.73599999999999</v>
      </c>
      <c r="AI13" s="58">
        <v>955.44899999999996</v>
      </c>
      <c r="AJ13" s="58">
        <v>368.81299999999999</v>
      </c>
      <c r="AK13" s="58">
        <v>586.63499999999999</v>
      </c>
      <c r="AL13" s="58">
        <v>738.53300000000002</v>
      </c>
      <c r="AM13" s="58">
        <v>555.56299999999999</v>
      </c>
      <c r="AN13" s="58">
        <v>182.97</v>
      </c>
      <c r="AO13" s="58">
        <v>1048.874</v>
      </c>
      <c r="AP13" s="58">
        <v>404.38900000000001</v>
      </c>
      <c r="AQ13" s="58">
        <v>644.48400000000004</v>
      </c>
      <c r="AR13" s="58">
        <v>1033.758</v>
      </c>
      <c r="AS13" s="58">
        <v>430.29599999999999</v>
      </c>
      <c r="AT13" s="58">
        <v>603.46100000000001</v>
      </c>
      <c r="AU13" s="58">
        <v>11109.949000000001</v>
      </c>
      <c r="AV13" s="58">
        <v>5948.8739999999998</v>
      </c>
      <c r="AW13" s="58">
        <v>5161.0749999999998</v>
      </c>
      <c r="AX13" s="58">
        <v>7804.7979999999998</v>
      </c>
      <c r="AY13" s="58">
        <v>4996.8739999999998</v>
      </c>
      <c r="AZ13" s="58">
        <v>2807.924</v>
      </c>
      <c r="BA13" s="58">
        <v>3305.1509999999998</v>
      </c>
      <c r="BB13" s="58">
        <v>952</v>
      </c>
      <c r="BC13" s="58">
        <v>2353.152</v>
      </c>
      <c r="BD13" s="58">
        <v>1738.2360000000001</v>
      </c>
      <c r="BE13" s="58">
        <v>925.24900000000002</v>
      </c>
      <c r="BF13" s="58">
        <v>812.98599999999999</v>
      </c>
      <c r="BG13" s="58">
        <v>319.13200000000001</v>
      </c>
      <c r="BH13" s="58">
        <v>181.82300000000001</v>
      </c>
      <c r="BI13" s="58">
        <v>137.309</v>
      </c>
      <c r="BJ13" s="58">
        <v>138.28700000000001</v>
      </c>
      <c r="BK13" s="58">
        <v>102.69199999999999</v>
      </c>
      <c r="BL13" s="58">
        <v>35.594999999999999</v>
      </c>
      <c r="BM13" s="58">
        <v>73.147000000000006</v>
      </c>
      <c r="BN13" s="58">
        <v>57.033000000000001</v>
      </c>
      <c r="BO13" s="58">
        <v>16.114000000000001</v>
      </c>
      <c r="BP13" s="58">
        <v>65.138999999999996</v>
      </c>
      <c r="BQ13" s="58">
        <v>45.658999999999999</v>
      </c>
      <c r="BR13" s="58">
        <v>19.481000000000002</v>
      </c>
      <c r="BS13" s="58">
        <v>180.846</v>
      </c>
      <c r="BT13" s="58">
        <v>79.132000000000005</v>
      </c>
      <c r="BU13" s="58">
        <v>101.714</v>
      </c>
      <c r="BV13" s="58">
        <v>1559.6469999999999</v>
      </c>
      <c r="BW13" s="58">
        <v>826.43</v>
      </c>
      <c r="BX13" s="58">
        <v>733.21699999999998</v>
      </c>
      <c r="BY13" s="58">
        <v>624.45100000000002</v>
      </c>
      <c r="BZ13" s="58">
        <v>471.34100000000001</v>
      </c>
      <c r="CA13" s="58">
        <v>153.11000000000001</v>
      </c>
      <c r="CB13" s="58">
        <v>935.19600000000003</v>
      </c>
      <c r="CC13" s="58">
        <v>355.089</v>
      </c>
      <c r="CD13" s="58">
        <v>580.10699999999997</v>
      </c>
      <c r="CE13" s="58">
        <v>723.69200000000001</v>
      </c>
      <c r="CF13" s="58">
        <v>543.49099999999999</v>
      </c>
      <c r="CG13" s="58">
        <v>180.2</v>
      </c>
      <c r="CH13" s="58">
        <v>1014.544</v>
      </c>
      <c r="CI13" s="58">
        <v>381.75799999999998</v>
      </c>
      <c r="CJ13" s="58">
        <v>632.78599999999994</v>
      </c>
      <c r="CK13" s="58">
        <v>1008.343</v>
      </c>
      <c r="CL13" s="58">
        <v>412.12200000000001</v>
      </c>
      <c r="CM13" s="58">
        <v>596.221</v>
      </c>
      <c r="CN13" s="58">
        <v>1770.5219999999999</v>
      </c>
      <c r="CO13" s="58">
        <v>897.04</v>
      </c>
      <c r="CP13" s="58">
        <v>873.48299999999995</v>
      </c>
      <c r="CQ13" s="58">
        <v>840.88900000000001</v>
      </c>
      <c r="CR13" s="58">
        <v>502.83499999999998</v>
      </c>
      <c r="CS13" s="58">
        <v>338.05399999999997</v>
      </c>
      <c r="CT13" s="58">
        <v>929.63300000000004</v>
      </c>
      <c r="CU13" s="58">
        <v>394.20400000000001</v>
      </c>
      <c r="CV13" s="58">
        <v>535.42899999999997</v>
      </c>
      <c r="CW13" s="58">
        <v>467.24</v>
      </c>
      <c r="CX13" s="58">
        <v>235.24299999999999</v>
      </c>
      <c r="CY13" s="58">
        <v>231.99700000000001</v>
      </c>
      <c r="CZ13" s="58">
        <v>78.938999999999993</v>
      </c>
      <c r="DA13" s="58">
        <v>37.976999999999997</v>
      </c>
      <c r="DB13" s="58">
        <v>40.963000000000001</v>
      </c>
      <c r="DC13" s="58">
        <v>20.484000000000002</v>
      </c>
      <c r="DD13" s="58">
        <v>14.291</v>
      </c>
      <c r="DE13" s="58">
        <v>6.1929999999999996</v>
      </c>
      <c r="DF13" s="58">
        <v>11.741</v>
      </c>
      <c r="DG13" s="58">
        <v>8.9540000000000006</v>
      </c>
      <c r="DH13" s="58">
        <v>2.7869999999999999</v>
      </c>
      <c r="DI13" s="58">
        <v>8.7430000000000003</v>
      </c>
      <c r="DJ13" s="58">
        <v>5.3369999999999997</v>
      </c>
      <c r="DK13" s="58">
        <v>3.4049999999999998</v>
      </c>
      <c r="DL13" s="58">
        <v>58.456000000000003</v>
      </c>
      <c r="DM13" s="58">
        <v>23.686</v>
      </c>
      <c r="DN13" s="58">
        <v>34.770000000000003</v>
      </c>
      <c r="DO13" s="58">
        <v>431.78199999999998</v>
      </c>
      <c r="DP13" s="58">
        <v>217.494</v>
      </c>
      <c r="DQ13" s="58">
        <v>214.28800000000001</v>
      </c>
      <c r="DR13" s="58">
        <v>110.535</v>
      </c>
      <c r="DS13" s="58">
        <v>77.05</v>
      </c>
      <c r="DT13" s="58">
        <v>33.485999999999997</v>
      </c>
      <c r="DU13" s="58">
        <v>321.24700000000001</v>
      </c>
      <c r="DV13" s="58">
        <v>140.44399999999999</v>
      </c>
      <c r="DW13" s="58">
        <v>180.80199999999999</v>
      </c>
      <c r="DX13" s="58">
        <v>120.437</v>
      </c>
      <c r="DY13" s="58">
        <v>84.341999999999999</v>
      </c>
      <c r="DZ13" s="58">
        <v>36.094000000000001</v>
      </c>
      <c r="EA13" s="58">
        <v>346.80399999999997</v>
      </c>
      <c r="EB13" s="58">
        <v>150.90100000000001</v>
      </c>
      <c r="EC13" s="58">
        <v>195.90299999999999</v>
      </c>
      <c r="ED13" s="58">
        <v>332.988</v>
      </c>
      <c r="EE13" s="58">
        <v>149.398</v>
      </c>
      <c r="EF13" s="58">
        <v>183.59</v>
      </c>
      <c r="EG13" s="58">
        <v>627.39700000000005</v>
      </c>
      <c r="EH13" s="58">
        <v>300.17099999999999</v>
      </c>
      <c r="EI13" s="58">
        <v>327.226</v>
      </c>
      <c r="EJ13" s="58">
        <v>145.453</v>
      </c>
      <c r="EK13" s="58">
        <v>98.231999999999999</v>
      </c>
      <c r="EL13" s="58">
        <v>47.22</v>
      </c>
      <c r="EM13" s="58">
        <v>481.94499999999999</v>
      </c>
      <c r="EN13" s="58">
        <v>201.93899999999999</v>
      </c>
      <c r="EO13" s="58">
        <v>280.00599999999997</v>
      </c>
      <c r="EP13" s="58">
        <v>197.33</v>
      </c>
      <c r="EQ13" s="58">
        <v>87.052000000000007</v>
      </c>
      <c r="ER13" s="58">
        <v>110.27800000000001</v>
      </c>
      <c r="ES13" s="58">
        <v>35.561</v>
      </c>
      <c r="ET13" s="58">
        <v>11.452999999999999</v>
      </c>
      <c r="EU13" s="58">
        <v>24.108000000000001</v>
      </c>
      <c r="EV13" s="58">
        <v>2.2210000000000001</v>
      </c>
      <c r="EW13" s="58">
        <v>1.722</v>
      </c>
      <c r="EX13" s="58">
        <v>0.499</v>
      </c>
      <c r="EY13" s="58">
        <v>0.89800000000000002</v>
      </c>
      <c r="EZ13" s="58">
        <v>0.39900000000000002</v>
      </c>
      <c r="FA13" s="58">
        <v>0.499</v>
      </c>
      <c r="FB13" s="58">
        <v>1.323</v>
      </c>
      <c r="FC13" s="58">
        <v>1.323</v>
      </c>
      <c r="FD13" s="58">
        <v>0</v>
      </c>
      <c r="FE13" s="58">
        <v>33.340000000000003</v>
      </c>
      <c r="FF13" s="58">
        <v>9.73</v>
      </c>
      <c r="FG13" s="58">
        <v>23.609000000000002</v>
      </c>
      <c r="FH13" s="58">
        <v>178.03</v>
      </c>
      <c r="FI13" s="58">
        <v>79.228999999999999</v>
      </c>
      <c r="FJ13" s="58">
        <v>98.801000000000002</v>
      </c>
      <c r="FK13" s="58">
        <v>21.359000000000002</v>
      </c>
      <c r="FL13" s="58">
        <v>14.88</v>
      </c>
      <c r="FM13" s="58">
        <v>6.4790000000000001</v>
      </c>
      <c r="FN13" s="58">
        <v>156.67099999999999</v>
      </c>
      <c r="FO13" s="58">
        <v>64.349000000000004</v>
      </c>
      <c r="FP13" s="58">
        <v>92.320999999999998</v>
      </c>
      <c r="FQ13" s="58">
        <v>23.283000000000001</v>
      </c>
      <c r="FR13" s="58">
        <v>16.303999999999998</v>
      </c>
      <c r="FS13" s="58">
        <v>6.9779999999999998</v>
      </c>
      <c r="FT13" s="58">
        <v>174.047</v>
      </c>
      <c r="FU13" s="58">
        <v>70.747</v>
      </c>
      <c r="FV13" s="58">
        <v>103.3</v>
      </c>
      <c r="FW13" s="58">
        <v>157.56800000000001</v>
      </c>
      <c r="FX13" s="58">
        <v>64.748000000000005</v>
      </c>
      <c r="FY13" s="58">
        <v>92.82</v>
      </c>
      <c r="FZ13" s="58">
        <v>1143.125</v>
      </c>
      <c r="GA13" s="58">
        <v>596.86800000000005</v>
      </c>
      <c r="GB13" s="58">
        <v>546.25699999999995</v>
      </c>
      <c r="GC13" s="58">
        <v>695.43700000000001</v>
      </c>
      <c r="GD13" s="58">
        <v>404.60300000000001</v>
      </c>
      <c r="GE13" s="58">
        <v>290.834</v>
      </c>
      <c r="GF13" s="58">
        <v>447.68799999999999</v>
      </c>
      <c r="GG13" s="58">
        <v>192.26499999999999</v>
      </c>
      <c r="GH13" s="58">
        <v>255.423</v>
      </c>
      <c r="GI13" s="58">
        <v>269.91000000000003</v>
      </c>
      <c r="GJ13" s="58">
        <v>148.19200000000001</v>
      </c>
      <c r="GK13" s="58">
        <v>121.71899999999999</v>
      </c>
      <c r="GL13" s="58">
        <v>43.378999999999998</v>
      </c>
      <c r="GM13" s="58">
        <v>26.524000000000001</v>
      </c>
      <c r="GN13" s="58">
        <v>16.853999999999999</v>
      </c>
      <c r="GO13" s="58">
        <v>18.263000000000002</v>
      </c>
      <c r="GP13" s="58">
        <v>12.569000000000001</v>
      </c>
      <c r="GQ13" s="58">
        <v>5.694</v>
      </c>
      <c r="GR13" s="58">
        <v>10.843999999999999</v>
      </c>
      <c r="GS13" s="58">
        <v>8.5549999999999997</v>
      </c>
      <c r="GT13" s="58">
        <v>2.2879999999999998</v>
      </c>
      <c r="GU13" s="58">
        <v>7.4189999999999996</v>
      </c>
      <c r="GV13" s="58">
        <v>4.0140000000000002</v>
      </c>
      <c r="GW13" s="58">
        <v>3.4049999999999998</v>
      </c>
      <c r="GX13" s="58">
        <v>25.116</v>
      </c>
      <c r="GY13" s="58">
        <v>13.955</v>
      </c>
      <c r="GZ13" s="58">
        <v>11.161</v>
      </c>
      <c r="HA13" s="58">
        <v>253.75200000000001</v>
      </c>
      <c r="HB13" s="58">
        <v>138.26499999999999</v>
      </c>
      <c r="HC13" s="58">
        <v>115.488</v>
      </c>
      <c r="HD13" s="58">
        <v>89.176000000000002</v>
      </c>
      <c r="HE13" s="58">
        <v>62.17</v>
      </c>
      <c r="HF13" s="58">
        <v>27.006</v>
      </c>
      <c r="HG13" s="58">
        <v>164.57599999999999</v>
      </c>
      <c r="HH13" s="58">
        <v>76.094999999999999</v>
      </c>
      <c r="HI13" s="58">
        <v>88.480999999999995</v>
      </c>
      <c r="HJ13" s="58">
        <v>97.153999999999996</v>
      </c>
      <c r="HK13" s="58">
        <v>68.037999999999997</v>
      </c>
      <c r="HL13" s="58">
        <v>29.116</v>
      </c>
      <c r="HM13" s="58">
        <v>172.75700000000001</v>
      </c>
      <c r="HN13" s="58">
        <v>80.153999999999996</v>
      </c>
      <c r="HO13" s="58">
        <v>92.602999999999994</v>
      </c>
      <c r="HP13" s="58">
        <v>175.42</v>
      </c>
      <c r="HQ13" s="58">
        <v>84.65</v>
      </c>
      <c r="HR13" s="58">
        <v>90.77</v>
      </c>
      <c r="HS13" s="58">
        <v>2698.5940000000001</v>
      </c>
      <c r="HT13" s="58">
        <v>1483.787</v>
      </c>
      <c r="HU13" s="58">
        <v>1214.806</v>
      </c>
      <c r="HV13" s="58">
        <v>2123.6689999999999</v>
      </c>
      <c r="HW13" s="58">
        <v>1319.578</v>
      </c>
      <c r="HX13" s="58">
        <v>804.09100000000001</v>
      </c>
      <c r="HY13" s="58">
        <v>574.92499999999995</v>
      </c>
      <c r="HZ13" s="58">
        <v>164.21</v>
      </c>
      <c r="IA13" s="58">
        <v>410.71499999999997</v>
      </c>
      <c r="IB13" s="58">
        <v>408.78199999999998</v>
      </c>
      <c r="IC13" s="58">
        <v>251.00200000000001</v>
      </c>
      <c r="ID13" s="58">
        <v>157.78</v>
      </c>
      <c r="IE13" s="58">
        <v>62.536000000000001</v>
      </c>
      <c r="IF13" s="58">
        <v>40.527999999999999</v>
      </c>
      <c r="IG13" s="58">
        <v>22.007999999999999</v>
      </c>
      <c r="IH13" s="58">
        <v>36.171999999999997</v>
      </c>
      <c r="II13" s="58">
        <v>25.646000000000001</v>
      </c>
      <c r="IJ13" s="58">
        <v>10.526</v>
      </c>
      <c r="IK13" s="58">
        <v>17.303000000000001</v>
      </c>
      <c r="IL13" s="58">
        <v>11.565</v>
      </c>
      <c r="IM13" s="58">
        <v>5.7380000000000004</v>
      </c>
      <c r="IN13" s="58">
        <v>18.869</v>
      </c>
      <c r="IO13" s="58">
        <v>14.081</v>
      </c>
      <c r="IP13" s="58">
        <v>4.7880000000000003</v>
      </c>
      <c r="IQ13" s="58">
        <v>26.364000000000001</v>
      </c>
    </row>
    <row r="14" spans="1:251">
      <c r="A14" s="5">
        <v>41913</v>
      </c>
      <c r="B14" s="58">
        <v>11550.147000000001</v>
      </c>
      <c r="C14" s="58">
        <v>6229.6909999999998</v>
      </c>
      <c r="D14" s="58">
        <v>5320.4570000000003</v>
      </c>
      <c r="E14" s="58">
        <v>7981.6869999999999</v>
      </c>
      <c r="F14" s="58">
        <v>5134.1970000000001</v>
      </c>
      <c r="G14" s="58">
        <v>2847.49</v>
      </c>
      <c r="H14" s="58">
        <v>3568.46</v>
      </c>
      <c r="I14" s="58">
        <v>1095.4939999999999</v>
      </c>
      <c r="J14" s="58">
        <v>2472.9659999999999</v>
      </c>
      <c r="K14" s="58">
        <v>1656.2860000000001</v>
      </c>
      <c r="L14" s="58">
        <v>894.36300000000006</v>
      </c>
      <c r="M14" s="58">
        <v>761.923</v>
      </c>
      <c r="N14" s="58">
        <v>280.95800000000003</v>
      </c>
      <c r="O14" s="58">
        <v>169.114</v>
      </c>
      <c r="P14" s="58">
        <v>111.84399999999999</v>
      </c>
      <c r="Q14" s="58">
        <v>106.694</v>
      </c>
      <c r="R14" s="58">
        <v>85.935000000000002</v>
      </c>
      <c r="S14" s="58">
        <v>20.759</v>
      </c>
      <c r="T14" s="58">
        <v>59.594999999999999</v>
      </c>
      <c r="U14" s="58">
        <v>47.24</v>
      </c>
      <c r="V14" s="58">
        <v>12.353999999999999</v>
      </c>
      <c r="W14" s="58">
        <v>47.098999999999997</v>
      </c>
      <c r="X14" s="58">
        <v>38.695</v>
      </c>
      <c r="Y14" s="58">
        <v>8.4049999999999994</v>
      </c>
      <c r="Z14" s="58">
        <v>174.26499999999999</v>
      </c>
      <c r="AA14" s="58">
        <v>83.179000000000002</v>
      </c>
      <c r="AB14" s="58">
        <v>91.084999999999994</v>
      </c>
      <c r="AC14" s="58">
        <v>1496.32</v>
      </c>
      <c r="AD14" s="58">
        <v>800.048</v>
      </c>
      <c r="AE14" s="58">
        <v>696.27099999999996</v>
      </c>
      <c r="AF14" s="58">
        <v>590.67899999999997</v>
      </c>
      <c r="AG14" s="58">
        <v>449.11700000000002</v>
      </c>
      <c r="AH14" s="58">
        <v>141.56200000000001</v>
      </c>
      <c r="AI14" s="58">
        <v>905.64099999999996</v>
      </c>
      <c r="AJ14" s="58">
        <v>350.93099999999998</v>
      </c>
      <c r="AK14" s="58">
        <v>554.70899999999995</v>
      </c>
      <c r="AL14" s="58">
        <v>667.34799999999996</v>
      </c>
      <c r="AM14" s="58">
        <v>507.91</v>
      </c>
      <c r="AN14" s="58">
        <v>159.43899999999999</v>
      </c>
      <c r="AO14" s="58">
        <v>988.93700000000001</v>
      </c>
      <c r="AP14" s="58">
        <v>386.45299999999997</v>
      </c>
      <c r="AQ14" s="58">
        <v>602.48400000000004</v>
      </c>
      <c r="AR14" s="58">
        <v>965.23500000000001</v>
      </c>
      <c r="AS14" s="58">
        <v>398.17099999999999</v>
      </c>
      <c r="AT14" s="58">
        <v>567.06399999999996</v>
      </c>
      <c r="AU14" s="58">
        <v>11134.843000000001</v>
      </c>
      <c r="AV14" s="58">
        <v>5965.1459999999997</v>
      </c>
      <c r="AW14" s="58">
        <v>5169.6959999999999</v>
      </c>
      <c r="AX14" s="58">
        <v>7804.9930000000004</v>
      </c>
      <c r="AY14" s="58">
        <v>4998.915</v>
      </c>
      <c r="AZ14" s="58">
        <v>2806.0770000000002</v>
      </c>
      <c r="BA14" s="58">
        <v>3329.85</v>
      </c>
      <c r="BB14" s="58">
        <v>966.23099999999999</v>
      </c>
      <c r="BC14" s="58">
        <v>2363.6190000000001</v>
      </c>
      <c r="BD14" s="58">
        <v>1619.383</v>
      </c>
      <c r="BE14" s="58">
        <v>867.64499999999998</v>
      </c>
      <c r="BF14" s="58">
        <v>751.73800000000006</v>
      </c>
      <c r="BG14" s="58">
        <v>264.17599999999999</v>
      </c>
      <c r="BH14" s="58">
        <v>156.03700000000001</v>
      </c>
      <c r="BI14" s="58">
        <v>108.14</v>
      </c>
      <c r="BJ14" s="58">
        <v>104.583</v>
      </c>
      <c r="BK14" s="58">
        <v>84.287000000000006</v>
      </c>
      <c r="BL14" s="58">
        <v>20.295999999999999</v>
      </c>
      <c r="BM14" s="58">
        <v>59.131</v>
      </c>
      <c r="BN14" s="58">
        <v>47.24</v>
      </c>
      <c r="BO14" s="58">
        <v>11.891</v>
      </c>
      <c r="BP14" s="58">
        <v>45.451000000000001</v>
      </c>
      <c r="BQ14" s="58">
        <v>37.046999999999997</v>
      </c>
      <c r="BR14" s="58">
        <v>8.4049999999999994</v>
      </c>
      <c r="BS14" s="58">
        <v>159.59399999999999</v>
      </c>
      <c r="BT14" s="58">
        <v>71.75</v>
      </c>
      <c r="BU14" s="58">
        <v>87.843999999999994</v>
      </c>
      <c r="BV14" s="58">
        <v>1472.452</v>
      </c>
      <c r="BW14" s="58">
        <v>783.23500000000001</v>
      </c>
      <c r="BX14" s="58">
        <v>689.21799999999996</v>
      </c>
      <c r="BY14" s="58">
        <v>585.553</v>
      </c>
      <c r="BZ14" s="58">
        <v>444.10899999999998</v>
      </c>
      <c r="CA14" s="58">
        <v>141.44300000000001</v>
      </c>
      <c r="CB14" s="58">
        <v>886.9</v>
      </c>
      <c r="CC14" s="58">
        <v>339.12599999999998</v>
      </c>
      <c r="CD14" s="58">
        <v>547.774</v>
      </c>
      <c r="CE14" s="58">
        <v>660.245</v>
      </c>
      <c r="CF14" s="58">
        <v>501.38799999999998</v>
      </c>
      <c r="CG14" s="58">
        <v>158.857</v>
      </c>
      <c r="CH14" s="58">
        <v>959.13699999999994</v>
      </c>
      <c r="CI14" s="58">
        <v>366.25700000000001</v>
      </c>
      <c r="CJ14" s="58">
        <v>592.88099999999997</v>
      </c>
      <c r="CK14" s="58">
        <v>946.03099999999995</v>
      </c>
      <c r="CL14" s="58">
        <v>386.36599999999999</v>
      </c>
      <c r="CM14" s="58">
        <v>559.66499999999996</v>
      </c>
      <c r="CN14" s="58">
        <v>1778.45</v>
      </c>
      <c r="CO14" s="58">
        <v>902.87599999999998</v>
      </c>
      <c r="CP14" s="58">
        <v>875.57399999999996</v>
      </c>
      <c r="CQ14" s="58">
        <v>854.11599999999999</v>
      </c>
      <c r="CR14" s="58">
        <v>513.31200000000001</v>
      </c>
      <c r="CS14" s="58">
        <v>340.803</v>
      </c>
      <c r="CT14" s="58">
        <v>924.33399999999995</v>
      </c>
      <c r="CU14" s="58">
        <v>389.56400000000002</v>
      </c>
      <c r="CV14" s="58">
        <v>534.77099999999996</v>
      </c>
      <c r="CW14" s="58">
        <v>436.68299999999999</v>
      </c>
      <c r="CX14" s="58">
        <v>229.583</v>
      </c>
      <c r="CY14" s="58">
        <v>207.1</v>
      </c>
      <c r="CZ14" s="58">
        <v>62.569000000000003</v>
      </c>
      <c r="DA14" s="58">
        <v>38.845999999999997</v>
      </c>
      <c r="DB14" s="58">
        <v>23.724</v>
      </c>
      <c r="DC14" s="58">
        <v>18</v>
      </c>
      <c r="DD14" s="58">
        <v>15.335000000000001</v>
      </c>
      <c r="DE14" s="58">
        <v>2.665</v>
      </c>
      <c r="DF14" s="58">
        <v>14.49</v>
      </c>
      <c r="DG14" s="58">
        <v>12.689</v>
      </c>
      <c r="DH14" s="58">
        <v>1.802</v>
      </c>
      <c r="DI14" s="58">
        <v>3.5089999999999999</v>
      </c>
      <c r="DJ14" s="58">
        <v>2.6459999999999999</v>
      </c>
      <c r="DK14" s="58">
        <v>0.86299999999999999</v>
      </c>
      <c r="DL14" s="58">
        <v>44.57</v>
      </c>
      <c r="DM14" s="58">
        <v>23.510999999999999</v>
      </c>
      <c r="DN14" s="58">
        <v>21.059000000000001</v>
      </c>
      <c r="DO14" s="58">
        <v>410.18700000000001</v>
      </c>
      <c r="DP14" s="58">
        <v>214.095</v>
      </c>
      <c r="DQ14" s="58">
        <v>196.09299999999999</v>
      </c>
      <c r="DR14" s="58">
        <v>107.312</v>
      </c>
      <c r="DS14" s="58">
        <v>78.613</v>
      </c>
      <c r="DT14" s="58">
        <v>28.7</v>
      </c>
      <c r="DU14" s="58">
        <v>302.875</v>
      </c>
      <c r="DV14" s="58">
        <v>135.482</v>
      </c>
      <c r="DW14" s="58">
        <v>167.393</v>
      </c>
      <c r="DX14" s="58">
        <v>116.71899999999999</v>
      </c>
      <c r="DY14" s="58">
        <v>85.945999999999998</v>
      </c>
      <c r="DZ14" s="58">
        <v>30.773</v>
      </c>
      <c r="EA14" s="58">
        <v>319.964</v>
      </c>
      <c r="EB14" s="58">
        <v>143.637</v>
      </c>
      <c r="EC14" s="58">
        <v>176.328</v>
      </c>
      <c r="ED14" s="58">
        <v>317.36599999999999</v>
      </c>
      <c r="EE14" s="58">
        <v>148.17099999999999</v>
      </c>
      <c r="EF14" s="58">
        <v>169.19499999999999</v>
      </c>
      <c r="EG14" s="58">
        <v>631.00300000000004</v>
      </c>
      <c r="EH14" s="58">
        <v>306.98700000000002</v>
      </c>
      <c r="EI14" s="58">
        <v>324.01499999999999</v>
      </c>
      <c r="EJ14" s="58">
        <v>148.92699999999999</v>
      </c>
      <c r="EK14" s="58">
        <v>100.792</v>
      </c>
      <c r="EL14" s="58">
        <v>48.134999999999998</v>
      </c>
      <c r="EM14" s="58">
        <v>482.07499999999999</v>
      </c>
      <c r="EN14" s="58">
        <v>206.19499999999999</v>
      </c>
      <c r="EO14" s="58">
        <v>275.88</v>
      </c>
      <c r="EP14" s="58">
        <v>183.804</v>
      </c>
      <c r="EQ14" s="58">
        <v>89.26</v>
      </c>
      <c r="ER14" s="58">
        <v>94.543999999999997</v>
      </c>
      <c r="ES14" s="58">
        <v>23.202000000000002</v>
      </c>
      <c r="ET14" s="58">
        <v>12.146000000000001</v>
      </c>
      <c r="EU14" s="58">
        <v>11.055999999999999</v>
      </c>
      <c r="EV14" s="58">
        <v>5.2030000000000003</v>
      </c>
      <c r="EW14" s="58">
        <v>4.0629999999999997</v>
      </c>
      <c r="EX14" s="58">
        <v>1.1399999999999999</v>
      </c>
      <c r="EY14" s="58">
        <v>5.0309999999999997</v>
      </c>
      <c r="EZ14" s="58">
        <v>4.0629999999999997</v>
      </c>
      <c r="FA14" s="58">
        <v>0.96899999999999997</v>
      </c>
      <c r="FB14" s="58">
        <v>0.17100000000000001</v>
      </c>
      <c r="FC14" s="58">
        <v>0</v>
      </c>
      <c r="FD14" s="58">
        <v>0.17100000000000001</v>
      </c>
      <c r="FE14" s="58">
        <v>17.998999999999999</v>
      </c>
      <c r="FF14" s="58">
        <v>8.0830000000000002</v>
      </c>
      <c r="FG14" s="58">
        <v>9.9160000000000004</v>
      </c>
      <c r="FH14" s="58">
        <v>171.75200000000001</v>
      </c>
      <c r="FI14" s="58">
        <v>82.328999999999994</v>
      </c>
      <c r="FJ14" s="58">
        <v>89.423000000000002</v>
      </c>
      <c r="FK14" s="58">
        <v>20.597000000000001</v>
      </c>
      <c r="FL14" s="58">
        <v>16.512</v>
      </c>
      <c r="FM14" s="58">
        <v>4.0860000000000003</v>
      </c>
      <c r="FN14" s="58">
        <v>151.155</v>
      </c>
      <c r="FO14" s="58">
        <v>65.816999999999993</v>
      </c>
      <c r="FP14" s="58">
        <v>85.337000000000003</v>
      </c>
      <c r="FQ14" s="58">
        <v>24.155999999999999</v>
      </c>
      <c r="FR14" s="58">
        <v>19.228999999999999</v>
      </c>
      <c r="FS14" s="58">
        <v>4.9269999999999996</v>
      </c>
      <c r="FT14" s="58">
        <v>159.648</v>
      </c>
      <c r="FU14" s="58">
        <v>70.031000000000006</v>
      </c>
      <c r="FV14" s="58">
        <v>89.617000000000004</v>
      </c>
      <c r="FW14" s="58">
        <v>156.18600000000001</v>
      </c>
      <c r="FX14" s="58">
        <v>69.88</v>
      </c>
      <c r="FY14" s="58">
        <v>86.305999999999997</v>
      </c>
      <c r="FZ14" s="58">
        <v>1147.4469999999999</v>
      </c>
      <c r="GA14" s="58">
        <v>595.88900000000001</v>
      </c>
      <c r="GB14" s="58">
        <v>551.55899999999997</v>
      </c>
      <c r="GC14" s="58">
        <v>705.18799999999999</v>
      </c>
      <c r="GD14" s="58">
        <v>412.52</v>
      </c>
      <c r="GE14" s="58">
        <v>292.66800000000001</v>
      </c>
      <c r="GF14" s="58">
        <v>442.25900000000001</v>
      </c>
      <c r="GG14" s="58">
        <v>183.369</v>
      </c>
      <c r="GH14" s="58">
        <v>258.89100000000002</v>
      </c>
      <c r="GI14" s="58">
        <v>252.87899999999999</v>
      </c>
      <c r="GJ14" s="58">
        <v>140.32300000000001</v>
      </c>
      <c r="GK14" s="58">
        <v>112.557</v>
      </c>
      <c r="GL14" s="58">
        <v>39.366999999999997</v>
      </c>
      <c r="GM14" s="58">
        <v>26.7</v>
      </c>
      <c r="GN14" s="58">
        <v>12.667999999999999</v>
      </c>
      <c r="GO14" s="58">
        <v>12.797000000000001</v>
      </c>
      <c r="GP14" s="58">
        <v>11.272</v>
      </c>
      <c r="GQ14" s="58">
        <v>1.5249999999999999</v>
      </c>
      <c r="GR14" s="58">
        <v>9.4589999999999996</v>
      </c>
      <c r="GS14" s="58">
        <v>8.6259999999999994</v>
      </c>
      <c r="GT14" s="58">
        <v>0.83299999999999996</v>
      </c>
      <c r="GU14" s="58">
        <v>3.3380000000000001</v>
      </c>
      <c r="GV14" s="58">
        <v>2.6459999999999999</v>
      </c>
      <c r="GW14" s="58">
        <v>0.69199999999999995</v>
      </c>
      <c r="GX14" s="58">
        <v>26.57</v>
      </c>
      <c r="GY14" s="58">
        <v>15.428000000000001</v>
      </c>
      <c r="GZ14" s="58">
        <v>11.143000000000001</v>
      </c>
      <c r="HA14" s="58">
        <v>238.435</v>
      </c>
      <c r="HB14" s="58">
        <v>131.76599999999999</v>
      </c>
      <c r="HC14" s="58">
        <v>106.669</v>
      </c>
      <c r="HD14" s="58">
        <v>86.715000000000003</v>
      </c>
      <c r="HE14" s="58">
        <v>62.100999999999999</v>
      </c>
      <c r="HF14" s="58">
        <v>24.614000000000001</v>
      </c>
      <c r="HG14" s="58">
        <v>151.72</v>
      </c>
      <c r="HH14" s="58">
        <v>69.665000000000006</v>
      </c>
      <c r="HI14" s="58">
        <v>82.055999999999997</v>
      </c>
      <c r="HJ14" s="58">
        <v>92.563000000000002</v>
      </c>
      <c r="HK14" s="58">
        <v>66.716999999999999</v>
      </c>
      <c r="HL14" s="58">
        <v>25.846</v>
      </c>
      <c r="HM14" s="58">
        <v>160.316</v>
      </c>
      <c r="HN14" s="58">
        <v>73.605999999999995</v>
      </c>
      <c r="HO14" s="58">
        <v>86.710999999999999</v>
      </c>
      <c r="HP14" s="58">
        <v>161.179</v>
      </c>
      <c r="HQ14" s="58">
        <v>78.290999999999997</v>
      </c>
      <c r="HR14" s="58">
        <v>82.888999999999996</v>
      </c>
      <c r="HS14" s="58">
        <v>2724.52</v>
      </c>
      <c r="HT14" s="58">
        <v>1491.84</v>
      </c>
      <c r="HU14" s="58">
        <v>1232.68</v>
      </c>
      <c r="HV14" s="58">
        <v>2126.3389999999999</v>
      </c>
      <c r="HW14" s="58">
        <v>1312.451</v>
      </c>
      <c r="HX14" s="58">
        <v>813.88800000000003</v>
      </c>
      <c r="HY14" s="58">
        <v>598.17999999999995</v>
      </c>
      <c r="HZ14" s="58">
        <v>179.38900000000001</v>
      </c>
      <c r="IA14" s="58">
        <v>418.79199999999997</v>
      </c>
      <c r="IB14" s="58">
        <v>373.72</v>
      </c>
      <c r="IC14" s="58">
        <v>218.67599999999999</v>
      </c>
      <c r="ID14" s="58">
        <v>155.04400000000001</v>
      </c>
      <c r="IE14" s="58">
        <v>45.73</v>
      </c>
      <c r="IF14" s="58">
        <v>26.446000000000002</v>
      </c>
      <c r="IG14" s="58">
        <v>19.283999999999999</v>
      </c>
      <c r="IH14" s="58">
        <v>21.795999999999999</v>
      </c>
      <c r="II14" s="58">
        <v>16.266999999999999</v>
      </c>
      <c r="IJ14" s="58">
        <v>5.53</v>
      </c>
      <c r="IK14" s="58">
        <v>9.5570000000000004</v>
      </c>
      <c r="IL14" s="58">
        <v>7.4480000000000004</v>
      </c>
      <c r="IM14" s="58">
        <v>2.1080000000000001</v>
      </c>
      <c r="IN14" s="58">
        <v>12.24</v>
      </c>
      <c r="IO14" s="58">
        <v>8.8179999999999996</v>
      </c>
      <c r="IP14" s="58">
        <v>3.4209999999999998</v>
      </c>
      <c r="IQ14" s="58">
        <v>23.934000000000001</v>
      </c>
    </row>
    <row r="15" spans="1:251">
      <c r="A15" s="5">
        <v>41944</v>
      </c>
      <c r="B15" s="58">
        <v>11581.726000000001</v>
      </c>
      <c r="C15" s="58">
        <v>6259.7529999999997</v>
      </c>
      <c r="D15" s="58">
        <v>5321.9719999999998</v>
      </c>
      <c r="E15" s="58">
        <v>8012.77</v>
      </c>
      <c r="F15" s="58">
        <v>5187.098</v>
      </c>
      <c r="G15" s="58">
        <v>2825.672</v>
      </c>
      <c r="H15" s="58">
        <v>3568.9560000000001</v>
      </c>
      <c r="I15" s="58">
        <v>1072.6559999999999</v>
      </c>
      <c r="J15" s="58">
        <v>2496.3000000000002</v>
      </c>
      <c r="K15" s="58">
        <v>1793.671</v>
      </c>
      <c r="L15" s="58">
        <v>959.27099999999996</v>
      </c>
      <c r="M15" s="58">
        <v>834.4</v>
      </c>
      <c r="N15" s="58">
        <v>281.26799999999997</v>
      </c>
      <c r="O15" s="58">
        <v>160.14500000000001</v>
      </c>
      <c r="P15" s="58">
        <v>121.123</v>
      </c>
      <c r="Q15" s="58">
        <v>108.58199999999999</v>
      </c>
      <c r="R15" s="58">
        <v>86.84</v>
      </c>
      <c r="S15" s="58">
        <v>21.742000000000001</v>
      </c>
      <c r="T15" s="58">
        <v>59.845999999999997</v>
      </c>
      <c r="U15" s="58">
        <v>46.206000000000003</v>
      </c>
      <c r="V15" s="58">
        <v>13.64</v>
      </c>
      <c r="W15" s="58">
        <v>48.737000000000002</v>
      </c>
      <c r="X15" s="58">
        <v>40.634</v>
      </c>
      <c r="Y15" s="58">
        <v>8.1020000000000003</v>
      </c>
      <c r="Z15" s="58">
        <v>172.68600000000001</v>
      </c>
      <c r="AA15" s="58">
        <v>73.305000000000007</v>
      </c>
      <c r="AB15" s="58">
        <v>99.382000000000005</v>
      </c>
      <c r="AC15" s="58">
        <v>1634.952</v>
      </c>
      <c r="AD15" s="58">
        <v>863.41099999999994</v>
      </c>
      <c r="AE15" s="58">
        <v>771.54100000000005</v>
      </c>
      <c r="AF15" s="58">
        <v>613.61099999999999</v>
      </c>
      <c r="AG15" s="58">
        <v>459.274</v>
      </c>
      <c r="AH15" s="58">
        <v>154.33699999999999</v>
      </c>
      <c r="AI15" s="58">
        <v>1021.341</v>
      </c>
      <c r="AJ15" s="58">
        <v>404.137</v>
      </c>
      <c r="AK15" s="58">
        <v>617.20399999999995</v>
      </c>
      <c r="AL15" s="58">
        <v>695.553</v>
      </c>
      <c r="AM15" s="58">
        <v>524.30799999999999</v>
      </c>
      <c r="AN15" s="58">
        <v>171.24600000000001</v>
      </c>
      <c r="AO15" s="58">
        <v>1098.117</v>
      </c>
      <c r="AP15" s="58">
        <v>434.96300000000002</v>
      </c>
      <c r="AQ15" s="58">
        <v>663.154</v>
      </c>
      <c r="AR15" s="58">
        <v>1081.1859999999999</v>
      </c>
      <c r="AS15" s="58">
        <v>450.34300000000002</v>
      </c>
      <c r="AT15" s="58">
        <v>630.84400000000005</v>
      </c>
      <c r="AU15" s="58">
        <v>11159.112999999999</v>
      </c>
      <c r="AV15" s="58">
        <v>5991.6909999999998</v>
      </c>
      <c r="AW15" s="58">
        <v>5167.4219999999996</v>
      </c>
      <c r="AX15" s="58">
        <v>7836.2060000000001</v>
      </c>
      <c r="AY15" s="58">
        <v>5048.0069999999996</v>
      </c>
      <c r="AZ15" s="58">
        <v>2788.1990000000001</v>
      </c>
      <c r="BA15" s="58">
        <v>3322.9070000000002</v>
      </c>
      <c r="BB15" s="58">
        <v>943.68399999999997</v>
      </c>
      <c r="BC15" s="58">
        <v>2379.223</v>
      </c>
      <c r="BD15" s="58">
        <v>1758.761</v>
      </c>
      <c r="BE15" s="58">
        <v>934.41</v>
      </c>
      <c r="BF15" s="58">
        <v>824.351</v>
      </c>
      <c r="BG15" s="58">
        <v>264.91300000000001</v>
      </c>
      <c r="BH15" s="58">
        <v>149.245</v>
      </c>
      <c r="BI15" s="58">
        <v>115.66800000000001</v>
      </c>
      <c r="BJ15" s="58">
        <v>105.861</v>
      </c>
      <c r="BK15" s="58">
        <v>84.119</v>
      </c>
      <c r="BL15" s="58">
        <v>21.742000000000001</v>
      </c>
      <c r="BM15" s="58">
        <v>58.218000000000004</v>
      </c>
      <c r="BN15" s="58">
        <v>44.579000000000001</v>
      </c>
      <c r="BO15" s="58">
        <v>13.64</v>
      </c>
      <c r="BP15" s="58">
        <v>47.642000000000003</v>
      </c>
      <c r="BQ15" s="58">
        <v>39.54</v>
      </c>
      <c r="BR15" s="58">
        <v>8.1020000000000003</v>
      </c>
      <c r="BS15" s="58">
        <v>159.05199999999999</v>
      </c>
      <c r="BT15" s="58">
        <v>65.126000000000005</v>
      </c>
      <c r="BU15" s="58">
        <v>93.926000000000002</v>
      </c>
      <c r="BV15" s="58">
        <v>1614.2349999999999</v>
      </c>
      <c r="BW15" s="58">
        <v>848.58199999999999</v>
      </c>
      <c r="BX15" s="58">
        <v>765.65300000000002</v>
      </c>
      <c r="BY15" s="58">
        <v>609.82299999999998</v>
      </c>
      <c r="BZ15" s="58">
        <v>456.35199999999998</v>
      </c>
      <c r="CA15" s="58">
        <v>153.47200000000001</v>
      </c>
      <c r="CB15" s="58">
        <v>1004.412</v>
      </c>
      <c r="CC15" s="58">
        <v>392.23</v>
      </c>
      <c r="CD15" s="58">
        <v>612.18200000000002</v>
      </c>
      <c r="CE15" s="58">
        <v>689.04399999999998</v>
      </c>
      <c r="CF15" s="58">
        <v>518.66300000000001</v>
      </c>
      <c r="CG15" s="58">
        <v>170.38</v>
      </c>
      <c r="CH15" s="58">
        <v>1069.7180000000001</v>
      </c>
      <c r="CI15" s="58">
        <v>415.74700000000001</v>
      </c>
      <c r="CJ15" s="58">
        <v>653.971</v>
      </c>
      <c r="CK15" s="58">
        <v>1062.6300000000001</v>
      </c>
      <c r="CL15" s="58">
        <v>436.80900000000003</v>
      </c>
      <c r="CM15" s="58">
        <v>625.82100000000003</v>
      </c>
      <c r="CN15" s="58">
        <v>1797.923</v>
      </c>
      <c r="CO15" s="58">
        <v>925.649</v>
      </c>
      <c r="CP15" s="58">
        <v>872.274</v>
      </c>
      <c r="CQ15" s="58">
        <v>863.32299999999998</v>
      </c>
      <c r="CR15" s="58">
        <v>529.49599999999998</v>
      </c>
      <c r="CS15" s="58">
        <v>333.827</v>
      </c>
      <c r="CT15" s="58">
        <v>934.6</v>
      </c>
      <c r="CU15" s="58">
        <v>396.15199999999999</v>
      </c>
      <c r="CV15" s="58">
        <v>538.447</v>
      </c>
      <c r="CW15" s="58">
        <v>522.06399999999996</v>
      </c>
      <c r="CX15" s="58">
        <v>264.85599999999999</v>
      </c>
      <c r="CY15" s="58">
        <v>257.20800000000003</v>
      </c>
      <c r="CZ15" s="58">
        <v>55.905000000000001</v>
      </c>
      <c r="DA15" s="58">
        <v>25.963000000000001</v>
      </c>
      <c r="DB15" s="58">
        <v>29.943000000000001</v>
      </c>
      <c r="DC15" s="58">
        <v>12.603</v>
      </c>
      <c r="DD15" s="58">
        <v>9.2349999999999994</v>
      </c>
      <c r="DE15" s="58">
        <v>3.3679999999999999</v>
      </c>
      <c r="DF15" s="58">
        <v>8.9589999999999996</v>
      </c>
      <c r="DG15" s="58">
        <v>5.6710000000000003</v>
      </c>
      <c r="DH15" s="58">
        <v>3.2879999999999998</v>
      </c>
      <c r="DI15" s="58">
        <v>3.6440000000000001</v>
      </c>
      <c r="DJ15" s="58">
        <v>3.5640000000000001</v>
      </c>
      <c r="DK15" s="58">
        <v>0.08</v>
      </c>
      <c r="DL15" s="58">
        <v>43.302</v>
      </c>
      <c r="DM15" s="58">
        <v>16.728000000000002</v>
      </c>
      <c r="DN15" s="58">
        <v>26.574000000000002</v>
      </c>
      <c r="DO15" s="58">
        <v>503.71800000000002</v>
      </c>
      <c r="DP15" s="58">
        <v>255.887</v>
      </c>
      <c r="DQ15" s="58">
        <v>247.83099999999999</v>
      </c>
      <c r="DR15" s="58">
        <v>122.26600000000001</v>
      </c>
      <c r="DS15" s="58">
        <v>80.504000000000005</v>
      </c>
      <c r="DT15" s="58">
        <v>41.762999999999998</v>
      </c>
      <c r="DU15" s="58">
        <v>381.452</v>
      </c>
      <c r="DV15" s="58">
        <v>175.38300000000001</v>
      </c>
      <c r="DW15" s="58">
        <v>206.06899999999999</v>
      </c>
      <c r="DX15" s="58">
        <v>127.249</v>
      </c>
      <c r="DY15" s="58">
        <v>84.147999999999996</v>
      </c>
      <c r="DZ15" s="58">
        <v>43.1</v>
      </c>
      <c r="EA15" s="58">
        <v>394.81599999999997</v>
      </c>
      <c r="EB15" s="58">
        <v>180.708</v>
      </c>
      <c r="EC15" s="58">
        <v>214.108</v>
      </c>
      <c r="ED15" s="58">
        <v>390.411</v>
      </c>
      <c r="EE15" s="58">
        <v>181.054</v>
      </c>
      <c r="EF15" s="58">
        <v>209.35599999999999</v>
      </c>
      <c r="EG15" s="58">
        <v>634.27200000000005</v>
      </c>
      <c r="EH15" s="58">
        <v>314.13400000000001</v>
      </c>
      <c r="EI15" s="58">
        <v>320.13799999999998</v>
      </c>
      <c r="EJ15" s="58">
        <v>146.072</v>
      </c>
      <c r="EK15" s="58">
        <v>104.806</v>
      </c>
      <c r="EL15" s="58">
        <v>41.265999999999998</v>
      </c>
      <c r="EM15" s="58">
        <v>488.2</v>
      </c>
      <c r="EN15" s="58">
        <v>209.32900000000001</v>
      </c>
      <c r="EO15" s="58">
        <v>278.87200000000001</v>
      </c>
      <c r="EP15" s="58">
        <v>223.238</v>
      </c>
      <c r="EQ15" s="58">
        <v>104.017</v>
      </c>
      <c r="ER15" s="58">
        <v>119.221</v>
      </c>
      <c r="ES15" s="58">
        <v>22.033999999999999</v>
      </c>
      <c r="ET15" s="58">
        <v>10.286</v>
      </c>
      <c r="EU15" s="58">
        <v>11.749000000000001</v>
      </c>
      <c r="EV15" s="58">
        <v>2.4969999999999999</v>
      </c>
      <c r="EW15" s="58">
        <v>1.788</v>
      </c>
      <c r="EX15" s="58">
        <v>0.70899999999999996</v>
      </c>
      <c r="EY15" s="58">
        <v>2.0640000000000001</v>
      </c>
      <c r="EZ15" s="58">
        <v>1.355</v>
      </c>
      <c r="FA15" s="58">
        <v>0.70899999999999996</v>
      </c>
      <c r="FB15" s="58">
        <v>0.433</v>
      </c>
      <c r="FC15" s="58">
        <v>0.433</v>
      </c>
      <c r="FD15" s="58">
        <v>0</v>
      </c>
      <c r="FE15" s="58">
        <v>19.538</v>
      </c>
      <c r="FF15" s="58">
        <v>8.4979999999999993</v>
      </c>
      <c r="FG15" s="58">
        <v>11.04</v>
      </c>
      <c r="FH15" s="58">
        <v>214.96299999999999</v>
      </c>
      <c r="FI15" s="58">
        <v>99.831999999999994</v>
      </c>
      <c r="FJ15" s="58">
        <v>115.131</v>
      </c>
      <c r="FK15" s="58">
        <v>25.814</v>
      </c>
      <c r="FL15" s="58">
        <v>16.446999999999999</v>
      </c>
      <c r="FM15" s="58">
        <v>9.3670000000000009</v>
      </c>
      <c r="FN15" s="58">
        <v>189.149</v>
      </c>
      <c r="FO15" s="58">
        <v>83.385000000000005</v>
      </c>
      <c r="FP15" s="58">
        <v>105.764</v>
      </c>
      <c r="FQ15" s="58">
        <v>27.527999999999999</v>
      </c>
      <c r="FR15" s="58">
        <v>17.452000000000002</v>
      </c>
      <c r="FS15" s="58">
        <v>10.076000000000001</v>
      </c>
      <c r="FT15" s="58">
        <v>195.709</v>
      </c>
      <c r="FU15" s="58">
        <v>86.563999999999993</v>
      </c>
      <c r="FV15" s="58">
        <v>109.145</v>
      </c>
      <c r="FW15" s="58">
        <v>191.21199999999999</v>
      </c>
      <c r="FX15" s="58">
        <v>84.739000000000004</v>
      </c>
      <c r="FY15" s="58">
        <v>106.473</v>
      </c>
      <c r="FZ15" s="58">
        <v>1163.6510000000001</v>
      </c>
      <c r="GA15" s="58">
        <v>611.51400000000001</v>
      </c>
      <c r="GB15" s="58">
        <v>552.13699999999994</v>
      </c>
      <c r="GC15" s="58">
        <v>717.25099999999998</v>
      </c>
      <c r="GD15" s="58">
        <v>424.69099999999997</v>
      </c>
      <c r="GE15" s="58">
        <v>292.56099999999998</v>
      </c>
      <c r="GF15" s="58">
        <v>446.399</v>
      </c>
      <c r="GG15" s="58">
        <v>186.82400000000001</v>
      </c>
      <c r="GH15" s="58">
        <v>259.57600000000002</v>
      </c>
      <c r="GI15" s="58">
        <v>298.827</v>
      </c>
      <c r="GJ15" s="58">
        <v>160.839</v>
      </c>
      <c r="GK15" s="58">
        <v>137.98699999999999</v>
      </c>
      <c r="GL15" s="58">
        <v>33.871000000000002</v>
      </c>
      <c r="GM15" s="58">
        <v>15.677</v>
      </c>
      <c r="GN15" s="58">
        <v>18.193999999999999</v>
      </c>
      <c r="GO15" s="58">
        <v>10.106999999999999</v>
      </c>
      <c r="GP15" s="58">
        <v>7.4470000000000001</v>
      </c>
      <c r="GQ15" s="58">
        <v>2.6589999999999998</v>
      </c>
      <c r="GR15" s="58">
        <v>6.8949999999999996</v>
      </c>
      <c r="GS15" s="58">
        <v>4.3170000000000002</v>
      </c>
      <c r="GT15" s="58">
        <v>2.5790000000000002</v>
      </c>
      <c r="GU15" s="58">
        <v>3.2109999999999999</v>
      </c>
      <c r="GV15" s="58">
        <v>3.1309999999999998</v>
      </c>
      <c r="GW15" s="58">
        <v>0.08</v>
      </c>
      <c r="GX15" s="58">
        <v>23.763999999999999</v>
      </c>
      <c r="GY15" s="58">
        <v>8.23</v>
      </c>
      <c r="GZ15" s="58">
        <v>15.535</v>
      </c>
      <c r="HA15" s="58">
        <v>288.755</v>
      </c>
      <c r="HB15" s="58">
        <v>156.05500000000001</v>
      </c>
      <c r="HC15" s="58">
        <v>132.69999999999999</v>
      </c>
      <c r="HD15" s="58">
        <v>96.451999999999998</v>
      </c>
      <c r="HE15" s="58">
        <v>64.057000000000002</v>
      </c>
      <c r="HF15" s="58">
        <v>32.395000000000003</v>
      </c>
      <c r="HG15" s="58">
        <v>192.303</v>
      </c>
      <c r="HH15" s="58">
        <v>91.998000000000005</v>
      </c>
      <c r="HI15" s="58">
        <v>100.304</v>
      </c>
      <c r="HJ15" s="58">
        <v>99.72</v>
      </c>
      <c r="HK15" s="58">
        <v>66.695999999999998</v>
      </c>
      <c r="HL15" s="58">
        <v>33.024000000000001</v>
      </c>
      <c r="HM15" s="58">
        <v>199.107</v>
      </c>
      <c r="HN15" s="58">
        <v>94.143000000000001</v>
      </c>
      <c r="HO15" s="58">
        <v>104.96299999999999</v>
      </c>
      <c r="HP15" s="58">
        <v>199.19800000000001</v>
      </c>
      <c r="HQ15" s="58">
        <v>96.314999999999998</v>
      </c>
      <c r="HR15" s="58">
        <v>102.883</v>
      </c>
      <c r="HS15" s="58">
        <v>2707.4969999999998</v>
      </c>
      <c r="HT15" s="58">
        <v>1487.4690000000001</v>
      </c>
      <c r="HU15" s="58">
        <v>1220.028</v>
      </c>
      <c r="HV15" s="58">
        <v>2120.0839999999998</v>
      </c>
      <c r="HW15" s="58">
        <v>1315.316</v>
      </c>
      <c r="HX15" s="58">
        <v>804.76800000000003</v>
      </c>
      <c r="HY15" s="58">
        <v>587.41300000000001</v>
      </c>
      <c r="HZ15" s="58">
        <v>172.15299999999999</v>
      </c>
      <c r="IA15" s="58">
        <v>415.26</v>
      </c>
      <c r="IB15" s="58">
        <v>401.71199999999999</v>
      </c>
      <c r="IC15" s="58">
        <v>248.82</v>
      </c>
      <c r="ID15" s="58">
        <v>152.89099999999999</v>
      </c>
      <c r="IE15" s="58">
        <v>42.332999999999998</v>
      </c>
      <c r="IF15" s="58">
        <v>22.783999999999999</v>
      </c>
      <c r="IG15" s="58">
        <v>19.548999999999999</v>
      </c>
      <c r="IH15" s="58">
        <v>16.951000000000001</v>
      </c>
      <c r="II15" s="58">
        <v>12.853999999999999</v>
      </c>
      <c r="IJ15" s="58">
        <v>4.0970000000000004</v>
      </c>
      <c r="IK15" s="58">
        <v>9.1389999999999993</v>
      </c>
      <c r="IL15" s="58">
        <v>6.1180000000000003</v>
      </c>
      <c r="IM15" s="58">
        <v>3.0209999999999999</v>
      </c>
      <c r="IN15" s="58">
        <v>7.8120000000000003</v>
      </c>
      <c r="IO15" s="58">
        <v>6.7359999999999998</v>
      </c>
      <c r="IP15" s="58">
        <v>1.0760000000000001</v>
      </c>
      <c r="IQ15" s="58">
        <v>25.382000000000001</v>
      </c>
    </row>
    <row r="16" spans="1:251">
      <c r="A16" s="5">
        <v>41974</v>
      </c>
      <c r="B16" s="58">
        <v>11715.694</v>
      </c>
      <c r="C16" s="58">
        <v>6320.6949999999997</v>
      </c>
      <c r="D16" s="58">
        <v>5394.9989999999998</v>
      </c>
      <c r="E16" s="58">
        <v>8154.06</v>
      </c>
      <c r="F16" s="58">
        <v>5258.1220000000003</v>
      </c>
      <c r="G16" s="58">
        <v>2895.9380000000001</v>
      </c>
      <c r="H16" s="58">
        <v>3561.634</v>
      </c>
      <c r="I16" s="58">
        <v>1062.5730000000001</v>
      </c>
      <c r="J16" s="58">
        <v>2499.0610000000001</v>
      </c>
      <c r="K16" s="58">
        <v>1842.2940000000001</v>
      </c>
      <c r="L16" s="58">
        <v>975.82500000000005</v>
      </c>
      <c r="M16" s="58">
        <v>866.46900000000005</v>
      </c>
      <c r="N16" s="58">
        <v>328.19499999999999</v>
      </c>
      <c r="O16" s="58">
        <v>177.25700000000001</v>
      </c>
      <c r="P16" s="58">
        <v>150.93700000000001</v>
      </c>
      <c r="Q16" s="58">
        <v>138.851</v>
      </c>
      <c r="R16" s="58">
        <v>103.39</v>
      </c>
      <c r="S16" s="58">
        <v>35.46</v>
      </c>
      <c r="T16" s="58">
        <v>76.957999999999998</v>
      </c>
      <c r="U16" s="58">
        <v>58.280999999999999</v>
      </c>
      <c r="V16" s="58">
        <v>18.677</v>
      </c>
      <c r="W16" s="58">
        <v>61.892000000000003</v>
      </c>
      <c r="X16" s="58">
        <v>45.109000000000002</v>
      </c>
      <c r="Y16" s="58">
        <v>16.783000000000001</v>
      </c>
      <c r="Z16" s="58">
        <v>189.34399999999999</v>
      </c>
      <c r="AA16" s="58">
        <v>73.867000000000004</v>
      </c>
      <c r="AB16" s="58">
        <v>115.477</v>
      </c>
      <c r="AC16" s="58">
        <v>1663.691</v>
      </c>
      <c r="AD16" s="58">
        <v>877.03300000000002</v>
      </c>
      <c r="AE16" s="58">
        <v>786.65800000000002</v>
      </c>
      <c r="AF16" s="58">
        <v>630.28800000000001</v>
      </c>
      <c r="AG16" s="58">
        <v>474.577</v>
      </c>
      <c r="AH16" s="58">
        <v>155.71100000000001</v>
      </c>
      <c r="AI16" s="58">
        <v>1033.403</v>
      </c>
      <c r="AJ16" s="58">
        <v>402.45600000000002</v>
      </c>
      <c r="AK16" s="58">
        <v>630.947</v>
      </c>
      <c r="AL16" s="58">
        <v>731.76900000000001</v>
      </c>
      <c r="AM16" s="58">
        <v>548.76599999999996</v>
      </c>
      <c r="AN16" s="58">
        <v>183.00200000000001</v>
      </c>
      <c r="AO16" s="58">
        <v>1110.5260000000001</v>
      </c>
      <c r="AP16" s="58">
        <v>427.05799999999999</v>
      </c>
      <c r="AQ16" s="58">
        <v>683.46699999999998</v>
      </c>
      <c r="AR16" s="58">
        <v>1110.3610000000001</v>
      </c>
      <c r="AS16" s="58">
        <v>460.73700000000002</v>
      </c>
      <c r="AT16" s="58">
        <v>649.62400000000002</v>
      </c>
      <c r="AU16" s="58">
        <v>11306.834000000001</v>
      </c>
      <c r="AV16" s="58">
        <v>6055.6149999999998</v>
      </c>
      <c r="AW16" s="58">
        <v>5251.2190000000001</v>
      </c>
      <c r="AX16" s="58">
        <v>7974.59</v>
      </c>
      <c r="AY16" s="58">
        <v>5117.3509999999997</v>
      </c>
      <c r="AZ16" s="58">
        <v>2857.2379999999998</v>
      </c>
      <c r="BA16" s="58">
        <v>3332.2449999999999</v>
      </c>
      <c r="BB16" s="58">
        <v>938.26400000000001</v>
      </c>
      <c r="BC16" s="58">
        <v>2393.9810000000002</v>
      </c>
      <c r="BD16" s="58">
        <v>1806.4590000000001</v>
      </c>
      <c r="BE16" s="58">
        <v>951.005</v>
      </c>
      <c r="BF16" s="58">
        <v>855.45399999999995</v>
      </c>
      <c r="BG16" s="58">
        <v>316.12299999999999</v>
      </c>
      <c r="BH16" s="58">
        <v>169.904</v>
      </c>
      <c r="BI16" s="58">
        <v>146.22</v>
      </c>
      <c r="BJ16" s="58">
        <v>136.07499999999999</v>
      </c>
      <c r="BK16" s="58">
        <v>101.001</v>
      </c>
      <c r="BL16" s="58">
        <v>35.073</v>
      </c>
      <c r="BM16" s="58">
        <v>74.497</v>
      </c>
      <c r="BN16" s="58">
        <v>56.207000000000001</v>
      </c>
      <c r="BO16" s="58">
        <v>18.29</v>
      </c>
      <c r="BP16" s="58">
        <v>61.576999999999998</v>
      </c>
      <c r="BQ16" s="58">
        <v>44.793999999999997</v>
      </c>
      <c r="BR16" s="58">
        <v>16.783000000000001</v>
      </c>
      <c r="BS16" s="58">
        <v>180.04900000000001</v>
      </c>
      <c r="BT16" s="58">
        <v>68.902000000000001</v>
      </c>
      <c r="BU16" s="58">
        <v>111.146</v>
      </c>
      <c r="BV16" s="58">
        <v>1636.047</v>
      </c>
      <c r="BW16" s="58">
        <v>857.03899999999999</v>
      </c>
      <c r="BX16" s="58">
        <v>779.00800000000004</v>
      </c>
      <c r="BY16" s="58">
        <v>623.14300000000003</v>
      </c>
      <c r="BZ16" s="58">
        <v>468.74599999999998</v>
      </c>
      <c r="CA16" s="58">
        <v>154.39699999999999</v>
      </c>
      <c r="CB16" s="58">
        <v>1012.904</v>
      </c>
      <c r="CC16" s="58">
        <v>388.29300000000001</v>
      </c>
      <c r="CD16" s="58">
        <v>624.61099999999999</v>
      </c>
      <c r="CE16" s="58">
        <v>722.84900000000005</v>
      </c>
      <c r="CF16" s="58">
        <v>541.16099999999994</v>
      </c>
      <c r="CG16" s="58">
        <v>181.68799999999999</v>
      </c>
      <c r="CH16" s="58">
        <v>1083.6110000000001</v>
      </c>
      <c r="CI16" s="58">
        <v>409.84500000000003</v>
      </c>
      <c r="CJ16" s="58">
        <v>673.76599999999996</v>
      </c>
      <c r="CK16" s="58">
        <v>1087.4010000000001</v>
      </c>
      <c r="CL16" s="58">
        <v>444.50099999999998</v>
      </c>
      <c r="CM16" s="58">
        <v>642.90099999999995</v>
      </c>
      <c r="CN16" s="58">
        <v>1891.01</v>
      </c>
      <c r="CO16" s="58">
        <v>970.82600000000002</v>
      </c>
      <c r="CP16" s="58">
        <v>920.18399999999997</v>
      </c>
      <c r="CQ16" s="58">
        <v>945.46400000000006</v>
      </c>
      <c r="CR16" s="58">
        <v>578.87900000000002</v>
      </c>
      <c r="CS16" s="58">
        <v>366.58499999999998</v>
      </c>
      <c r="CT16" s="58">
        <v>945.54600000000005</v>
      </c>
      <c r="CU16" s="58">
        <v>391.947</v>
      </c>
      <c r="CV16" s="58">
        <v>553.59900000000005</v>
      </c>
      <c r="CW16" s="58">
        <v>595.88</v>
      </c>
      <c r="CX16" s="58">
        <v>293.82799999999997</v>
      </c>
      <c r="CY16" s="58">
        <v>302.05200000000002</v>
      </c>
      <c r="CZ16" s="58">
        <v>78.652000000000001</v>
      </c>
      <c r="DA16" s="58">
        <v>38.164000000000001</v>
      </c>
      <c r="DB16" s="58">
        <v>40.487000000000002</v>
      </c>
      <c r="DC16" s="58">
        <v>18.135000000000002</v>
      </c>
      <c r="DD16" s="58">
        <v>13.084</v>
      </c>
      <c r="DE16" s="58">
        <v>5.05</v>
      </c>
      <c r="DF16" s="58">
        <v>11.564</v>
      </c>
      <c r="DG16" s="58">
        <v>7.718</v>
      </c>
      <c r="DH16" s="58">
        <v>3.8460000000000001</v>
      </c>
      <c r="DI16" s="58">
        <v>6.5709999999999997</v>
      </c>
      <c r="DJ16" s="58">
        <v>5.3659999999999997</v>
      </c>
      <c r="DK16" s="58">
        <v>1.2050000000000001</v>
      </c>
      <c r="DL16" s="58">
        <v>60.517000000000003</v>
      </c>
      <c r="DM16" s="58">
        <v>25.08</v>
      </c>
      <c r="DN16" s="58">
        <v>35.436999999999998</v>
      </c>
      <c r="DO16" s="58">
        <v>565.74400000000003</v>
      </c>
      <c r="DP16" s="58">
        <v>277.95800000000003</v>
      </c>
      <c r="DQ16" s="58">
        <v>287.786</v>
      </c>
      <c r="DR16" s="58">
        <v>125.22199999999999</v>
      </c>
      <c r="DS16" s="58">
        <v>81.387</v>
      </c>
      <c r="DT16" s="58">
        <v>43.835000000000001</v>
      </c>
      <c r="DU16" s="58">
        <v>440.52100000000002</v>
      </c>
      <c r="DV16" s="58">
        <v>196.571</v>
      </c>
      <c r="DW16" s="58">
        <v>243.95</v>
      </c>
      <c r="DX16" s="58">
        <v>138.83099999999999</v>
      </c>
      <c r="DY16" s="58">
        <v>91.19</v>
      </c>
      <c r="DZ16" s="58">
        <v>47.640999999999998</v>
      </c>
      <c r="EA16" s="58">
        <v>457.04899999999998</v>
      </c>
      <c r="EB16" s="58">
        <v>202.63800000000001</v>
      </c>
      <c r="EC16" s="58">
        <v>254.411</v>
      </c>
      <c r="ED16" s="58">
        <v>452.08600000000001</v>
      </c>
      <c r="EE16" s="58">
        <v>204.28899999999999</v>
      </c>
      <c r="EF16" s="58">
        <v>247.79599999999999</v>
      </c>
      <c r="EG16" s="58">
        <v>675.02200000000005</v>
      </c>
      <c r="EH16" s="58">
        <v>328.23200000000003</v>
      </c>
      <c r="EI16" s="58">
        <v>346.79</v>
      </c>
      <c r="EJ16" s="58">
        <v>171.137</v>
      </c>
      <c r="EK16" s="58">
        <v>118.16200000000001</v>
      </c>
      <c r="EL16" s="58">
        <v>52.973999999999997</v>
      </c>
      <c r="EM16" s="58">
        <v>503.88499999999999</v>
      </c>
      <c r="EN16" s="58">
        <v>210.07</v>
      </c>
      <c r="EO16" s="58">
        <v>293.81599999999997</v>
      </c>
      <c r="EP16" s="58">
        <v>278.85599999999999</v>
      </c>
      <c r="EQ16" s="58">
        <v>124.35</v>
      </c>
      <c r="ER16" s="58">
        <v>154.505</v>
      </c>
      <c r="ES16" s="58">
        <v>38.164000000000001</v>
      </c>
      <c r="ET16" s="58">
        <v>15.647</v>
      </c>
      <c r="EU16" s="58">
        <v>22.516999999999999</v>
      </c>
      <c r="EV16" s="58">
        <v>5.2910000000000004</v>
      </c>
      <c r="EW16" s="58">
        <v>3.927</v>
      </c>
      <c r="EX16" s="58">
        <v>1.3640000000000001</v>
      </c>
      <c r="EY16" s="58">
        <v>2.8980000000000001</v>
      </c>
      <c r="EZ16" s="58">
        <v>1.5349999999999999</v>
      </c>
      <c r="FA16" s="58">
        <v>1.3640000000000001</v>
      </c>
      <c r="FB16" s="58">
        <v>2.3919999999999999</v>
      </c>
      <c r="FC16" s="58">
        <v>2.3919999999999999</v>
      </c>
      <c r="FD16" s="58">
        <v>0</v>
      </c>
      <c r="FE16" s="58">
        <v>32.874000000000002</v>
      </c>
      <c r="FF16" s="58">
        <v>11.72</v>
      </c>
      <c r="FG16" s="58">
        <v>21.154</v>
      </c>
      <c r="FH16" s="58">
        <v>264.54700000000003</v>
      </c>
      <c r="FI16" s="58">
        <v>117.851</v>
      </c>
      <c r="FJ16" s="58">
        <v>146.696</v>
      </c>
      <c r="FK16" s="58">
        <v>29.259</v>
      </c>
      <c r="FL16" s="58">
        <v>19.817</v>
      </c>
      <c r="FM16" s="58">
        <v>9.4420000000000002</v>
      </c>
      <c r="FN16" s="58">
        <v>235.28800000000001</v>
      </c>
      <c r="FO16" s="58">
        <v>98.034000000000006</v>
      </c>
      <c r="FP16" s="58">
        <v>137.25399999999999</v>
      </c>
      <c r="FQ16" s="58">
        <v>33.893000000000001</v>
      </c>
      <c r="FR16" s="58">
        <v>23.088000000000001</v>
      </c>
      <c r="FS16" s="58">
        <v>10.805</v>
      </c>
      <c r="FT16" s="58">
        <v>244.96299999999999</v>
      </c>
      <c r="FU16" s="58">
        <v>101.26300000000001</v>
      </c>
      <c r="FV16" s="58">
        <v>143.69999999999999</v>
      </c>
      <c r="FW16" s="58">
        <v>238.18700000000001</v>
      </c>
      <c r="FX16" s="58">
        <v>99.569000000000003</v>
      </c>
      <c r="FY16" s="58">
        <v>138.61699999999999</v>
      </c>
      <c r="FZ16" s="58">
        <v>1215.9880000000001</v>
      </c>
      <c r="GA16" s="58">
        <v>642.59400000000005</v>
      </c>
      <c r="GB16" s="58">
        <v>573.39400000000001</v>
      </c>
      <c r="GC16" s="58">
        <v>774.32799999999997</v>
      </c>
      <c r="GD16" s="58">
        <v>460.71699999999998</v>
      </c>
      <c r="GE16" s="58">
        <v>313.61099999999999</v>
      </c>
      <c r="GF16" s="58">
        <v>441.661</v>
      </c>
      <c r="GG16" s="58">
        <v>181.87700000000001</v>
      </c>
      <c r="GH16" s="58">
        <v>259.78300000000002</v>
      </c>
      <c r="GI16" s="58">
        <v>317.024</v>
      </c>
      <c r="GJ16" s="58">
        <v>169.47800000000001</v>
      </c>
      <c r="GK16" s="58">
        <v>147.54599999999999</v>
      </c>
      <c r="GL16" s="58">
        <v>40.487000000000002</v>
      </c>
      <c r="GM16" s="58">
        <v>22.516999999999999</v>
      </c>
      <c r="GN16" s="58">
        <v>17.97</v>
      </c>
      <c r="GO16" s="58">
        <v>12.843999999999999</v>
      </c>
      <c r="GP16" s="58">
        <v>9.157</v>
      </c>
      <c r="GQ16" s="58">
        <v>3.6869999999999998</v>
      </c>
      <c r="GR16" s="58">
        <v>8.6660000000000004</v>
      </c>
      <c r="GS16" s="58">
        <v>6.1840000000000002</v>
      </c>
      <c r="GT16" s="58">
        <v>2.4820000000000002</v>
      </c>
      <c r="GU16" s="58">
        <v>4.1779999999999999</v>
      </c>
      <c r="GV16" s="58">
        <v>2.9740000000000002</v>
      </c>
      <c r="GW16" s="58">
        <v>1.2050000000000001</v>
      </c>
      <c r="GX16" s="58">
        <v>27.643000000000001</v>
      </c>
      <c r="GY16" s="58">
        <v>13.36</v>
      </c>
      <c r="GZ16" s="58">
        <v>14.282999999999999</v>
      </c>
      <c r="HA16" s="58">
        <v>301.19600000000003</v>
      </c>
      <c r="HB16" s="58">
        <v>160.107</v>
      </c>
      <c r="HC16" s="58">
        <v>141.09</v>
      </c>
      <c r="HD16" s="58">
        <v>95.963999999999999</v>
      </c>
      <c r="HE16" s="58">
        <v>61.57</v>
      </c>
      <c r="HF16" s="58">
        <v>34.393000000000001</v>
      </c>
      <c r="HG16" s="58">
        <v>205.233</v>
      </c>
      <c r="HH16" s="58">
        <v>98.536000000000001</v>
      </c>
      <c r="HI16" s="58">
        <v>106.696</v>
      </c>
      <c r="HJ16" s="58">
        <v>104.938</v>
      </c>
      <c r="HK16" s="58">
        <v>68.102999999999994</v>
      </c>
      <c r="HL16" s="58">
        <v>36.835999999999999</v>
      </c>
      <c r="HM16" s="58">
        <v>212.08600000000001</v>
      </c>
      <c r="HN16" s="58">
        <v>101.375</v>
      </c>
      <c r="HO16" s="58">
        <v>110.711</v>
      </c>
      <c r="HP16" s="58">
        <v>213.899</v>
      </c>
      <c r="HQ16" s="58">
        <v>104.72</v>
      </c>
      <c r="HR16" s="58">
        <v>109.179</v>
      </c>
      <c r="HS16" s="58">
        <v>2739.5880000000002</v>
      </c>
      <c r="HT16" s="58">
        <v>1499.1769999999999</v>
      </c>
      <c r="HU16" s="58">
        <v>1240.4110000000001</v>
      </c>
      <c r="HV16" s="58">
        <v>2146.1930000000002</v>
      </c>
      <c r="HW16" s="58">
        <v>1330.72</v>
      </c>
      <c r="HX16" s="58">
        <v>815.47299999999996</v>
      </c>
      <c r="HY16" s="58">
        <v>593.39400000000001</v>
      </c>
      <c r="HZ16" s="58">
        <v>168.45699999999999</v>
      </c>
      <c r="IA16" s="58">
        <v>424.93799999999999</v>
      </c>
      <c r="IB16" s="58">
        <v>396.05700000000002</v>
      </c>
      <c r="IC16" s="58">
        <v>239.63900000000001</v>
      </c>
      <c r="ID16" s="58">
        <v>156.417</v>
      </c>
      <c r="IE16" s="58">
        <v>61.23</v>
      </c>
      <c r="IF16" s="58">
        <v>33.610999999999997</v>
      </c>
      <c r="IG16" s="58">
        <v>27.619</v>
      </c>
      <c r="IH16" s="58">
        <v>31.038</v>
      </c>
      <c r="II16" s="58">
        <v>19.367999999999999</v>
      </c>
      <c r="IJ16" s="58">
        <v>11.67</v>
      </c>
      <c r="IK16" s="58">
        <v>17.661999999999999</v>
      </c>
      <c r="IL16" s="58">
        <v>11.337</v>
      </c>
      <c r="IM16" s="58">
        <v>6.3250000000000002</v>
      </c>
      <c r="IN16" s="58">
        <v>13.375999999999999</v>
      </c>
      <c r="IO16" s="58">
        <v>8.0310000000000006</v>
      </c>
      <c r="IP16" s="58">
        <v>5.3449999999999998</v>
      </c>
      <c r="IQ16" s="58">
        <v>30.192</v>
      </c>
    </row>
    <row r="17" spans="1:251">
      <c r="A17" s="5">
        <v>42005</v>
      </c>
      <c r="B17" s="58">
        <v>11467.380999999999</v>
      </c>
      <c r="C17" s="58">
        <v>6208.55</v>
      </c>
      <c r="D17" s="58">
        <v>5258.8310000000001</v>
      </c>
      <c r="E17" s="58">
        <v>8006.549</v>
      </c>
      <c r="F17" s="58">
        <v>5156.259</v>
      </c>
      <c r="G17" s="58">
        <v>2850.2890000000002</v>
      </c>
      <c r="H17" s="58">
        <v>3460.8319999999999</v>
      </c>
      <c r="I17" s="58">
        <v>1052.29</v>
      </c>
      <c r="J17" s="58">
        <v>2408.5419999999999</v>
      </c>
      <c r="K17" s="58">
        <v>1828.6780000000001</v>
      </c>
      <c r="L17" s="58">
        <v>980.71600000000001</v>
      </c>
      <c r="M17" s="58">
        <v>847.96199999999999</v>
      </c>
      <c r="N17" s="58">
        <v>393.54</v>
      </c>
      <c r="O17" s="58">
        <v>229.321</v>
      </c>
      <c r="P17" s="58">
        <v>164.21899999999999</v>
      </c>
      <c r="Q17" s="58">
        <v>190.36799999999999</v>
      </c>
      <c r="R17" s="58">
        <v>144.93100000000001</v>
      </c>
      <c r="S17" s="58">
        <v>45.438000000000002</v>
      </c>
      <c r="T17" s="58">
        <v>96.856999999999999</v>
      </c>
      <c r="U17" s="58">
        <v>67.64</v>
      </c>
      <c r="V17" s="58">
        <v>29.216999999999999</v>
      </c>
      <c r="W17" s="58">
        <v>93.512</v>
      </c>
      <c r="X17" s="58">
        <v>77.290999999999997</v>
      </c>
      <c r="Y17" s="58">
        <v>16.221</v>
      </c>
      <c r="Z17" s="58">
        <v>203.172</v>
      </c>
      <c r="AA17" s="58">
        <v>84.39</v>
      </c>
      <c r="AB17" s="58">
        <v>118.782</v>
      </c>
      <c r="AC17" s="58">
        <v>1593.6949999999999</v>
      </c>
      <c r="AD17" s="58">
        <v>833.88300000000004</v>
      </c>
      <c r="AE17" s="58">
        <v>759.81100000000004</v>
      </c>
      <c r="AF17" s="58">
        <v>600.35</v>
      </c>
      <c r="AG17" s="58">
        <v>446.995</v>
      </c>
      <c r="AH17" s="58">
        <v>153.35499999999999</v>
      </c>
      <c r="AI17" s="58">
        <v>993.34400000000005</v>
      </c>
      <c r="AJ17" s="58">
        <v>386.88799999999998</v>
      </c>
      <c r="AK17" s="58">
        <v>606.45600000000002</v>
      </c>
      <c r="AL17" s="58">
        <v>754.06500000000005</v>
      </c>
      <c r="AM17" s="58">
        <v>565.26900000000001</v>
      </c>
      <c r="AN17" s="58">
        <v>188.79599999999999</v>
      </c>
      <c r="AO17" s="58">
        <v>1074.6130000000001</v>
      </c>
      <c r="AP17" s="58">
        <v>415.447</v>
      </c>
      <c r="AQ17" s="58">
        <v>659.16600000000005</v>
      </c>
      <c r="AR17" s="58">
        <v>1090.201</v>
      </c>
      <c r="AS17" s="58">
        <v>454.52800000000002</v>
      </c>
      <c r="AT17" s="58">
        <v>635.673</v>
      </c>
      <c r="AU17" s="58">
        <v>11068.312</v>
      </c>
      <c r="AV17" s="58">
        <v>5958.2049999999999</v>
      </c>
      <c r="AW17" s="58">
        <v>5110.107</v>
      </c>
      <c r="AX17" s="58">
        <v>7831.8469999999998</v>
      </c>
      <c r="AY17" s="58">
        <v>5023.9939999999997</v>
      </c>
      <c r="AZ17" s="58">
        <v>2807.8519999999999</v>
      </c>
      <c r="BA17" s="58">
        <v>3236.4650000000001</v>
      </c>
      <c r="BB17" s="58">
        <v>934.21100000000001</v>
      </c>
      <c r="BC17" s="58">
        <v>2302.2550000000001</v>
      </c>
      <c r="BD17" s="58">
        <v>1793.4490000000001</v>
      </c>
      <c r="BE17" s="58">
        <v>955.16300000000001</v>
      </c>
      <c r="BF17" s="58">
        <v>838.28599999999994</v>
      </c>
      <c r="BG17" s="58">
        <v>375.54199999999997</v>
      </c>
      <c r="BH17" s="58">
        <v>214.82</v>
      </c>
      <c r="BI17" s="58">
        <v>160.72200000000001</v>
      </c>
      <c r="BJ17" s="58">
        <v>184.30600000000001</v>
      </c>
      <c r="BK17" s="58">
        <v>138.86799999999999</v>
      </c>
      <c r="BL17" s="58">
        <v>45.438000000000002</v>
      </c>
      <c r="BM17" s="58">
        <v>92.301000000000002</v>
      </c>
      <c r="BN17" s="58">
        <v>63.084000000000003</v>
      </c>
      <c r="BO17" s="58">
        <v>29.216999999999999</v>
      </c>
      <c r="BP17" s="58">
        <v>92.006</v>
      </c>
      <c r="BQ17" s="58">
        <v>75.784000000000006</v>
      </c>
      <c r="BR17" s="58">
        <v>16.221</v>
      </c>
      <c r="BS17" s="58">
        <v>191.23599999999999</v>
      </c>
      <c r="BT17" s="58">
        <v>75.950999999999993</v>
      </c>
      <c r="BU17" s="58">
        <v>115.285</v>
      </c>
      <c r="BV17" s="58">
        <v>1572.2190000000001</v>
      </c>
      <c r="BW17" s="58">
        <v>819.05600000000004</v>
      </c>
      <c r="BX17" s="58">
        <v>753.16300000000001</v>
      </c>
      <c r="BY17" s="58">
        <v>595.96799999999996</v>
      </c>
      <c r="BZ17" s="58">
        <v>442.613</v>
      </c>
      <c r="CA17" s="58">
        <v>153.35499999999999</v>
      </c>
      <c r="CB17" s="58">
        <v>976.25099999999998</v>
      </c>
      <c r="CC17" s="58">
        <v>376.44299999999998</v>
      </c>
      <c r="CD17" s="58">
        <v>599.80799999999999</v>
      </c>
      <c r="CE17" s="58">
        <v>744.178</v>
      </c>
      <c r="CF17" s="58">
        <v>555.38099999999997</v>
      </c>
      <c r="CG17" s="58">
        <v>188.79599999999999</v>
      </c>
      <c r="CH17" s="58">
        <v>1049.2719999999999</v>
      </c>
      <c r="CI17" s="58">
        <v>399.78199999999998</v>
      </c>
      <c r="CJ17" s="58">
        <v>649.49</v>
      </c>
      <c r="CK17" s="58">
        <v>1068.5509999999999</v>
      </c>
      <c r="CL17" s="58">
        <v>439.52699999999999</v>
      </c>
      <c r="CM17" s="58">
        <v>629.024</v>
      </c>
      <c r="CN17" s="58">
        <v>1818.106</v>
      </c>
      <c r="CO17" s="58">
        <v>931.73299999999995</v>
      </c>
      <c r="CP17" s="58">
        <v>886.37300000000005</v>
      </c>
      <c r="CQ17" s="58">
        <v>909.86500000000001</v>
      </c>
      <c r="CR17" s="58">
        <v>545.22699999999998</v>
      </c>
      <c r="CS17" s="58">
        <v>364.63799999999998</v>
      </c>
      <c r="CT17" s="58">
        <v>908.24099999999999</v>
      </c>
      <c r="CU17" s="58">
        <v>386.50599999999997</v>
      </c>
      <c r="CV17" s="58">
        <v>521.73599999999999</v>
      </c>
      <c r="CW17" s="58">
        <v>535.08900000000006</v>
      </c>
      <c r="CX17" s="58">
        <v>269.18099999999998</v>
      </c>
      <c r="CY17" s="58">
        <v>265.90800000000002</v>
      </c>
      <c r="CZ17" s="58">
        <v>90.522000000000006</v>
      </c>
      <c r="DA17" s="58">
        <v>45.715000000000003</v>
      </c>
      <c r="DB17" s="58">
        <v>44.807000000000002</v>
      </c>
      <c r="DC17" s="58">
        <v>20.98</v>
      </c>
      <c r="DD17" s="58">
        <v>14.965999999999999</v>
      </c>
      <c r="DE17" s="58">
        <v>6.0140000000000002</v>
      </c>
      <c r="DF17" s="58">
        <v>15.207000000000001</v>
      </c>
      <c r="DG17" s="58">
        <v>9.64</v>
      </c>
      <c r="DH17" s="58">
        <v>5.5679999999999996</v>
      </c>
      <c r="DI17" s="58">
        <v>5.7729999999999997</v>
      </c>
      <c r="DJ17" s="58">
        <v>5.3259999999999996</v>
      </c>
      <c r="DK17" s="58">
        <v>0.44700000000000001</v>
      </c>
      <c r="DL17" s="58">
        <v>69.540999999999997</v>
      </c>
      <c r="DM17" s="58">
        <v>30.748999999999999</v>
      </c>
      <c r="DN17" s="58">
        <v>38.792999999999999</v>
      </c>
      <c r="DO17" s="58">
        <v>499.077</v>
      </c>
      <c r="DP17" s="58">
        <v>248.51599999999999</v>
      </c>
      <c r="DQ17" s="58">
        <v>250.56100000000001</v>
      </c>
      <c r="DR17" s="58">
        <v>109.926</v>
      </c>
      <c r="DS17" s="58">
        <v>72.152000000000001</v>
      </c>
      <c r="DT17" s="58">
        <v>37.774000000000001</v>
      </c>
      <c r="DU17" s="58">
        <v>389.15100000000001</v>
      </c>
      <c r="DV17" s="58">
        <v>176.363</v>
      </c>
      <c r="DW17" s="58">
        <v>212.78800000000001</v>
      </c>
      <c r="DX17" s="58">
        <v>125.078</v>
      </c>
      <c r="DY17" s="58">
        <v>83.435000000000002</v>
      </c>
      <c r="DZ17" s="58">
        <v>41.643000000000001</v>
      </c>
      <c r="EA17" s="58">
        <v>410.01100000000002</v>
      </c>
      <c r="EB17" s="58">
        <v>185.745</v>
      </c>
      <c r="EC17" s="58">
        <v>224.26599999999999</v>
      </c>
      <c r="ED17" s="58">
        <v>404.358</v>
      </c>
      <c r="EE17" s="58">
        <v>186.00299999999999</v>
      </c>
      <c r="EF17" s="58">
        <v>218.35499999999999</v>
      </c>
      <c r="EG17" s="58">
        <v>638.69899999999996</v>
      </c>
      <c r="EH17" s="58">
        <v>309.53199999999998</v>
      </c>
      <c r="EI17" s="58">
        <v>329.16699999999997</v>
      </c>
      <c r="EJ17" s="58">
        <v>170.85300000000001</v>
      </c>
      <c r="EK17" s="58">
        <v>113.44199999999999</v>
      </c>
      <c r="EL17" s="58">
        <v>57.411000000000001</v>
      </c>
      <c r="EM17" s="58">
        <v>467.84699999999998</v>
      </c>
      <c r="EN17" s="58">
        <v>196.09100000000001</v>
      </c>
      <c r="EO17" s="58">
        <v>271.75599999999997</v>
      </c>
      <c r="EP17" s="58">
        <v>226.56200000000001</v>
      </c>
      <c r="EQ17" s="58">
        <v>98.343999999999994</v>
      </c>
      <c r="ER17" s="58">
        <v>128.21799999999999</v>
      </c>
      <c r="ES17" s="58">
        <v>38.595999999999997</v>
      </c>
      <c r="ET17" s="58">
        <v>15.56</v>
      </c>
      <c r="EU17" s="58">
        <v>23.036000000000001</v>
      </c>
      <c r="EV17" s="58">
        <v>3.4670000000000001</v>
      </c>
      <c r="EW17" s="58">
        <v>1.891</v>
      </c>
      <c r="EX17" s="58">
        <v>1.5760000000000001</v>
      </c>
      <c r="EY17" s="58">
        <v>3.4670000000000001</v>
      </c>
      <c r="EZ17" s="58">
        <v>1.891</v>
      </c>
      <c r="FA17" s="58">
        <v>1.5760000000000001</v>
      </c>
      <c r="FB17" s="58">
        <v>0</v>
      </c>
      <c r="FC17" s="58">
        <v>0</v>
      </c>
      <c r="FD17" s="58">
        <v>0</v>
      </c>
      <c r="FE17" s="58">
        <v>35.128999999999998</v>
      </c>
      <c r="FF17" s="58">
        <v>13.67</v>
      </c>
      <c r="FG17" s="58">
        <v>21.46</v>
      </c>
      <c r="FH17" s="58">
        <v>213.33500000000001</v>
      </c>
      <c r="FI17" s="58">
        <v>93.85</v>
      </c>
      <c r="FJ17" s="58">
        <v>119.48399999999999</v>
      </c>
      <c r="FK17" s="58">
        <v>21.488</v>
      </c>
      <c r="FL17" s="58">
        <v>11.807</v>
      </c>
      <c r="FM17" s="58">
        <v>9.6820000000000004</v>
      </c>
      <c r="FN17" s="58">
        <v>191.846</v>
      </c>
      <c r="FO17" s="58">
        <v>82.043999999999997</v>
      </c>
      <c r="FP17" s="58">
        <v>109.80200000000001</v>
      </c>
      <c r="FQ17" s="58">
        <v>23.163</v>
      </c>
      <c r="FR17" s="58">
        <v>12.215</v>
      </c>
      <c r="FS17" s="58">
        <v>10.948</v>
      </c>
      <c r="FT17" s="58">
        <v>203.399</v>
      </c>
      <c r="FU17" s="58">
        <v>86.129000000000005</v>
      </c>
      <c r="FV17" s="58">
        <v>117.271</v>
      </c>
      <c r="FW17" s="58">
        <v>195.31299999999999</v>
      </c>
      <c r="FX17" s="58">
        <v>83.935000000000002</v>
      </c>
      <c r="FY17" s="58">
        <v>111.378</v>
      </c>
      <c r="FZ17" s="58">
        <v>1179.4069999999999</v>
      </c>
      <c r="GA17" s="58">
        <v>622.20100000000002</v>
      </c>
      <c r="GB17" s="58">
        <v>557.20600000000002</v>
      </c>
      <c r="GC17" s="58">
        <v>739.01199999999994</v>
      </c>
      <c r="GD17" s="58">
        <v>431.786</v>
      </c>
      <c r="GE17" s="58">
        <v>307.22699999999998</v>
      </c>
      <c r="GF17" s="58">
        <v>440.39499999999998</v>
      </c>
      <c r="GG17" s="58">
        <v>190.41499999999999</v>
      </c>
      <c r="GH17" s="58">
        <v>249.97900000000001</v>
      </c>
      <c r="GI17" s="58">
        <v>308.52699999999999</v>
      </c>
      <c r="GJ17" s="58">
        <v>170.83699999999999</v>
      </c>
      <c r="GK17" s="58">
        <v>137.69</v>
      </c>
      <c r="GL17" s="58">
        <v>51.926000000000002</v>
      </c>
      <c r="GM17" s="58">
        <v>30.154</v>
      </c>
      <c r="GN17" s="58">
        <v>21.771000000000001</v>
      </c>
      <c r="GO17" s="58">
        <v>17.513000000000002</v>
      </c>
      <c r="GP17" s="58">
        <v>13.074999999999999</v>
      </c>
      <c r="GQ17" s="58">
        <v>4.4379999999999997</v>
      </c>
      <c r="GR17" s="58">
        <v>11.741</v>
      </c>
      <c r="GS17" s="58">
        <v>7.7489999999999997</v>
      </c>
      <c r="GT17" s="58">
        <v>3.992</v>
      </c>
      <c r="GU17" s="58">
        <v>5.7729999999999997</v>
      </c>
      <c r="GV17" s="58">
        <v>5.3259999999999996</v>
      </c>
      <c r="GW17" s="58">
        <v>0.44700000000000001</v>
      </c>
      <c r="GX17" s="58">
        <v>34.411999999999999</v>
      </c>
      <c r="GY17" s="58">
        <v>17.079000000000001</v>
      </c>
      <c r="GZ17" s="58">
        <v>17.332999999999998</v>
      </c>
      <c r="HA17" s="58">
        <v>285.74200000000002</v>
      </c>
      <c r="HB17" s="58">
        <v>154.66499999999999</v>
      </c>
      <c r="HC17" s="58">
        <v>131.077</v>
      </c>
      <c r="HD17" s="58">
        <v>88.438000000000002</v>
      </c>
      <c r="HE17" s="58">
        <v>60.345999999999997</v>
      </c>
      <c r="HF17" s="58">
        <v>28.091999999999999</v>
      </c>
      <c r="HG17" s="58">
        <v>197.304</v>
      </c>
      <c r="HH17" s="58">
        <v>94.319000000000003</v>
      </c>
      <c r="HI17" s="58">
        <v>102.985</v>
      </c>
      <c r="HJ17" s="58">
        <v>101.91500000000001</v>
      </c>
      <c r="HK17" s="58">
        <v>71.22</v>
      </c>
      <c r="HL17" s="58">
        <v>30.695</v>
      </c>
      <c r="HM17" s="58">
        <v>206.61199999999999</v>
      </c>
      <c r="HN17" s="58">
        <v>99.617000000000004</v>
      </c>
      <c r="HO17" s="58">
        <v>106.995</v>
      </c>
      <c r="HP17" s="58">
        <v>209.04499999999999</v>
      </c>
      <c r="HQ17" s="58">
        <v>102.068</v>
      </c>
      <c r="HR17" s="58">
        <v>106.977</v>
      </c>
      <c r="HS17" s="58">
        <v>2693.5320000000002</v>
      </c>
      <c r="HT17" s="58">
        <v>1478.4169999999999</v>
      </c>
      <c r="HU17" s="58">
        <v>1215.115</v>
      </c>
      <c r="HV17" s="58">
        <v>2126.0419999999999</v>
      </c>
      <c r="HW17" s="58">
        <v>1318.6089999999999</v>
      </c>
      <c r="HX17" s="58">
        <v>807.43299999999999</v>
      </c>
      <c r="HY17" s="58">
        <v>567.49</v>
      </c>
      <c r="HZ17" s="58">
        <v>159.80799999999999</v>
      </c>
      <c r="IA17" s="58">
        <v>407.68200000000002</v>
      </c>
      <c r="IB17" s="58">
        <v>412.149</v>
      </c>
      <c r="IC17" s="58">
        <v>239.71700000000001</v>
      </c>
      <c r="ID17" s="58">
        <v>172.43199999999999</v>
      </c>
      <c r="IE17" s="58">
        <v>77.442999999999998</v>
      </c>
      <c r="IF17" s="58">
        <v>41.027000000000001</v>
      </c>
      <c r="IG17" s="58">
        <v>36.417000000000002</v>
      </c>
      <c r="IH17" s="58">
        <v>45.536999999999999</v>
      </c>
      <c r="II17" s="58">
        <v>31.062000000000001</v>
      </c>
      <c r="IJ17" s="58">
        <v>14.474</v>
      </c>
      <c r="IK17" s="58">
        <v>21.620999999999999</v>
      </c>
      <c r="IL17" s="58">
        <v>12.635</v>
      </c>
      <c r="IM17" s="58">
        <v>8.9860000000000007</v>
      </c>
      <c r="IN17" s="58">
        <v>23.916</v>
      </c>
      <c r="IO17" s="58">
        <v>18.428000000000001</v>
      </c>
      <c r="IP17" s="58">
        <v>5.4880000000000004</v>
      </c>
      <c r="IQ17" s="58">
        <v>31.905999999999999</v>
      </c>
    </row>
    <row r="18" spans="1:251">
      <c r="A18" s="5">
        <v>42036</v>
      </c>
      <c r="B18" s="58">
        <v>11724.132</v>
      </c>
      <c r="C18" s="58">
        <v>6334.1059999999998</v>
      </c>
      <c r="D18" s="58">
        <v>5390.0259999999998</v>
      </c>
      <c r="E18" s="58">
        <v>8152.7749999999996</v>
      </c>
      <c r="F18" s="58">
        <v>5249.8059999999996</v>
      </c>
      <c r="G18" s="58">
        <v>2902.9690000000001</v>
      </c>
      <c r="H18" s="58">
        <v>3571.357</v>
      </c>
      <c r="I18" s="58">
        <v>1084.3</v>
      </c>
      <c r="J18" s="58">
        <v>2487.0569999999998</v>
      </c>
      <c r="K18" s="58">
        <v>1759.6289999999999</v>
      </c>
      <c r="L18" s="58">
        <v>942.21699999999998</v>
      </c>
      <c r="M18" s="58">
        <v>817.41200000000003</v>
      </c>
      <c r="N18" s="58">
        <v>369.24900000000002</v>
      </c>
      <c r="O18" s="58">
        <v>205.024</v>
      </c>
      <c r="P18" s="58">
        <v>164.22499999999999</v>
      </c>
      <c r="Q18" s="58">
        <v>144.45599999999999</v>
      </c>
      <c r="R18" s="58">
        <v>110.839</v>
      </c>
      <c r="S18" s="58">
        <v>33.616999999999997</v>
      </c>
      <c r="T18" s="58">
        <v>78.594999999999999</v>
      </c>
      <c r="U18" s="58">
        <v>59.872</v>
      </c>
      <c r="V18" s="58">
        <v>18.722000000000001</v>
      </c>
      <c r="W18" s="58">
        <v>65.861000000000004</v>
      </c>
      <c r="X18" s="58">
        <v>50.966999999999999</v>
      </c>
      <c r="Y18" s="58">
        <v>14.894</v>
      </c>
      <c r="Z18" s="58">
        <v>224.79300000000001</v>
      </c>
      <c r="AA18" s="58">
        <v>94.183999999999997</v>
      </c>
      <c r="AB18" s="58">
        <v>130.60900000000001</v>
      </c>
      <c r="AC18" s="58">
        <v>1550.954</v>
      </c>
      <c r="AD18" s="58">
        <v>823.779</v>
      </c>
      <c r="AE18" s="58">
        <v>727.17499999999995</v>
      </c>
      <c r="AF18" s="58">
        <v>584.11599999999999</v>
      </c>
      <c r="AG18" s="58">
        <v>445.45100000000002</v>
      </c>
      <c r="AH18" s="58">
        <v>138.66499999999999</v>
      </c>
      <c r="AI18" s="58">
        <v>966.83799999999997</v>
      </c>
      <c r="AJ18" s="58">
        <v>378.32799999999997</v>
      </c>
      <c r="AK18" s="58">
        <v>588.51</v>
      </c>
      <c r="AL18" s="58">
        <v>692.34900000000005</v>
      </c>
      <c r="AM18" s="58">
        <v>528.33000000000004</v>
      </c>
      <c r="AN18" s="58">
        <v>164.018</v>
      </c>
      <c r="AO18" s="58">
        <v>1067.28</v>
      </c>
      <c r="AP18" s="58">
        <v>413.887</v>
      </c>
      <c r="AQ18" s="58">
        <v>653.39300000000003</v>
      </c>
      <c r="AR18" s="58">
        <v>1045.433</v>
      </c>
      <c r="AS18" s="58">
        <v>438.20100000000002</v>
      </c>
      <c r="AT18" s="58">
        <v>607.23199999999997</v>
      </c>
      <c r="AU18" s="58">
        <v>11300.955</v>
      </c>
      <c r="AV18" s="58">
        <v>6064.0190000000002</v>
      </c>
      <c r="AW18" s="58">
        <v>5236.9350000000004</v>
      </c>
      <c r="AX18" s="58">
        <v>7971.076</v>
      </c>
      <c r="AY18" s="58">
        <v>5106.5360000000001</v>
      </c>
      <c r="AZ18" s="58">
        <v>2864.54</v>
      </c>
      <c r="BA18" s="58">
        <v>3329.8789999999999</v>
      </c>
      <c r="BB18" s="58">
        <v>957.48299999999995</v>
      </c>
      <c r="BC18" s="58">
        <v>2372.395</v>
      </c>
      <c r="BD18" s="58">
        <v>1715.86</v>
      </c>
      <c r="BE18" s="58">
        <v>910.053</v>
      </c>
      <c r="BF18" s="58">
        <v>805.80700000000002</v>
      </c>
      <c r="BG18" s="58">
        <v>341.05799999999999</v>
      </c>
      <c r="BH18" s="58">
        <v>183.81800000000001</v>
      </c>
      <c r="BI18" s="58">
        <v>157.24</v>
      </c>
      <c r="BJ18" s="58">
        <v>137.22999999999999</v>
      </c>
      <c r="BK18" s="58">
        <v>103.88500000000001</v>
      </c>
      <c r="BL18" s="58">
        <v>33.344000000000001</v>
      </c>
      <c r="BM18" s="58">
        <v>73.78</v>
      </c>
      <c r="BN18" s="58">
        <v>55.33</v>
      </c>
      <c r="BO18" s="58">
        <v>18.45</v>
      </c>
      <c r="BP18" s="58">
        <v>63.45</v>
      </c>
      <c r="BQ18" s="58">
        <v>48.555999999999997</v>
      </c>
      <c r="BR18" s="58">
        <v>14.894</v>
      </c>
      <c r="BS18" s="58">
        <v>203.828</v>
      </c>
      <c r="BT18" s="58">
        <v>79.932000000000002</v>
      </c>
      <c r="BU18" s="58">
        <v>123.896</v>
      </c>
      <c r="BV18" s="58">
        <v>1528.627</v>
      </c>
      <c r="BW18" s="58">
        <v>808.90599999999995</v>
      </c>
      <c r="BX18" s="58">
        <v>719.72199999999998</v>
      </c>
      <c r="BY18" s="58">
        <v>581.37599999999998</v>
      </c>
      <c r="BZ18" s="58">
        <v>443.10700000000003</v>
      </c>
      <c r="CA18" s="58">
        <v>138.268</v>
      </c>
      <c r="CB18" s="58">
        <v>947.25199999999995</v>
      </c>
      <c r="CC18" s="58">
        <v>365.798</v>
      </c>
      <c r="CD18" s="58">
        <v>581.45399999999995</v>
      </c>
      <c r="CE18" s="58">
        <v>683.39499999999998</v>
      </c>
      <c r="CF18" s="58">
        <v>520.04600000000005</v>
      </c>
      <c r="CG18" s="58">
        <v>163.35</v>
      </c>
      <c r="CH18" s="58">
        <v>1032.4639999999999</v>
      </c>
      <c r="CI18" s="58">
        <v>390.00700000000001</v>
      </c>
      <c r="CJ18" s="58">
        <v>642.45699999999999</v>
      </c>
      <c r="CK18" s="58">
        <v>1021.032</v>
      </c>
      <c r="CL18" s="58">
        <v>421.12799999999999</v>
      </c>
      <c r="CM18" s="58">
        <v>599.904</v>
      </c>
      <c r="CN18" s="58">
        <v>1840.289</v>
      </c>
      <c r="CO18" s="58">
        <v>943.62800000000004</v>
      </c>
      <c r="CP18" s="58">
        <v>896.66099999999994</v>
      </c>
      <c r="CQ18" s="58">
        <v>900.00800000000004</v>
      </c>
      <c r="CR18" s="58">
        <v>533.76800000000003</v>
      </c>
      <c r="CS18" s="58">
        <v>366.24</v>
      </c>
      <c r="CT18" s="58">
        <v>940.28099999999995</v>
      </c>
      <c r="CU18" s="58">
        <v>409.86</v>
      </c>
      <c r="CV18" s="58">
        <v>530.42100000000005</v>
      </c>
      <c r="CW18" s="58">
        <v>487.55500000000001</v>
      </c>
      <c r="CX18" s="58">
        <v>249.73</v>
      </c>
      <c r="CY18" s="58">
        <v>237.82499999999999</v>
      </c>
      <c r="CZ18" s="58">
        <v>83.72</v>
      </c>
      <c r="DA18" s="58">
        <v>40.567</v>
      </c>
      <c r="DB18" s="58">
        <v>43.152999999999999</v>
      </c>
      <c r="DC18" s="58">
        <v>17.695</v>
      </c>
      <c r="DD18" s="58">
        <v>11.571999999999999</v>
      </c>
      <c r="DE18" s="58">
        <v>6.1239999999999997</v>
      </c>
      <c r="DF18" s="58">
        <v>13.353999999999999</v>
      </c>
      <c r="DG18" s="58">
        <v>8.02</v>
      </c>
      <c r="DH18" s="58">
        <v>5.3339999999999996</v>
      </c>
      <c r="DI18" s="58">
        <v>4.3419999999999996</v>
      </c>
      <c r="DJ18" s="58">
        <v>3.552</v>
      </c>
      <c r="DK18" s="58">
        <v>0.79</v>
      </c>
      <c r="DL18" s="58">
        <v>66.024000000000001</v>
      </c>
      <c r="DM18" s="58">
        <v>28.995000000000001</v>
      </c>
      <c r="DN18" s="58">
        <v>37.029000000000003</v>
      </c>
      <c r="DO18" s="58">
        <v>449.60599999999999</v>
      </c>
      <c r="DP18" s="58">
        <v>233.07400000000001</v>
      </c>
      <c r="DQ18" s="58">
        <v>216.53200000000001</v>
      </c>
      <c r="DR18" s="58">
        <v>106.22</v>
      </c>
      <c r="DS18" s="58">
        <v>73.12</v>
      </c>
      <c r="DT18" s="58">
        <v>33.1</v>
      </c>
      <c r="DU18" s="58">
        <v>343.38600000000002</v>
      </c>
      <c r="DV18" s="58">
        <v>159.95400000000001</v>
      </c>
      <c r="DW18" s="58">
        <v>183.43199999999999</v>
      </c>
      <c r="DX18" s="58">
        <v>117.39700000000001</v>
      </c>
      <c r="DY18" s="58">
        <v>80.710999999999999</v>
      </c>
      <c r="DZ18" s="58">
        <v>36.686</v>
      </c>
      <c r="EA18" s="58">
        <v>370.15800000000002</v>
      </c>
      <c r="EB18" s="58">
        <v>169.01900000000001</v>
      </c>
      <c r="EC18" s="58">
        <v>201.14</v>
      </c>
      <c r="ED18" s="58">
        <v>356.73899999999998</v>
      </c>
      <c r="EE18" s="58">
        <v>167.97399999999999</v>
      </c>
      <c r="EF18" s="58">
        <v>188.76599999999999</v>
      </c>
      <c r="EG18" s="58">
        <v>658.42899999999997</v>
      </c>
      <c r="EH18" s="58">
        <v>324.41199999999998</v>
      </c>
      <c r="EI18" s="58">
        <v>334.017</v>
      </c>
      <c r="EJ18" s="58">
        <v>173.39099999999999</v>
      </c>
      <c r="EK18" s="58">
        <v>115.001</v>
      </c>
      <c r="EL18" s="58">
        <v>58.39</v>
      </c>
      <c r="EM18" s="58">
        <v>485.03800000000001</v>
      </c>
      <c r="EN18" s="58">
        <v>209.41</v>
      </c>
      <c r="EO18" s="58">
        <v>275.62799999999999</v>
      </c>
      <c r="EP18" s="58">
        <v>206.53399999999999</v>
      </c>
      <c r="EQ18" s="58">
        <v>94.649000000000001</v>
      </c>
      <c r="ER18" s="58">
        <v>111.88500000000001</v>
      </c>
      <c r="ES18" s="58">
        <v>45.158999999999999</v>
      </c>
      <c r="ET18" s="58">
        <v>21.468</v>
      </c>
      <c r="EU18" s="58">
        <v>23.692</v>
      </c>
      <c r="EV18" s="58">
        <v>4.3239999999999998</v>
      </c>
      <c r="EW18" s="58">
        <v>3.218</v>
      </c>
      <c r="EX18" s="58">
        <v>1.105</v>
      </c>
      <c r="EY18" s="58">
        <v>3.2290000000000001</v>
      </c>
      <c r="EZ18" s="58">
        <v>2.1230000000000002</v>
      </c>
      <c r="FA18" s="58">
        <v>1.105</v>
      </c>
      <c r="FB18" s="58">
        <v>1.095</v>
      </c>
      <c r="FC18" s="58">
        <v>1.095</v>
      </c>
      <c r="FD18" s="58">
        <v>0</v>
      </c>
      <c r="FE18" s="58">
        <v>40.835999999999999</v>
      </c>
      <c r="FF18" s="58">
        <v>18.25</v>
      </c>
      <c r="FG18" s="58">
        <v>22.585999999999999</v>
      </c>
      <c r="FH18" s="58">
        <v>185.65299999999999</v>
      </c>
      <c r="FI18" s="58">
        <v>86.215000000000003</v>
      </c>
      <c r="FJ18" s="58">
        <v>99.438000000000002</v>
      </c>
      <c r="FK18" s="58">
        <v>19.91</v>
      </c>
      <c r="FL18" s="58">
        <v>11.346</v>
      </c>
      <c r="FM18" s="58">
        <v>8.5630000000000006</v>
      </c>
      <c r="FN18" s="58">
        <v>165.744</v>
      </c>
      <c r="FO18" s="58">
        <v>74.869</v>
      </c>
      <c r="FP18" s="58">
        <v>90.875</v>
      </c>
      <c r="FQ18" s="58">
        <v>21.875</v>
      </c>
      <c r="FR18" s="58">
        <v>13.311999999999999</v>
      </c>
      <c r="FS18" s="58">
        <v>8.5630000000000006</v>
      </c>
      <c r="FT18" s="58">
        <v>184.66</v>
      </c>
      <c r="FU18" s="58">
        <v>81.337999999999994</v>
      </c>
      <c r="FV18" s="58">
        <v>103.322</v>
      </c>
      <c r="FW18" s="58">
        <v>168.97200000000001</v>
      </c>
      <c r="FX18" s="58">
        <v>76.992000000000004</v>
      </c>
      <c r="FY18" s="58">
        <v>91.98</v>
      </c>
      <c r="FZ18" s="58">
        <v>1181.8599999999999</v>
      </c>
      <c r="GA18" s="58">
        <v>619.21600000000001</v>
      </c>
      <c r="GB18" s="58">
        <v>562.64300000000003</v>
      </c>
      <c r="GC18" s="58">
        <v>726.61699999999996</v>
      </c>
      <c r="GD18" s="58">
        <v>418.767</v>
      </c>
      <c r="GE18" s="58">
        <v>307.85000000000002</v>
      </c>
      <c r="GF18" s="58">
        <v>455.24299999999999</v>
      </c>
      <c r="GG18" s="58">
        <v>200.45</v>
      </c>
      <c r="GH18" s="58">
        <v>254.79300000000001</v>
      </c>
      <c r="GI18" s="58">
        <v>281.02100000000002</v>
      </c>
      <c r="GJ18" s="58">
        <v>155.08099999999999</v>
      </c>
      <c r="GK18" s="58">
        <v>125.94</v>
      </c>
      <c r="GL18" s="58">
        <v>38.56</v>
      </c>
      <c r="GM18" s="58">
        <v>19.099</v>
      </c>
      <c r="GN18" s="58">
        <v>19.460999999999999</v>
      </c>
      <c r="GO18" s="58">
        <v>13.372</v>
      </c>
      <c r="GP18" s="58">
        <v>8.3539999999999992</v>
      </c>
      <c r="GQ18" s="58">
        <v>5.0179999999999998</v>
      </c>
      <c r="GR18" s="58">
        <v>10.125</v>
      </c>
      <c r="GS18" s="58">
        <v>5.8970000000000002</v>
      </c>
      <c r="GT18" s="58">
        <v>4.2279999999999998</v>
      </c>
      <c r="GU18" s="58">
        <v>3.2469999999999999</v>
      </c>
      <c r="GV18" s="58">
        <v>2.4569999999999999</v>
      </c>
      <c r="GW18" s="58">
        <v>0.79</v>
      </c>
      <c r="GX18" s="58">
        <v>25.187999999999999</v>
      </c>
      <c r="GY18" s="58">
        <v>10.744999999999999</v>
      </c>
      <c r="GZ18" s="58">
        <v>14.443</v>
      </c>
      <c r="HA18" s="58">
        <v>263.95299999999997</v>
      </c>
      <c r="HB18" s="58">
        <v>146.85900000000001</v>
      </c>
      <c r="HC18" s="58">
        <v>117.09399999999999</v>
      </c>
      <c r="HD18" s="58">
        <v>86.31</v>
      </c>
      <c r="HE18" s="58">
        <v>61.774000000000001</v>
      </c>
      <c r="HF18" s="58">
        <v>24.536999999999999</v>
      </c>
      <c r="HG18" s="58">
        <v>177.642</v>
      </c>
      <c r="HH18" s="58">
        <v>85.084999999999994</v>
      </c>
      <c r="HI18" s="58">
        <v>92.557000000000002</v>
      </c>
      <c r="HJ18" s="58">
        <v>95.522000000000006</v>
      </c>
      <c r="HK18" s="58">
        <v>67.399000000000001</v>
      </c>
      <c r="HL18" s="58">
        <v>28.122</v>
      </c>
      <c r="HM18" s="58">
        <v>185.499</v>
      </c>
      <c r="HN18" s="58">
        <v>87.680999999999997</v>
      </c>
      <c r="HO18" s="58">
        <v>97.817999999999998</v>
      </c>
      <c r="HP18" s="58">
        <v>187.767</v>
      </c>
      <c r="HQ18" s="58">
        <v>90.981999999999999</v>
      </c>
      <c r="HR18" s="58">
        <v>96.784999999999997</v>
      </c>
      <c r="HS18" s="58">
        <v>2766.28</v>
      </c>
      <c r="HT18" s="58">
        <v>1505.925</v>
      </c>
      <c r="HU18" s="58">
        <v>1260.355</v>
      </c>
      <c r="HV18" s="58">
        <v>2157.6170000000002</v>
      </c>
      <c r="HW18" s="58">
        <v>1339.5060000000001</v>
      </c>
      <c r="HX18" s="58">
        <v>818.11099999999999</v>
      </c>
      <c r="HY18" s="58">
        <v>608.66300000000001</v>
      </c>
      <c r="HZ18" s="58">
        <v>166.41900000000001</v>
      </c>
      <c r="IA18" s="58">
        <v>442.24400000000003</v>
      </c>
      <c r="IB18" s="58">
        <v>396.19600000000003</v>
      </c>
      <c r="IC18" s="58">
        <v>237.054</v>
      </c>
      <c r="ID18" s="58">
        <v>159.143</v>
      </c>
      <c r="IE18" s="58">
        <v>65.23</v>
      </c>
      <c r="IF18" s="58">
        <v>36.991</v>
      </c>
      <c r="IG18" s="58">
        <v>28.239000000000001</v>
      </c>
      <c r="IH18" s="58">
        <v>32.732999999999997</v>
      </c>
      <c r="II18" s="58">
        <v>25.472000000000001</v>
      </c>
      <c r="IJ18" s="58">
        <v>7.2610000000000001</v>
      </c>
      <c r="IK18" s="58">
        <v>17.3</v>
      </c>
      <c r="IL18" s="58">
        <v>15.603</v>
      </c>
      <c r="IM18" s="58">
        <v>1.6970000000000001</v>
      </c>
      <c r="IN18" s="58">
        <v>15.432</v>
      </c>
      <c r="IO18" s="58">
        <v>9.8689999999999998</v>
      </c>
      <c r="IP18" s="58">
        <v>5.5629999999999997</v>
      </c>
      <c r="IQ18" s="58">
        <v>32.497</v>
      </c>
    </row>
    <row r="19" spans="1:251">
      <c r="A19" s="5">
        <v>42064</v>
      </c>
      <c r="B19" s="58">
        <v>11698.200999999999</v>
      </c>
      <c r="C19" s="58">
        <v>6324.7910000000002</v>
      </c>
      <c r="D19" s="58">
        <v>5373.41</v>
      </c>
      <c r="E19" s="58">
        <v>8076.9759999999997</v>
      </c>
      <c r="F19" s="58">
        <v>5221.0730000000003</v>
      </c>
      <c r="G19" s="58">
        <v>2855.9029999999998</v>
      </c>
      <c r="H19" s="58">
        <v>3621.2249999999999</v>
      </c>
      <c r="I19" s="58">
        <v>1103.7170000000001</v>
      </c>
      <c r="J19" s="58">
        <v>2517.5070000000001</v>
      </c>
      <c r="K19" s="58">
        <v>1708.2170000000001</v>
      </c>
      <c r="L19" s="58">
        <v>901.81899999999996</v>
      </c>
      <c r="M19" s="58">
        <v>806.39800000000002</v>
      </c>
      <c r="N19" s="58">
        <v>313.15499999999997</v>
      </c>
      <c r="O19" s="58">
        <v>180.999</v>
      </c>
      <c r="P19" s="58">
        <v>132.15600000000001</v>
      </c>
      <c r="Q19" s="58">
        <v>126.63200000000001</v>
      </c>
      <c r="R19" s="58">
        <v>98.917000000000002</v>
      </c>
      <c r="S19" s="58">
        <v>27.715</v>
      </c>
      <c r="T19" s="58">
        <v>67.063000000000002</v>
      </c>
      <c r="U19" s="58">
        <v>50.514000000000003</v>
      </c>
      <c r="V19" s="58">
        <v>16.548999999999999</v>
      </c>
      <c r="W19" s="58">
        <v>59.569000000000003</v>
      </c>
      <c r="X19" s="58">
        <v>48.402999999999999</v>
      </c>
      <c r="Y19" s="58">
        <v>11.166</v>
      </c>
      <c r="Z19" s="58">
        <v>186.524</v>
      </c>
      <c r="AA19" s="58">
        <v>82.081999999999994</v>
      </c>
      <c r="AB19" s="58">
        <v>104.44199999999999</v>
      </c>
      <c r="AC19" s="58">
        <v>1529.204</v>
      </c>
      <c r="AD19" s="58">
        <v>793.84699999999998</v>
      </c>
      <c r="AE19" s="58">
        <v>735.35699999999997</v>
      </c>
      <c r="AF19" s="58">
        <v>588.84400000000005</v>
      </c>
      <c r="AG19" s="58">
        <v>448.06099999999998</v>
      </c>
      <c r="AH19" s="58">
        <v>140.78399999999999</v>
      </c>
      <c r="AI19" s="58">
        <v>940.36</v>
      </c>
      <c r="AJ19" s="58">
        <v>345.786</v>
      </c>
      <c r="AK19" s="58">
        <v>594.57299999999998</v>
      </c>
      <c r="AL19" s="58">
        <v>684.41700000000003</v>
      </c>
      <c r="AM19" s="58">
        <v>522.79399999999998</v>
      </c>
      <c r="AN19" s="58">
        <v>161.62299999999999</v>
      </c>
      <c r="AO19" s="58">
        <v>1023.8</v>
      </c>
      <c r="AP19" s="58">
        <v>379.02499999999998</v>
      </c>
      <c r="AQ19" s="58">
        <v>644.77499999999998</v>
      </c>
      <c r="AR19" s="58">
        <v>1007.422</v>
      </c>
      <c r="AS19" s="58">
        <v>396.3</v>
      </c>
      <c r="AT19" s="58">
        <v>611.12199999999996</v>
      </c>
      <c r="AU19" s="58">
        <v>11280.504999999999</v>
      </c>
      <c r="AV19" s="58">
        <v>6061.5320000000002</v>
      </c>
      <c r="AW19" s="58">
        <v>5218.973</v>
      </c>
      <c r="AX19" s="58">
        <v>7887.5540000000001</v>
      </c>
      <c r="AY19" s="58">
        <v>5077.6559999999999</v>
      </c>
      <c r="AZ19" s="58">
        <v>2809.8980000000001</v>
      </c>
      <c r="BA19" s="58">
        <v>3392.95</v>
      </c>
      <c r="BB19" s="58">
        <v>983.87599999999998</v>
      </c>
      <c r="BC19" s="58">
        <v>2409.0740000000001</v>
      </c>
      <c r="BD19" s="58">
        <v>1674.721</v>
      </c>
      <c r="BE19" s="58">
        <v>879.37900000000002</v>
      </c>
      <c r="BF19" s="58">
        <v>795.34199999999998</v>
      </c>
      <c r="BG19" s="58">
        <v>295.416</v>
      </c>
      <c r="BH19" s="58">
        <v>169.99199999999999</v>
      </c>
      <c r="BI19" s="58">
        <v>125.42400000000001</v>
      </c>
      <c r="BJ19" s="58">
        <v>121.226</v>
      </c>
      <c r="BK19" s="58">
        <v>94.765000000000001</v>
      </c>
      <c r="BL19" s="58">
        <v>26.460999999999999</v>
      </c>
      <c r="BM19" s="58">
        <v>63.892000000000003</v>
      </c>
      <c r="BN19" s="58">
        <v>48.192</v>
      </c>
      <c r="BO19" s="58">
        <v>15.699</v>
      </c>
      <c r="BP19" s="58">
        <v>57.334000000000003</v>
      </c>
      <c r="BQ19" s="58">
        <v>46.572000000000003</v>
      </c>
      <c r="BR19" s="58">
        <v>10.762</v>
      </c>
      <c r="BS19" s="58">
        <v>174.19</v>
      </c>
      <c r="BT19" s="58">
        <v>75.227000000000004</v>
      </c>
      <c r="BU19" s="58">
        <v>98.962999999999994</v>
      </c>
      <c r="BV19" s="58">
        <v>1508.596</v>
      </c>
      <c r="BW19" s="58">
        <v>778.79200000000003</v>
      </c>
      <c r="BX19" s="58">
        <v>729.80399999999997</v>
      </c>
      <c r="BY19" s="58">
        <v>583.81500000000005</v>
      </c>
      <c r="BZ19" s="58">
        <v>443.03100000000001</v>
      </c>
      <c r="CA19" s="58">
        <v>140.78399999999999</v>
      </c>
      <c r="CB19" s="58">
        <v>924.78099999999995</v>
      </c>
      <c r="CC19" s="58">
        <v>335.76100000000002</v>
      </c>
      <c r="CD19" s="58">
        <v>589.02</v>
      </c>
      <c r="CE19" s="58">
        <v>674.85400000000004</v>
      </c>
      <c r="CF19" s="58">
        <v>514.48400000000004</v>
      </c>
      <c r="CG19" s="58">
        <v>160.37</v>
      </c>
      <c r="CH19" s="58">
        <v>999.86699999999996</v>
      </c>
      <c r="CI19" s="58">
        <v>364.89499999999998</v>
      </c>
      <c r="CJ19" s="58">
        <v>634.97199999999998</v>
      </c>
      <c r="CK19" s="58">
        <v>988.673</v>
      </c>
      <c r="CL19" s="58">
        <v>383.95299999999997</v>
      </c>
      <c r="CM19" s="58">
        <v>604.72</v>
      </c>
      <c r="CN19" s="58">
        <v>1817.143</v>
      </c>
      <c r="CO19" s="58">
        <v>931.35799999999995</v>
      </c>
      <c r="CP19" s="58">
        <v>885.78499999999997</v>
      </c>
      <c r="CQ19" s="58">
        <v>860.40700000000004</v>
      </c>
      <c r="CR19" s="58">
        <v>521.38400000000001</v>
      </c>
      <c r="CS19" s="58">
        <v>339.02300000000002</v>
      </c>
      <c r="CT19" s="58">
        <v>956.73599999999999</v>
      </c>
      <c r="CU19" s="58">
        <v>409.97399999999999</v>
      </c>
      <c r="CV19" s="58">
        <v>546.76199999999994</v>
      </c>
      <c r="CW19" s="58">
        <v>475.85700000000003</v>
      </c>
      <c r="CX19" s="58">
        <v>236.63399999999999</v>
      </c>
      <c r="CY19" s="58">
        <v>239.22300000000001</v>
      </c>
      <c r="CZ19" s="58">
        <v>74.745999999999995</v>
      </c>
      <c r="DA19" s="58">
        <v>45.234000000000002</v>
      </c>
      <c r="DB19" s="58">
        <v>29.512</v>
      </c>
      <c r="DC19" s="58">
        <v>14.5</v>
      </c>
      <c r="DD19" s="58">
        <v>12.085000000000001</v>
      </c>
      <c r="DE19" s="58">
        <v>2.415</v>
      </c>
      <c r="DF19" s="58">
        <v>9.1820000000000004</v>
      </c>
      <c r="DG19" s="58">
        <v>7.2460000000000004</v>
      </c>
      <c r="DH19" s="58">
        <v>1.9359999999999999</v>
      </c>
      <c r="DI19" s="58">
        <v>5.3179999999999996</v>
      </c>
      <c r="DJ19" s="58">
        <v>4.8380000000000001</v>
      </c>
      <c r="DK19" s="58">
        <v>0.48</v>
      </c>
      <c r="DL19" s="58">
        <v>60.246000000000002</v>
      </c>
      <c r="DM19" s="58">
        <v>33.149000000000001</v>
      </c>
      <c r="DN19" s="58">
        <v>27.097000000000001</v>
      </c>
      <c r="DO19" s="58">
        <v>446.24200000000002</v>
      </c>
      <c r="DP19" s="58">
        <v>217.59100000000001</v>
      </c>
      <c r="DQ19" s="58">
        <v>228.65100000000001</v>
      </c>
      <c r="DR19" s="58">
        <v>105.93899999999999</v>
      </c>
      <c r="DS19" s="58">
        <v>69.337000000000003</v>
      </c>
      <c r="DT19" s="58">
        <v>36.601999999999997</v>
      </c>
      <c r="DU19" s="58">
        <v>340.303</v>
      </c>
      <c r="DV19" s="58">
        <v>148.25399999999999</v>
      </c>
      <c r="DW19" s="58">
        <v>192.04900000000001</v>
      </c>
      <c r="DX19" s="58">
        <v>113.29600000000001</v>
      </c>
      <c r="DY19" s="58">
        <v>76.025999999999996</v>
      </c>
      <c r="DZ19" s="58">
        <v>37.270000000000003</v>
      </c>
      <c r="EA19" s="58">
        <v>362.56099999999998</v>
      </c>
      <c r="EB19" s="58">
        <v>160.608</v>
      </c>
      <c r="EC19" s="58">
        <v>201.953</v>
      </c>
      <c r="ED19" s="58">
        <v>349.48500000000001</v>
      </c>
      <c r="EE19" s="58">
        <v>155.501</v>
      </c>
      <c r="EF19" s="58">
        <v>193.98500000000001</v>
      </c>
      <c r="EG19" s="58">
        <v>644.37300000000005</v>
      </c>
      <c r="EH19" s="58">
        <v>318.95600000000002</v>
      </c>
      <c r="EI19" s="58">
        <v>325.41699999999997</v>
      </c>
      <c r="EJ19" s="58">
        <v>150.72300000000001</v>
      </c>
      <c r="EK19" s="58">
        <v>109.199</v>
      </c>
      <c r="EL19" s="58">
        <v>41.523000000000003</v>
      </c>
      <c r="EM19" s="58">
        <v>493.65100000000001</v>
      </c>
      <c r="EN19" s="58">
        <v>209.75700000000001</v>
      </c>
      <c r="EO19" s="58">
        <v>283.89400000000001</v>
      </c>
      <c r="EP19" s="58">
        <v>206.79400000000001</v>
      </c>
      <c r="EQ19" s="58">
        <v>93.599000000000004</v>
      </c>
      <c r="ER19" s="58">
        <v>113.19499999999999</v>
      </c>
      <c r="ES19" s="58">
        <v>33.826999999999998</v>
      </c>
      <c r="ET19" s="58">
        <v>18.875</v>
      </c>
      <c r="EU19" s="58">
        <v>14.951000000000001</v>
      </c>
      <c r="EV19" s="58">
        <v>2.1749999999999998</v>
      </c>
      <c r="EW19" s="58">
        <v>2.1749999999999998</v>
      </c>
      <c r="EX19" s="58">
        <v>0</v>
      </c>
      <c r="EY19" s="58">
        <v>0.73299999999999998</v>
      </c>
      <c r="EZ19" s="58">
        <v>0.73299999999999998</v>
      </c>
      <c r="FA19" s="58">
        <v>0</v>
      </c>
      <c r="FB19" s="58">
        <v>1.4419999999999999</v>
      </c>
      <c r="FC19" s="58">
        <v>1.4419999999999999</v>
      </c>
      <c r="FD19" s="58">
        <v>0</v>
      </c>
      <c r="FE19" s="58">
        <v>31.652000000000001</v>
      </c>
      <c r="FF19" s="58">
        <v>16.7</v>
      </c>
      <c r="FG19" s="58">
        <v>14.951000000000001</v>
      </c>
      <c r="FH19" s="58">
        <v>188.73400000000001</v>
      </c>
      <c r="FI19" s="58">
        <v>82.867000000000004</v>
      </c>
      <c r="FJ19" s="58">
        <v>105.867</v>
      </c>
      <c r="FK19" s="58">
        <v>20.026</v>
      </c>
      <c r="FL19" s="58">
        <v>13.208</v>
      </c>
      <c r="FM19" s="58">
        <v>6.8179999999999996</v>
      </c>
      <c r="FN19" s="58">
        <v>168.708</v>
      </c>
      <c r="FO19" s="58">
        <v>69.659000000000006</v>
      </c>
      <c r="FP19" s="58">
        <v>99.049000000000007</v>
      </c>
      <c r="FQ19" s="58">
        <v>21.79</v>
      </c>
      <c r="FR19" s="58">
        <v>14.971</v>
      </c>
      <c r="FS19" s="58">
        <v>6.8179999999999996</v>
      </c>
      <c r="FT19" s="58">
        <v>185.00399999999999</v>
      </c>
      <c r="FU19" s="58">
        <v>78.628</v>
      </c>
      <c r="FV19" s="58">
        <v>106.377</v>
      </c>
      <c r="FW19" s="58">
        <v>169.441</v>
      </c>
      <c r="FX19" s="58">
        <v>70.393000000000001</v>
      </c>
      <c r="FY19" s="58">
        <v>99.049000000000007</v>
      </c>
      <c r="FZ19" s="58">
        <v>1172.77</v>
      </c>
      <c r="GA19" s="58">
        <v>612.40200000000004</v>
      </c>
      <c r="GB19" s="58">
        <v>560.36800000000005</v>
      </c>
      <c r="GC19" s="58">
        <v>709.68499999999995</v>
      </c>
      <c r="GD19" s="58">
        <v>412.185</v>
      </c>
      <c r="GE19" s="58">
        <v>297.5</v>
      </c>
      <c r="GF19" s="58">
        <v>463.08499999999998</v>
      </c>
      <c r="GG19" s="58">
        <v>200.21700000000001</v>
      </c>
      <c r="GH19" s="58">
        <v>262.86799999999999</v>
      </c>
      <c r="GI19" s="58">
        <v>269.06400000000002</v>
      </c>
      <c r="GJ19" s="58">
        <v>143.035</v>
      </c>
      <c r="GK19" s="58">
        <v>126.02800000000001</v>
      </c>
      <c r="GL19" s="58">
        <v>40.918999999999997</v>
      </c>
      <c r="GM19" s="58">
        <v>26.358000000000001</v>
      </c>
      <c r="GN19" s="58">
        <v>14.561</v>
      </c>
      <c r="GO19" s="58">
        <v>12.324999999999999</v>
      </c>
      <c r="GP19" s="58">
        <v>9.91</v>
      </c>
      <c r="GQ19" s="58">
        <v>2.415</v>
      </c>
      <c r="GR19" s="58">
        <v>8.4489999999999998</v>
      </c>
      <c r="GS19" s="58">
        <v>6.5129999999999999</v>
      </c>
      <c r="GT19" s="58">
        <v>1.9359999999999999</v>
      </c>
      <c r="GU19" s="58">
        <v>3.8759999999999999</v>
      </c>
      <c r="GV19" s="58">
        <v>3.3959999999999999</v>
      </c>
      <c r="GW19" s="58">
        <v>0.48</v>
      </c>
      <c r="GX19" s="58">
        <v>28.594000000000001</v>
      </c>
      <c r="GY19" s="58">
        <v>16.449000000000002</v>
      </c>
      <c r="GZ19" s="58">
        <v>12.145</v>
      </c>
      <c r="HA19" s="58">
        <v>257.50799999999998</v>
      </c>
      <c r="HB19" s="58">
        <v>134.72399999999999</v>
      </c>
      <c r="HC19" s="58">
        <v>122.78400000000001</v>
      </c>
      <c r="HD19" s="58">
        <v>85.912000000000006</v>
      </c>
      <c r="HE19" s="58">
        <v>56.128999999999998</v>
      </c>
      <c r="HF19" s="58">
        <v>29.783000000000001</v>
      </c>
      <c r="HG19" s="58">
        <v>171.595</v>
      </c>
      <c r="HH19" s="58">
        <v>78.594999999999999</v>
      </c>
      <c r="HI19" s="58">
        <v>93</v>
      </c>
      <c r="HJ19" s="58">
        <v>91.507000000000005</v>
      </c>
      <c r="HK19" s="58">
        <v>61.055</v>
      </c>
      <c r="HL19" s="58">
        <v>30.452000000000002</v>
      </c>
      <c r="HM19" s="58">
        <v>177.55699999999999</v>
      </c>
      <c r="HN19" s="58">
        <v>81.98</v>
      </c>
      <c r="HO19" s="58">
        <v>95.576999999999998</v>
      </c>
      <c r="HP19" s="58">
        <v>180.04400000000001</v>
      </c>
      <c r="HQ19" s="58">
        <v>85.108000000000004</v>
      </c>
      <c r="HR19" s="58">
        <v>94.936000000000007</v>
      </c>
      <c r="HS19" s="58">
        <v>2763.8139999999999</v>
      </c>
      <c r="HT19" s="58">
        <v>1509.7940000000001</v>
      </c>
      <c r="HU19" s="58">
        <v>1254.02</v>
      </c>
      <c r="HV19" s="58">
        <v>2148.7179999999998</v>
      </c>
      <c r="HW19" s="58">
        <v>1337.645</v>
      </c>
      <c r="HX19" s="58">
        <v>811.07299999999998</v>
      </c>
      <c r="HY19" s="58">
        <v>615.096</v>
      </c>
      <c r="HZ19" s="58">
        <v>172.149</v>
      </c>
      <c r="IA19" s="58">
        <v>442.94600000000003</v>
      </c>
      <c r="IB19" s="58">
        <v>380.745</v>
      </c>
      <c r="IC19" s="58">
        <v>226.36</v>
      </c>
      <c r="ID19" s="58">
        <v>154.38499999999999</v>
      </c>
      <c r="IE19" s="58">
        <v>58.814</v>
      </c>
      <c r="IF19" s="58">
        <v>36.223999999999997</v>
      </c>
      <c r="IG19" s="58">
        <v>22.59</v>
      </c>
      <c r="IH19" s="58">
        <v>27.481999999999999</v>
      </c>
      <c r="II19" s="58">
        <v>22.567</v>
      </c>
      <c r="IJ19" s="58">
        <v>4.915</v>
      </c>
      <c r="IK19" s="58">
        <v>14.680999999999999</v>
      </c>
      <c r="IL19" s="58">
        <v>11.739000000000001</v>
      </c>
      <c r="IM19" s="58">
        <v>2.9409999999999998</v>
      </c>
      <c r="IN19" s="58">
        <v>12.801</v>
      </c>
      <c r="IO19" s="58">
        <v>10.827999999999999</v>
      </c>
      <c r="IP19" s="58">
        <v>1.9730000000000001</v>
      </c>
      <c r="IQ19" s="58">
        <v>31.332000000000001</v>
      </c>
    </row>
    <row r="20" spans="1:251">
      <c r="A20" s="5">
        <v>42095</v>
      </c>
      <c r="B20" s="58">
        <v>11711.507</v>
      </c>
      <c r="C20" s="58">
        <v>6320.027</v>
      </c>
      <c r="D20" s="58">
        <v>5391.4809999999998</v>
      </c>
      <c r="E20" s="58">
        <v>8057.65</v>
      </c>
      <c r="F20" s="58">
        <v>5175.8819999999996</v>
      </c>
      <c r="G20" s="58">
        <v>2881.768</v>
      </c>
      <c r="H20" s="58">
        <v>3653.857</v>
      </c>
      <c r="I20" s="58">
        <v>1144.145</v>
      </c>
      <c r="J20" s="58">
        <v>2509.7130000000002</v>
      </c>
      <c r="K20" s="58">
        <v>1718.127</v>
      </c>
      <c r="L20" s="58">
        <v>928.822</v>
      </c>
      <c r="M20" s="58">
        <v>789.30600000000004</v>
      </c>
      <c r="N20" s="58">
        <v>276.71800000000002</v>
      </c>
      <c r="O20" s="58">
        <v>154.58000000000001</v>
      </c>
      <c r="P20" s="58">
        <v>122.13800000000001</v>
      </c>
      <c r="Q20" s="58">
        <v>74.843000000000004</v>
      </c>
      <c r="R20" s="58">
        <v>58.052</v>
      </c>
      <c r="S20" s="58">
        <v>16.791</v>
      </c>
      <c r="T20" s="58">
        <v>51.253</v>
      </c>
      <c r="U20" s="58">
        <v>39.459000000000003</v>
      </c>
      <c r="V20" s="58">
        <v>11.795</v>
      </c>
      <c r="W20" s="58">
        <v>23.59</v>
      </c>
      <c r="X20" s="58">
        <v>18.593</v>
      </c>
      <c r="Y20" s="58">
        <v>4.9969999999999999</v>
      </c>
      <c r="Z20" s="58">
        <v>201.875</v>
      </c>
      <c r="AA20" s="58">
        <v>96.528000000000006</v>
      </c>
      <c r="AB20" s="58">
        <v>105.34699999999999</v>
      </c>
      <c r="AC20" s="58">
        <v>1576.62</v>
      </c>
      <c r="AD20" s="58">
        <v>851.52300000000002</v>
      </c>
      <c r="AE20" s="58">
        <v>725.09699999999998</v>
      </c>
      <c r="AF20" s="58">
        <v>612.54</v>
      </c>
      <c r="AG20" s="58">
        <v>470.31900000000002</v>
      </c>
      <c r="AH20" s="58">
        <v>142.221</v>
      </c>
      <c r="AI20" s="58">
        <v>964.08</v>
      </c>
      <c r="AJ20" s="58">
        <v>381.20499999999998</v>
      </c>
      <c r="AK20" s="58">
        <v>582.87599999999998</v>
      </c>
      <c r="AL20" s="58">
        <v>663.95</v>
      </c>
      <c r="AM20" s="58">
        <v>508.89499999999998</v>
      </c>
      <c r="AN20" s="58">
        <v>155.05600000000001</v>
      </c>
      <c r="AO20" s="58">
        <v>1054.1769999999999</v>
      </c>
      <c r="AP20" s="58">
        <v>419.92700000000002</v>
      </c>
      <c r="AQ20" s="58">
        <v>634.25</v>
      </c>
      <c r="AR20" s="58">
        <v>1015.3339999999999</v>
      </c>
      <c r="AS20" s="58">
        <v>420.66300000000001</v>
      </c>
      <c r="AT20" s="58">
        <v>594.66999999999996</v>
      </c>
      <c r="AU20" s="58">
        <v>11297.947</v>
      </c>
      <c r="AV20" s="58">
        <v>6051.0709999999999</v>
      </c>
      <c r="AW20" s="58">
        <v>5246.8760000000002</v>
      </c>
      <c r="AX20" s="58">
        <v>7874.9369999999999</v>
      </c>
      <c r="AY20" s="58">
        <v>5035.2470000000003</v>
      </c>
      <c r="AZ20" s="58">
        <v>2839.69</v>
      </c>
      <c r="BA20" s="58">
        <v>3423.01</v>
      </c>
      <c r="BB20" s="58">
        <v>1015.824</v>
      </c>
      <c r="BC20" s="58">
        <v>2407.1860000000001</v>
      </c>
      <c r="BD20" s="58">
        <v>1683.184</v>
      </c>
      <c r="BE20" s="58">
        <v>905.58299999999997</v>
      </c>
      <c r="BF20" s="58">
        <v>777.601</v>
      </c>
      <c r="BG20" s="58">
        <v>258.96199999999999</v>
      </c>
      <c r="BH20" s="58">
        <v>142.86500000000001</v>
      </c>
      <c r="BI20" s="58">
        <v>116.098</v>
      </c>
      <c r="BJ20" s="58">
        <v>72.707999999999998</v>
      </c>
      <c r="BK20" s="58">
        <v>55.917000000000002</v>
      </c>
      <c r="BL20" s="58">
        <v>16.791</v>
      </c>
      <c r="BM20" s="58">
        <v>49.41</v>
      </c>
      <c r="BN20" s="58">
        <v>37.615000000000002</v>
      </c>
      <c r="BO20" s="58">
        <v>11.795</v>
      </c>
      <c r="BP20" s="58">
        <v>23.297999999999998</v>
      </c>
      <c r="BQ20" s="58">
        <v>18.302</v>
      </c>
      <c r="BR20" s="58">
        <v>4.9969999999999999</v>
      </c>
      <c r="BS20" s="58">
        <v>186.25399999999999</v>
      </c>
      <c r="BT20" s="58">
        <v>86.947999999999993</v>
      </c>
      <c r="BU20" s="58">
        <v>99.305999999999997</v>
      </c>
      <c r="BV20" s="58">
        <v>1554.8009999999999</v>
      </c>
      <c r="BW20" s="58">
        <v>837.19899999999996</v>
      </c>
      <c r="BX20" s="58">
        <v>717.60199999999998</v>
      </c>
      <c r="BY20" s="58">
        <v>608.78899999999999</v>
      </c>
      <c r="BZ20" s="58">
        <v>467.34199999999998</v>
      </c>
      <c r="CA20" s="58">
        <v>141.447</v>
      </c>
      <c r="CB20" s="58">
        <v>946.01199999999994</v>
      </c>
      <c r="CC20" s="58">
        <v>369.85700000000003</v>
      </c>
      <c r="CD20" s="58">
        <v>576.15499999999997</v>
      </c>
      <c r="CE20" s="58">
        <v>658.06500000000005</v>
      </c>
      <c r="CF20" s="58">
        <v>503.78300000000002</v>
      </c>
      <c r="CG20" s="58">
        <v>154.28200000000001</v>
      </c>
      <c r="CH20" s="58">
        <v>1025.1189999999999</v>
      </c>
      <c r="CI20" s="58">
        <v>401.8</v>
      </c>
      <c r="CJ20" s="58">
        <v>623.32000000000005</v>
      </c>
      <c r="CK20" s="58">
        <v>995.42200000000003</v>
      </c>
      <c r="CL20" s="58">
        <v>407.47199999999998</v>
      </c>
      <c r="CM20" s="58">
        <v>587.95000000000005</v>
      </c>
      <c r="CN20" s="58">
        <v>1828.2550000000001</v>
      </c>
      <c r="CO20" s="58">
        <v>924.72</v>
      </c>
      <c r="CP20" s="58">
        <v>903.53499999999997</v>
      </c>
      <c r="CQ20" s="58">
        <v>868.76</v>
      </c>
      <c r="CR20" s="58">
        <v>512.10599999999999</v>
      </c>
      <c r="CS20" s="58">
        <v>356.654</v>
      </c>
      <c r="CT20" s="58">
        <v>959.495</v>
      </c>
      <c r="CU20" s="58">
        <v>412.61399999999998</v>
      </c>
      <c r="CV20" s="58">
        <v>546.88099999999997</v>
      </c>
      <c r="CW20" s="58">
        <v>471.32799999999997</v>
      </c>
      <c r="CX20" s="58">
        <v>239.79</v>
      </c>
      <c r="CY20" s="58">
        <v>231.53899999999999</v>
      </c>
      <c r="CZ20" s="58">
        <v>72.543999999999997</v>
      </c>
      <c r="DA20" s="58">
        <v>39.027999999999999</v>
      </c>
      <c r="DB20" s="58">
        <v>33.515999999999998</v>
      </c>
      <c r="DC20" s="58">
        <v>9.1769999999999996</v>
      </c>
      <c r="DD20" s="58">
        <v>6.3220000000000001</v>
      </c>
      <c r="DE20" s="58">
        <v>2.855</v>
      </c>
      <c r="DF20" s="58">
        <v>9.1769999999999996</v>
      </c>
      <c r="DG20" s="58">
        <v>6.3220000000000001</v>
      </c>
      <c r="DH20" s="58">
        <v>2.855</v>
      </c>
      <c r="DI20" s="58">
        <v>0</v>
      </c>
      <c r="DJ20" s="58">
        <v>0</v>
      </c>
      <c r="DK20" s="58">
        <v>0</v>
      </c>
      <c r="DL20" s="58">
        <v>63.366999999999997</v>
      </c>
      <c r="DM20" s="58">
        <v>32.706000000000003</v>
      </c>
      <c r="DN20" s="58">
        <v>30.66</v>
      </c>
      <c r="DO20" s="58">
        <v>435.98</v>
      </c>
      <c r="DP20" s="58">
        <v>223.01900000000001</v>
      </c>
      <c r="DQ20" s="58">
        <v>212.96</v>
      </c>
      <c r="DR20" s="58">
        <v>110.102</v>
      </c>
      <c r="DS20" s="58">
        <v>75.831999999999994</v>
      </c>
      <c r="DT20" s="58">
        <v>34.270000000000003</v>
      </c>
      <c r="DU20" s="58">
        <v>325.87799999999999</v>
      </c>
      <c r="DV20" s="58">
        <v>147.18700000000001</v>
      </c>
      <c r="DW20" s="58">
        <v>178.69</v>
      </c>
      <c r="DX20" s="58">
        <v>115.477</v>
      </c>
      <c r="DY20" s="58">
        <v>79.281000000000006</v>
      </c>
      <c r="DZ20" s="58">
        <v>36.195999999999998</v>
      </c>
      <c r="EA20" s="58">
        <v>355.851</v>
      </c>
      <c r="EB20" s="58">
        <v>160.50899999999999</v>
      </c>
      <c r="EC20" s="58">
        <v>195.34200000000001</v>
      </c>
      <c r="ED20" s="58">
        <v>335.05500000000001</v>
      </c>
      <c r="EE20" s="58">
        <v>153.50899999999999</v>
      </c>
      <c r="EF20" s="58">
        <v>181.54599999999999</v>
      </c>
      <c r="EG20" s="58">
        <v>643.18200000000002</v>
      </c>
      <c r="EH20" s="58">
        <v>306.75299999999999</v>
      </c>
      <c r="EI20" s="58">
        <v>336.42899999999997</v>
      </c>
      <c r="EJ20" s="58">
        <v>163.29400000000001</v>
      </c>
      <c r="EK20" s="58">
        <v>111.52200000000001</v>
      </c>
      <c r="EL20" s="58">
        <v>51.771999999999998</v>
      </c>
      <c r="EM20" s="58">
        <v>479.88799999999998</v>
      </c>
      <c r="EN20" s="58">
        <v>195.23099999999999</v>
      </c>
      <c r="EO20" s="58">
        <v>284.65699999999998</v>
      </c>
      <c r="EP20" s="58">
        <v>194.20500000000001</v>
      </c>
      <c r="EQ20" s="58">
        <v>85.843999999999994</v>
      </c>
      <c r="ER20" s="58">
        <v>108.36</v>
      </c>
      <c r="ES20" s="58">
        <v>38.082999999999998</v>
      </c>
      <c r="ET20" s="58">
        <v>18.222999999999999</v>
      </c>
      <c r="EU20" s="58">
        <v>19.859000000000002</v>
      </c>
      <c r="EV20" s="58">
        <v>1.504</v>
      </c>
      <c r="EW20" s="58">
        <v>1.0629999999999999</v>
      </c>
      <c r="EX20" s="58">
        <v>0.44</v>
      </c>
      <c r="EY20" s="58">
        <v>1.504</v>
      </c>
      <c r="EZ20" s="58">
        <v>1.0629999999999999</v>
      </c>
      <c r="FA20" s="58">
        <v>0.44</v>
      </c>
      <c r="FB20" s="58">
        <v>0</v>
      </c>
      <c r="FC20" s="58">
        <v>0</v>
      </c>
      <c r="FD20" s="58">
        <v>0</v>
      </c>
      <c r="FE20" s="58">
        <v>36.579000000000001</v>
      </c>
      <c r="FF20" s="58">
        <v>17.16</v>
      </c>
      <c r="FG20" s="58">
        <v>19.419</v>
      </c>
      <c r="FH20" s="58">
        <v>175.98599999999999</v>
      </c>
      <c r="FI20" s="58">
        <v>77.364000000000004</v>
      </c>
      <c r="FJ20" s="58">
        <v>98.622</v>
      </c>
      <c r="FK20" s="58">
        <v>22.609000000000002</v>
      </c>
      <c r="FL20" s="58">
        <v>15.285</v>
      </c>
      <c r="FM20" s="58">
        <v>7.3239999999999998</v>
      </c>
      <c r="FN20" s="58">
        <v>153.376</v>
      </c>
      <c r="FO20" s="58">
        <v>62.079000000000001</v>
      </c>
      <c r="FP20" s="58">
        <v>91.298000000000002</v>
      </c>
      <c r="FQ20" s="58">
        <v>22.969000000000001</v>
      </c>
      <c r="FR20" s="58">
        <v>15.645</v>
      </c>
      <c r="FS20" s="58">
        <v>7.3239999999999998</v>
      </c>
      <c r="FT20" s="58">
        <v>171.23599999999999</v>
      </c>
      <c r="FU20" s="58">
        <v>70.2</v>
      </c>
      <c r="FV20" s="58">
        <v>101.036</v>
      </c>
      <c r="FW20" s="58">
        <v>154.88</v>
      </c>
      <c r="FX20" s="58">
        <v>63.142000000000003</v>
      </c>
      <c r="FY20" s="58">
        <v>91.738</v>
      </c>
      <c r="FZ20" s="58">
        <v>1185.0730000000001</v>
      </c>
      <c r="GA20" s="58">
        <v>617.96699999999998</v>
      </c>
      <c r="GB20" s="58">
        <v>567.10500000000002</v>
      </c>
      <c r="GC20" s="58">
        <v>705.46600000000001</v>
      </c>
      <c r="GD20" s="58">
        <v>400.584</v>
      </c>
      <c r="GE20" s="58">
        <v>304.88200000000001</v>
      </c>
      <c r="GF20" s="58">
        <v>479.60700000000003</v>
      </c>
      <c r="GG20" s="58">
        <v>217.38300000000001</v>
      </c>
      <c r="GH20" s="58">
        <v>262.22399999999999</v>
      </c>
      <c r="GI20" s="58">
        <v>277.12400000000002</v>
      </c>
      <c r="GJ20" s="58">
        <v>153.946</v>
      </c>
      <c r="GK20" s="58">
        <v>123.178</v>
      </c>
      <c r="GL20" s="58">
        <v>34.460999999999999</v>
      </c>
      <c r="GM20" s="58">
        <v>20.805</v>
      </c>
      <c r="GN20" s="58">
        <v>13.657</v>
      </c>
      <c r="GO20" s="58">
        <v>7.6740000000000004</v>
      </c>
      <c r="GP20" s="58">
        <v>5.258</v>
      </c>
      <c r="GQ20" s="58">
        <v>2.415</v>
      </c>
      <c r="GR20" s="58">
        <v>7.6740000000000004</v>
      </c>
      <c r="GS20" s="58">
        <v>5.258</v>
      </c>
      <c r="GT20" s="58">
        <v>2.415</v>
      </c>
      <c r="GU20" s="58">
        <v>0</v>
      </c>
      <c r="GV20" s="58">
        <v>0</v>
      </c>
      <c r="GW20" s="58">
        <v>0</v>
      </c>
      <c r="GX20" s="58">
        <v>26.788</v>
      </c>
      <c r="GY20" s="58">
        <v>15.545999999999999</v>
      </c>
      <c r="GZ20" s="58">
        <v>11.241</v>
      </c>
      <c r="HA20" s="58">
        <v>259.99400000000003</v>
      </c>
      <c r="HB20" s="58">
        <v>145.65600000000001</v>
      </c>
      <c r="HC20" s="58">
        <v>114.33799999999999</v>
      </c>
      <c r="HD20" s="58">
        <v>87.492999999999995</v>
      </c>
      <c r="HE20" s="58">
        <v>60.546999999999997</v>
      </c>
      <c r="HF20" s="58">
        <v>26.945</v>
      </c>
      <c r="HG20" s="58">
        <v>172.501</v>
      </c>
      <c r="HH20" s="58">
        <v>85.108999999999995</v>
      </c>
      <c r="HI20" s="58">
        <v>87.393000000000001</v>
      </c>
      <c r="HJ20" s="58">
        <v>92.507999999999996</v>
      </c>
      <c r="HK20" s="58">
        <v>63.636000000000003</v>
      </c>
      <c r="HL20" s="58">
        <v>28.872</v>
      </c>
      <c r="HM20" s="58">
        <v>184.61600000000001</v>
      </c>
      <c r="HN20" s="58">
        <v>90.308999999999997</v>
      </c>
      <c r="HO20" s="58">
        <v>94.305999999999997</v>
      </c>
      <c r="HP20" s="58">
        <v>180.17500000000001</v>
      </c>
      <c r="HQ20" s="58">
        <v>90.367000000000004</v>
      </c>
      <c r="HR20" s="58">
        <v>89.808000000000007</v>
      </c>
      <c r="HS20" s="58">
        <v>2765.462</v>
      </c>
      <c r="HT20" s="58">
        <v>1509.2909999999999</v>
      </c>
      <c r="HU20" s="58">
        <v>1256.172</v>
      </c>
      <c r="HV20" s="58">
        <v>2132.1680000000001</v>
      </c>
      <c r="HW20" s="58">
        <v>1316.6949999999999</v>
      </c>
      <c r="HX20" s="58">
        <v>815.47199999999998</v>
      </c>
      <c r="HY20" s="58">
        <v>633.29499999999996</v>
      </c>
      <c r="HZ20" s="58">
        <v>192.595</v>
      </c>
      <c r="IA20" s="58">
        <v>440.69900000000001</v>
      </c>
      <c r="IB20" s="58">
        <v>393.26299999999998</v>
      </c>
      <c r="IC20" s="58">
        <v>237.06299999999999</v>
      </c>
      <c r="ID20" s="58">
        <v>156.20099999999999</v>
      </c>
      <c r="IE20" s="58">
        <v>52.441000000000003</v>
      </c>
      <c r="IF20" s="58">
        <v>29.48</v>
      </c>
      <c r="IG20" s="58">
        <v>22.960999999999999</v>
      </c>
      <c r="IH20" s="58">
        <v>17.462</v>
      </c>
      <c r="II20" s="58">
        <v>14.551</v>
      </c>
      <c r="IJ20" s="58">
        <v>2.911</v>
      </c>
      <c r="IK20" s="58">
        <v>10.798</v>
      </c>
      <c r="IL20" s="58">
        <v>9.032</v>
      </c>
      <c r="IM20" s="58">
        <v>1.766</v>
      </c>
      <c r="IN20" s="58">
        <v>6.6639999999999997</v>
      </c>
      <c r="IO20" s="58">
        <v>5.52</v>
      </c>
      <c r="IP20" s="58">
        <v>1.1439999999999999</v>
      </c>
      <c r="IQ20" s="58">
        <v>34.978999999999999</v>
      </c>
    </row>
    <row r="21" spans="1:251">
      <c r="A21" s="5">
        <v>42125</v>
      </c>
      <c r="B21" s="58">
        <v>11781.441000000001</v>
      </c>
      <c r="C21" s="58">
        <v>6343.299</v>
      </c>
      <c r="D21" s="58">
        <v>5438.1409999999996</v>
      </c>
      <c r="E21" s="58">
        <v>8109.0940000000001</v>
      </c>
      <c r="F21" s="58">
        <v>5198.5330000000004</v>
      </c>
      <c r="G21" s="58">
        <v>2910.5610000000001</v>
      </c>
      <c r="H21" s="58">
        <v>3672.3470000000002</v>
      </c>
      <c r="I21" s="58">
        <v>1144.7660000000001</v>
      </c>
      <c r="J21" s="58">
        <v>2527.5810000000001</v>
      </c>
      <c r="K21" s="58">
        <v>1795.0050000000001</v>
      </c>
      <c r="L21" s="58">
        <v>970.06600000000003</v>
      </c>
      <c r="M21" s="58">
        <v>824.93899999999996</v>
      </c>
      <c r="N21" s="58">
        <v>335.45800000000003</v>
      </c>
      <c r="O21" s="58">
        <v>200.84</v>
      </c>
      <c r="P21" s="58">
        <v>134.61799999999999</v>
      </c>
      <c r="Q21" s="58">
        <v>135.86099999999999</v>
      </c>
      <c r="R21" s="58">
        <v>109.14100000000001</v>
      </c>
      <c r="S21" s="58">
        <v>26.72</v>
      </c>
      <c r="T21" s="58">
        <v>73.019000000000005</v>
      </c>
      <c r="U21" s="58">
        <v>55.406999999999996</v>
      </c>
      <c r="V21" s="58">
        <v>17.611999999999998</v>
      </c>
      <c r="W21" s="58">
        <v>62.841999999999999</v>
      </c>
      <c r="X21" s="58">
        <v>53.734000000000002</v>
      </c>
      <c r="Y21" s="58">
        <v>9.1080000000000005</v>
      </c>
      <c r="Z21" s="58">
        <v>199.59700000000001</v>
      </c>
      <c r="AA21" s="58">
        <v>91.7</v>
      </c>
      <c r="AB21" s="58">
        <v>107.898</v>
      </c>
      <c r="AC21" s="58">
        <v>1603.847</v>
      </c>
      <c r="AD21" s="58">
        <v>861.64200000000005</v>
      </c>
      <c r="AE21" s="58">
        <v>742.20500000000004</v>
      </c>
      <c r="AF21" s="58">
        <v>643.37199999999996</v>
      </c>
      <c r="AG21" s="58">
        <v>492.06299999999999</v>
      </c>
      <c r="AH21" s="58">
        <v>151.309</v>
      </c>
      <c r="AI21" s="58">
        <v>960.47500000000002</v>
      </c>
      <c r="AJ21" s="58">
        <v>369.57900000000001</v>
      </c>
      <c r="AK21" s="58">
        <v>590.89599999999996</v>
      </c>
      <c r="AL21" s="58">
        <v>742.221</v>
      </c>
      <c r="AM21" s="58">
        <v>567.77200000000005</v>
      </c>
      <c r="AN21" s="58">
        <v>174.44900000000001</v>
      </c>
      <c r="AO21" s="58">
        <v>1052.7840000000001</v>
      </c>
      <c r="AP21" s="58">
        <v>402.29500000000002</v>
      </c>
      <c r="AQ21" s="58">
        <v>650.49</v>
      </c>
      <c r="AR21" s="58">
        <v>1033.4939999999999</v>
      </c>
      <c r="AS21" s="58">
        <v>424.98599999999999</v>
      </c>
      <c r="AT21" s="58">
        <v>608.50800000000004</v>
      </c>
      <c r="AU21" s="58">
        <v>11365.308000000001</v>
      </c>
      <c r="AV21" s="58">
        <v>6082.1530000000002</v>
      </c>
      <c r="AW21" s="58">
        <v>5283.1540000000005</v>
      </c>
      <c r="AX21" s="58">
        <v>7927.2089999999998</v>
      </c>
      <c r="AY21" s="58">
        <v>5061.152</v>
      </c>
      <c r="AZ21" s="58">
        <v>2866.0569999999998</v>
      </c>
      <c r="BA21" s="58">
        <v>3438.0990000000002</v>
      </c>
      <c r="BB21" s="58">
        <v>1021.002</v>
      </c>
      <c r="BC21" s="58">
        <v>2417.0970000000002</v>
      </c>
      <c r="BD21" s="58">
        <v>1755.9190000000001</v>
      </c>
      <c r="BE21" s="58">
        <v>946.303</v>
      </c>
      <c r="BF21" s="58">
        <v>809.61699999999996</v>
      </c>
      <c r="BG21" s="58">
        <v>314.18200000000002</v>
      </c>
      <c r="BH21" s="58">
        <v>187.96799999999999</v>
      </c>
      <c r="BI21" s="58">
        <v>126.214</v>
      </c>
      <c r="BJ21" s="58">
        <v>130.96700000000001</v>
      </c>
      <c r="BK21" s="58">
        <v>104.67100000000001</v>
      </c>
      <c r="BL21" s="58">
        <v>26.295999999999999</v>
      </c>
      <c r="BM21" s="58">
        <v>70.531000000000006</v>
      </c>
      <c r="BN21" s="58">
        <v>53.344000000000001</v>
      </c>
      <c r="BO21" s="58">
        <v>17.187999999999999</v>
      </c>
      <c r="BP21" s="58">
        <v>60.435000000000002</v>
      </c>
      <c r="BQ21" s="58">
        <v>51.326999999999998</v>
      </c>
      <c r="BR21" s="58">
        <v>9.1080000000000005</v>
      </c>
      <c r="BS21" s="58">
        <v>183.21600000000001</v>
      </c>
      <c r="BT21" s="58">
        <v>83.298000000000002</v>
      </c>
      <c r="BU21" s="58">
        <v>99.918000000000006</v>
      </c>
      <c r="BV21" s="58">
        <v>1580</v>
      </c>
      <c r="BW21" s="58">
        <v>846.21</v>
      </c>
      <c r="BX21" s="58">
        <v>733.79100000000005</v>
      </c>
      <c r="BY21" s="58">
        <v>637.88699999999994</v>
      </c>
      <c r="BZ21" s="58">
        <v>487.29899999999998</v>
      </c>
      <c r="CA21" s="58">
        <v>150.58699999999999</v>
      </c>
      <c r="CB21" s="58">
        <v>942.11400000000003</v>
      </c>
      <c r="CC21" s="58">
        <v>358.91</v>
      </c>
      <c r="CD21" s="58">
        <v>583.20299999999997</v>
      </c>
      <c r="CE21" s="58">
        <v>733.30799999999999</v>
      </c>
      <c r="CF21" s="58">
        <v>560.005</v>
      </c>
      <c r="CG21" s="58">
        <v>173.303</v>
      </c>
      <c r="CH21" s="58">
        <v>1022.611</v>
      </c>
      <c r="CI21" s="58">
        <v>386.298</v>
      </c>
      <c r="CJ21" s="58">
        <v>636.31299999999999</v>
      </c>
      <c r="CK21" s="58">
        <v>1012.645</v>
      </c>
      <c r="CL21" s="58">
        <v>412.25400000000002</v>
      </c>
      <c r="CM21" s="58">
        <v>600.39099999999996</v>
      </c>
      <c r="CN21" s="58">
        <v>1827.6559999999999</v>
      </c>
      <c r="CO21" s="58">
        <v>930.10699999999997</v>
      </c>
      <c r="CP21" s="58">
        <v>897.55</v>
      </c>
      <c r="CQ21" s="58">
        <v>837.20399999999995</v>
      </c>
      <c r="CR21" s="58">
        <v>500.358</v>
      </c>
      <c r="CS21" s="58">
        <v>336.846</v>
      </c>
      <c r="CT21" s="58">
        <v>990.452</v>
      </c>
      <c r="CU21" s="58">
        <v>429.74900000000002</v>
      </c>
      <c r="CV21" s="58">
        <v>560.70299999999997</v>
      </c>
      <c r="CW21" s="58">
        <v>482.34899999999999</v>
      </c>
      <c r="CX21" s="58">
        <v>247.57400000000001</v>
      </c>
      <c r="CY21" s="58">
        <v>234.77500000000001</v>
      </c>
      <c r="CZ21" s="58">
        <v>77.072000000000003</v>
      </c>
      <c r="DA21" s="58">
        <v>42.008000000000003</v>
      </c>
      <c r="DB21" s="58">
        <v>35.064</v>
      </c>
      <c r="DC21" s="58">
        <v>13.574</v>
      </c>
      <c r="DD21" s="58">
        <v>9.9309999999999992</v>
      </c>
      <c r="DE21" s="58">
        <v>3.6429999999999998</v>
      </c>
      <c r="DF21" s="58">
        <v>10.148</v>
      </c>
      <c r="DG21" s="58">
        <v>6.5049999999999999</v>
      </c>
      <c r="DH21" s="58">
        <v>3.6429999999999998</v>
      </c>
      <c r="DI21" s="58">
        <v>3.4260000000000002</v>
      </c>
      <c r="DJ21" s="58">
        <v>3.4260000000000002</v>
      </c>
      <c r="DK21" s="58">
        <v>0</v>
      </c>
      <c r="DL21" s="58">
        <v>63.497999999999998</v>
      </c>
      <c r="DM21" s="58">
        <v>32.076999999999998</v>
      </c>
      <c r="DN21" s="58">
        <v>31.420999999999999</v>
      </c>
      <c r="DO21" s="58">
        <v>444.55399999999997</v>
      </c>
      <c r="DP21" s="58">
        <v>228.36199999999999</v>
      </c>
      <c r="DQ21" s="58">
        <v>216.19200000000001</v>
      </c>
      <c r="DR21" s="58">
        <v>109.026</v>
      </c>
      <c r="DS21" s="58">
        <v>78.582999999999998</v>
      </c>
      <c r="DT21" s="58">
        <v>30.443000000000001</v>
      </c>
      <c r="DU21" s="58">
        <v>335.52800000000002</v>
      </c>
      <c r="DV21" s="58">
        <v>149.779</v>
      </c>
      <c r="DW21" s="58">
        <v>185.749</v>
      </c>
      <c r="DX21" s="58">
        <v>119.13</v>
      </c>
      <c r="DY21" s="58">
        <v>85.742000000000004</v>
      </c>
      <c r="DZ21" s="58">
        <v>33.387999999999998</v>
      </c>
      <c r="EA21" s="58">
        <v>363.22</v>
      </c>
      <c r="EB21" s="58">
        <v>161.83199999999999</v>
      </c>
      <c r="EC21" s="58">
        <v>201.387</v>
      </c>
      <c r="ED21" s="58">
        <v>345.67599999999999</v>
      </c>
      <c r="EE21" s="58">
        <v>156.28399999999999</v>
      </c>
      <c r="EF21" s="58">
        <v>189.392</v>
      </c>
      <c r="EG21" s="58">
        <v>638.31799999999998</v>
      </c>
      <c r="EH21" s="58">
        <v>305.71699999999998</v>
      </c>
      <c r="EI21" s="58">
        <v>332.601</v>
      </c>
      <c r="EJ21" s="58">
        <v>152.09200000000001</v>
      </c>
      <c r="EK21" s="58">
        <v>102.88800000000001</v>
      </c>
      <c r="EL21" s="58">
        <v>49.204000000000001</v>
      </c>
      <c r="EM21" s="58">
        <v>486.226</v>
      </c>
      <c r="EN21" s="58">
        <v>202.828</v>
      </c>
      <c r="EO21" s="58">
        <v>283.39800000000002</v>
      </c>
      <c r="EP21" s="58">
        <v>200.17099999999999</v>
      </c>
      <c r="EQ21" s="58">
        <v>93.033000000000001</v>
      </c>
      <c r="ER21" s="58">
        <v>107.139</v>
      </c>
      <c r="ES21" s="58">
        <v>35.5</v>
      </c>
      <c r="ET21" s="58">
        <v>17.39</v>
      </c>
      <c r="EU21" s="58">
        <v>18.11</v>
      </c>
      <c r="EV21" s="58">
        <v>3.2010000000000001</v>
      </c>
      <c r="EW21" s="58">
        <v>2.6120000000000001</v>
      </c>
      <c r="EX21" s="58">
        <v>0.58899999999999997</v>
      </c>
      <c r="EY21" s="58">
        <v>2.2690000000000001</v>
      </c>
      <c r="EZ21" s="58">
        <v>1.68</v>
      </c>
      <c r="FA21" s="58">
        <v>0.58899999999999997</v>
      </c>
      <c r="FB21" s="58">
        <v>0.93200000000000005</v>
      </c>
      <c r="FC21" s="58">
        <v>0.93200000000000005</v>
      </c>
      <c r="FD21" s="58">
        <v>0</v>
      </c>
      <c r="FE21" s="58">
        <v>32.298999999999999</v>
      </c>
      <c r="FF21" s="58">
        <v>14.778</v>
      </c>
      <c r="FG21" s="58">
        <v>17.521000000000001</v>
      </c>
      <c r="FH21" s="58">
        <v>178.43700000000001</v>
      </c>
      <c r="FI21" s="58">
        <v>81.858000000000004</v>
      </c>
      <c r="FJ21" s="58">
        <v>96.578999999999994</v>
      </c>
      <c r="FK21" s="58">
        <v>19.974</v>
      </c>
      <c r="FL21" s="58">
        <v>13.715</v>
      </c>
      <c r="FM21" s="58">
        <v>6.2590000000000003</v>
      </c>
      <c r="FN21" s="58">
        <v>158.46299999999999</v>
      </c>
      <c r="FO21" s="58">
        <v>68.143000000000001</v>
      </c>
      <c r="FP21" s="58">
        <v>90.32</v>
      </c>
      <c r="FQ21" s="58">
        <v>22.603999999999999</v>
      </c>
      <c r="FR21" s="58">
        <v>15.756</v>
      </c>
      <c r="FS21" s="58">
        <v>6.8479999999999999</v>
      </c>
      <c r="FT21" s="58">
        <v>177.56700000000001</v>
      </c>
      <c r="FU21" s="58">
        <v>77.277000000000001</v>
      </c>
      <c r="FV21" s="58">
        <v>100.29</v>
      </c>
      <c r="FW21" s="58">
        <v>160.732</v>
      </c>
      <c r="FX21" s="58">
        <v>69.822000000000003</v>
      </c>
      <c r="FY21" s="58">
        <v>90.909000000000006</v>
      </c>
      <c r="FZ21" s="58">
        <v>1189.338</v>
      </c>
      <c r="GA21" s="58">
        <v>624.39</v>
      </c>
      <c r="GB21" s="58">
        <v>564.94799999999998</v>
      </c>
      <c r="GC21" s="58">
        <v>685.11199999999997</v>
      </c>
      <c r="GD21" s="58">
        <v>397.46899999999999</v>
      </c>
      <c r="GE21" s="58">
        <v>287.64299999999997</v>
      </c>
      <c r="GF21" s="58">
        <v>504.226</v>
      </c>
      <c r="GG21" s="58">
        <v>226.92099999999999</v>
      </c>
      <c r="GH21" s="58">
        <v>277.30500000000001</v>
      </c>
      <c r="GI21" s="58">
        <v>282.178</v>
      </c>
      <c r="GJ21" s="58">
        <v>154.541</v>
      </c>
      <c r="GK21" s="58">
        <v>127.637</v>
      </c>
      <c r="GL21" s="58">
        <v>41.572000000000003</v>
      </c>
      <c r="GM21" s="58">
        <v>24.617999999999999</v>
      </c>
      <c r="GN21" s="58">
        <v>16.954000000000001</v>
      </c>
      <c r="GO21" s="58">
        <v>10.372999999999999</v>
      </c>
      <c r="GP21" s="58">
        <v>7.319</v>
      </c>
      <c r="GQ21" s="58">
        <v>3.0539999999999998</v>
      </c>
      <c r="GR21" s="58">
        <v>7.8789999999999996</v>
      </c>
      <c r="GS21" s="58">
        <v>4.8250000000000002</v>
      </c>
      <c r="GT21" s="58">
        <v>3.0539999999999998</v>
      </c>
      <c r="GU21" s="58">
        <v>2.4940000000000002</v>
      </c>
      <c r="GV21" s="58">
        <v>2.4940000000000002</v>
      </c>
      <c r="GW21" s="58">
        <v>0</v>
      </c>
      <c r="GX21" s="58">
        <v>31.199000000000002</v>
      </c>
      <c r="GY21" s="58">
        <v>17.298999999999999</v>
      </c>
      <c r="GZ21" s="58">
        <v>13.9</v>
      </c>
      <c r="HA21" s="58">
        <v>266.11700000000002</v>
      </c>
      <c r="HB21" s="58">
        <v>146.505</v>
      </c>
      <c r="HC21" s="58">
        <v>119.61199999999999</v>
      </c>
      <c r="HD21" s="58">
        <v>89.052000000000007</v>
      </c>
      <c r="HE21" s="58">
        <v>64.867999999999995</v>
      </c>
      <c r="HF21" s="58">
        <v>24.184000000000001</v>
      </c>
      <c r="HG21" s="58">
        <v>177.065</v>
      </c>
      <c r="HH21" s="58">
        <v>81.635999999999996</v>
      </c>
      <c r="HI21" s="58">
        <v>95.429000000000002</v>
      </c>
      <c r="HJ21" s="58">
        <v>96.525000000000006</v>
      </c>
      <c r="HK21" s="58">
        <v>69.986000000000004</v>
      </c>
      <c r="HL21" s="58">
        <v>26.54</v>
      </c>
      <c r="HM21" s="58">
        <v>185.65199999999999</v>
      </c>
      <c r="HN21" s="58">
        <v>84.555000000000007</v>
      </c>
      <c r="HO21" s="58">
        <v>101.09699999999999</v>
      </c>
      <c r="HP21" s="58">
        <v>184.94399999999999</v>
      </c>
      <c r="HQ21" s="58">
        <v>86.462000000000003</v>
      </c>
      <c r="HR21" s="58">
        <v>98.481999999999999</v>
      </c>
      <c r="HS21" s="58">
        <v>2784.6109999999999</v>
      </c>
      <c r="HT21" s="58">
        <v>1525.575</v>
      </c>
      <c r="HU21" s="58">
        <v>1259.0360000000001</v>
      </c>
      <c r="HV21" s="58">
        <v>2158.067</v>
      </c>
      <c r="HW21" s="58">
        <v>1336.2809999999999</v>
      </c>
      <c r="HX21" s="58">
        <v>821.78599999999994</v>
      </c>
      <c r="HY21" s="58">
        <v>626.54399999999998</v>
      </c>
      <c r="HZ21" s="58">
        <v>189.29400000000001</v>
      </c>
      <c r="IA21" s="58">
        <v>437.25</v>
      </c>
      <c r="IB21" s="58">
        <v>395.91399999999999</v>
      </c>
      <c r="IC21" s="58">
        <v>240.78899999999999</v>
      </c>
      <c r="ID21" s="58">
        <v>155.125</v>
      </c>
      <c r="IE21" s="58">
        <v>66.938999999999993</v>
      </c>
      <c r="IF21" s="58">
        <v>44.673999999999999</v>
      </c>
      <c r="IG21" s="58">
        <v>22.265000000000001</v>
      </c>
      <c r="IH21" s="58">
        <v>34.433999999999997</v>
      </c>
      <c r="II21" s="58">
        <v>28.486000000000001</v>
      </c>
      <c r="IJ21" s="58">
        <v>5.9480000000000004</v>
      </c>
      <c r="IK21" s="58">
        <v>16.731999999999999</v>
      </c>
      <c r="IL21" s="58">
        <v>14.362</v>
      </c>
      <c r="IM21" s="58">
        <v>2.37</v>
      </c>
      <c r="IN21" s="58">
        <v>17.701000000000001</v>
      </c>
      <c r="IO21" s="58">
        <v>14.124000000000001</v>
      </c>
      <c r="IP21" s="58">
        <v>3.5779999999999998</v>
      </c>
      <c r="IQ21" s="58">
        <v>32.505000000000003</v>
      </c>
    </row>
    <row r="22" spans="1:251">
      <c r="A22" s="5">
        <v>42156</v>
      </c>
      <c r="B22" s="58">
        <v>11752.901</v>
      </c>
      <c r="C22" s="58">
        <v>6316.6859999999997</v>
      </c>
      <c r="D22" s="58">
        <v>5436.2160000000003</v>
      </c>
      <c r="E22" s="58">
        <v>8085.3209999999999</v>
      </c>
      <c r="F22" s="58">
        <v>5174.2889999999998</v>
      </c>
      <c r="G22" s="58">
        <v>2911.0320000000002</v>
      </c>
      <c r="H22" s="58">
        <v>3667.58</v>
      </c>
      <c r="I22" s="58">
        <v>1142.3969999999999</v>
      </c>
      <c r="J22" s="58">
        <v>2525.1840000000002</v>
      </c>
      <c r="K22" s="58">
        <v>1796.4570000000001</v>
      </c>
      <c r="L22" s="58">
        <v>970.53300000000002</v>
      </c>
      <c r="M22" s="58">
        <v>825.92499999999995</v>
      </c>
      <c r="N22" s="58">
        <v>312.11</v>
      </c>
      <c r="O22" s="58">
        <v>184.48500000000001</v>
      </c>
      <c r="P22" s="58">
        <v>127.625</v>
      </c>
      <c r="Q22" s="58">
        <v>121.438</v>
      </c>
      <c r="R22" s="58">
        <v>97.063000000000002</v>
      </c>
      <c r="S22" s="58">
        <v>24.373999999999999</v>
      </c>
      <c r="T22" s="58">
        <v>69.305999999999997</v>
      </c>
      <c r="U22" s="58">
        <v>52.027000000000001</v>
      </c>
      <c r="V22" s="58">
        <v>17.28</v>
      </c>
      <c r="W22" s="58">
        <v>52.131</v>
      </c>
      <c r="X22" s="58">
        <v>45.036999999999999</v>
      </c>
      <c r="Y22" s="58">
        <v>7.0940000000000003</v>
      </c>
      <c r="Z22" s="58">
        <v>190.672</v>
      </c>
      <c r="AA22" s="58">
        <v>87.421999999999997</v>
      </c>
      <c r="AB22" s="58">
        <v>103.251</v>
      </c>
      <c r="AC22" s="58">
        <v>1619.373</v>
      </c>
      <c r="AD22" s="58">
        <v>865.02200000000005</v>
      </c>
      <c r="AE22" s="58">
        <v>754.351</v>
      </c>
      <c r="AF22" s="58">
        <v>639.24900000000002</v>
      </c>
      <c r="AG22" s="58">
        <v>483.90800000000002</v>
      </c>
      <c r="AH22" s="58">
        <v>155.34100000000001</v>
      </c>
      <c r="AI22" s="58">
        <v>980.12400000000002</v>
      </c>
      <c r="AJ22" s="58">
        <v>381.11399999999998</v>
      </c>
      <c r="AK22" s="58">
        <v>599.01</v>
      </c>
      <c r="AL22" s="58">
        <v>729.774</v>
      </c>
      <c r="AM22" s="58">
        <v>555.44899999999996</v>
      </c>
      <c r="AN22" s="58">
        <v>174.32499999999999</v>
      </c>
      <c r="AO22" s="58">
        <v>1066.683</v>
      </c>
      <c r="AP22" s="58">
        <v>415.084</v>
      </c>
      <c r="AQ22" s="58">
        <v>651.59900000000005</v>
      </c>
      <c r="AR22" s="58">
        <v>1049.43</v>
      </c>
      <c r="AS22" s="58">
        <v>433.14100000000002</v>
      </c>
      <c r="AT22" s="58">
        <v>616.29</v>
      </c>
      <c r="AU22" s="58">
        <v>11328.114</v>
      </c>
      <c r="AV22" s="58">
        <v>6050.5690000000004</v>
      </c>
      <c r="AW22" s="58">
        <v>5277.5450000000001</v>
      </c>
      <c r="AX22" s="58">
        <v>7897.7929999999997</v>
      </c>
      <c r="AY22" s="58">
        <v>5036.1819999999998</v>
      </c>
      <c r="AZ22" s="58">
        <v>2861.61</v>
      </c>
      <c r="BA22" s="58">
        <v>3430.3220000000001</v>
      </c>
      <c r="BB22" s="58">
        <v>1014.3869999999999</v>
      </c>
      <c r="BC22" s="58">
        <v>2415.9349999999999</v>
      </c>
      <c r="BD22" s="58">
        <v>1760.653</v>
      </c>
      <c r="BE22" s="58">
        <v>947.68700000000001</v>
      </c>
      <c r="BF22" s="58">
        <v>812.96600000000001</v>
      </c>
      <c r="BG22" s="58">
        <v>296.05799999999999</v>
      </c>
      <c r="BH22" s="58">
        <v>174.01300000000001</v>
      </c>
      <c r="BI22" s="58">
        <v>122.045</v>
      </c>
      <c r="BJ22" s="58">
        <v>118.142</v>
      </c>
      <c r="BK22" s="58">
        <v>93.768000000000001</v>
      </c>
      <c r="BL22" s="58">
        <v>24.373999999999999</v>
      </c>
      <c r="BM22" s="58">
        <v>67.049000000000007</v>
      </c>
      <c r="BN22" s="58">
        <v>49.768999999999998</v>
      </c>
      <c r="BO22" s="58">
        <v>17.28</v>
      </c>
      <c r="BP22" s="58">
        <v>51.093000000000004</v>
      </c>
      <c r="BQ22" s="58">
        <v>43.999000000000002</v>
      </c>
      <c r="BR22" s="58">
        <v>7.0940000000000003</v>
      </c>
      <c r="BS22" s="58">
        <v>177.916</v>
      </c>
      <c r="BT22" s="58">
        <v>80.245000000000005</v>
      </c>
      <c r="BU22" s="58">
        <v>97.671000000000006</v>
      </c>
      <c r="BV22" s="58">
        <v>1596.3330000000001</v>
      </c>
      <c r="BW22" s="58">
        <v>850.79100000000005</v>
      </c>
      <c r="BX22" s="58">
        <v>745.54200000000003</v>
      </c>
      <c r="BY22" s="58">
        <v>635.42100000000005</v>
      </c>
      <c r="BZ22" s="58">
        <v>481.03899999999999</v>
      </c>
      <c r="CA22" s="58">
        <v>154.381</v>
      </c>
      <c r="CB22" s="58">
        <v>960.91200000000003</v>
      </c>
      <c r="CC22" s="58">
        <v>369.75099999999998</v>
      </c>
      <c r="CD22" s="58">
        <v>591.16099999999994</v>
      </c>
      <c r="CE22" s="58">
        <v>723.13300000000004</v>
      </c>
      <c r="CF22" s="58">
        <v>549.76800000000003</v>
      </c>
      <c r="CG22" s="58">
        <v>173.36500000000001</v>
      </c>
      <c r="CH22" s="58">
        <v>1037.519</v>
      </c>
      <c r="CI22" s="58">
        <v>397.91800000000001</v>
      </c>
      <c r="CJ22" s="58">
        <v>639.601</v>
      </c>
      <c r="CK22" s="58">
        <v>1027.961</v>
      </c>
      <c r="CL22" s="58">
        <v>419.52</v>
      </c>
      <c r="CM22" s="58">
        <v>608.44100000000003</v>
      </c>
      <c r="CN22" s="58">
        <v>1819.2919999999999</v>
      </c>
      <c r="CO22" s="58">
        <v>918.37900000000002</v>
      </c>
      <c r="CP22" s="58">
        <v>900.91300000000001</v>
      </c>
      <c r="CQ22" s="58">
        <v>851.71900000000005</v>
      </c>
      <c r="CR22" s="58">
        <v>498.66899999999998</v>
      </c>
      <c r="CS22" s="58">
        <v>353.04899999999998</v>
      </c>
      <c r="CT22" s="58">
        <v>967.57299999999998</v>
      </c>
      <c r="CU22" s="58">
        <v>419.71</v>
      </c>
      <c r="CV22" s="58">
        <v>547.86300000000006</v>
      </c>
      <c r="CW22" s="58">
        <v>489.75299999999999</v>
      </c>
      <c r="CX22" s="58">
        <v>248.024</v>
      </c>
      <c r="CY22" s="58">
        <v>241.73</v>
      </c>
      <c r="CZ22" s="58">
        <v>64.75</v>
      </c>
      <c r="DA22" s="58">
        <v>34.07</v>
      </c>
      <c r="DB22" s="58">
        <v>30.68</v>
      </c>
      <c r="DC22" s="58">
        <v>8.36</v>
      </c>
      <c r="DD22" s="58">
        <v>7.173</v>
      </c>
      <c r="DE22" s="58">
        <v>1.1870000000000001</v>
      </c>
      <c r="DF22" s="58">
        <v>5.2729999999999997</v>
      </c>
      <c r="DG22" s="58">
        <v>4.0869999999999997</v>
      </c>
      <c r="DH22" s="58">
        <v>1.1870000000000001</v>
      </c>
      <c r="DI22" s="58">
        <v>3.0870000000000002</v>
      </c>
      <c r="DJ22" s="58">
        <v>3.0870000000000002</v>
      </c>
      <c r="DK22" s="58">
        <v>0</v>
      </c>
      <c r="DL22" s="58">
        <v>56.39</v>
      </c>
      <c r="DM22" s="58">
        <v>26.896999999999998</v>
      </c>
      <c r="DN22" s="58">
        <v>29.492999999999999</v>
      </c>
      <c r="DO22" s="58">
        <v>460.68799999999999</v>
      </c>
      <c r="DP22" s="58">
        <v>233.28100000000001</v>
      </c>
      <c r="DQ22" s="58">
        <v>227.40600000000001</v>
      </c>
      <c r="DR22" s="58">
        <v>116.087</v>
      </c>
      <c r="DS22" s="58">
        <v>81.177999999999997</v>
      </c>
      <c r="DT22" s="58">
        <v>34.908999999999999</v>
      </c>
      <c r="DU22" s="58">
        <v>344.601</v>
      </c>
      <c r="DV22" s="58">
        <v>152.10400000000001</v>
      </c>
      <c r="DW22" s="58">
        <v>192.49700000000001</v>
      </c>
      <c r="DX22" s="58">
        <v>122.20699999999999</v>
      </c>
      <c r="DY22" s="58">
        <v>87.013999999999996</v>
      </c>
      <c r="DZ22" s="58">
        <v>35.192</v>
      </c>
      <c r="EA22" s="58">
        <v>367.54599999999999</v>
      </c>
      <c r="EB22" s="58">
        <v>161.00899999999999</v>
      </c>
      <c r="EC22" s="58">
        <v>206.53700000000001</v>
      </c>
      <c r="ED22" s="58">
        <v>349.87400000000002</v>
      </c>
      <c r="EE22" s="58">
        <v>156.19</v>
      </c>
      <c r="EF22" s="58">
        <v>193.684</v>
      </c>
      <c r="EG22" s="58">
        <v>629.29999999999995</v>
      </c>
      <c r="EH22" s="58">
        <v>297.88099999999997</v>
      </c>
      <c r="EI22" s="58">
        <v>331.41800000000001</v>
      </c>
      <c r="EJ22" s="58">
        <v>155.99299999999999</v>
      </c>
      <c r="EK22" s="58">
        <v>101.907</v>
      </c>
      <c r="EL22" s="58">
        <v>54.085999999999999</v>
      </c>
      <c r="EM22" s="58">
        <v>473.30599999999998</v>
      </c>
      <c r="EN22" s="58">
        <v>195.97399999999999</v>
      </c>
      <c r="EO22" s="58">
        <v>277.33199999999999</v>
      </c>
      <c r="EP22" s="58">
        <v>199.85499999999999</v>
      </c>
      <c r="EQ22" s="58">
        <v>89.32</v>
      </c>
      <c r="ER22" s="58">
        <v>110.53400000000001</v>
      </c>
      <c r="ES22" s="58">
        <v>24.378</v>
      </c>
      <c r="ET22" s="58">
        <v>12.202999999999999</v>
      </c>
      <c r="EU22" s="58">
        <v>12.175000000000001</v>
      </c>
      <c r="EV22" s="58">
        <v>1.129</v>
      </c>
      <c r="EW22" s="58">
        <v>0.93400000000000005</v>
      </c>
      <c r="EX22" s="58">
        <v>0.19400000000000001</v>
      </c>
      <c r="EY22" s="58">
        <v>1.052</v>
      </c>
      <c r="EZ22" s="58">
        <v>0.85699999999999998</v>
      </c>
      <c r="FA22" s="58">
        <v>0.19400000000000001</v>
      </c>
      <c r="FB22" s="58">
        <v>7.6999999999999999E-2</v>
      </c>
      <c r="FC22" s="58">
        <v>7.6999999999999999E-2</v>
      </c>
      <c r="FD22" s="58">
        <v>0</v>
      </c>
      <c r="FE22" s="58">
        <v>23.248999999999999</v>
      </c>
      <c r="FF22" s="58">
        <v>11.269</v>
      </c>
      <c r="FG22" s="58">
        <v>11.981</v>
      </c>
      <c r="FH22" s="58">
        <v>188.82499999999999</v>
      </c>
      <c r="FI22" s="58">
        <v>83.850999999999999</v>
      </c>
      <c r="FJ22" s="58">
        <v>104.974</v>
      </c>
      <c r="FK22" s="58">
        <v>24.809000000000001</v>
      </c>
      <c r="FL22" s="58">
        <v>16.940000000000001</v>
      </c>
      <c r="FM22" s="58">
        <v>7.8689999999999998</v>
      </c>
      <c r="FN22" s="58">
        <v>164.01599999999999</v>
      </c>
      <c r="FO22" s="58">
        <v>66.911000000000001</v>
      </c>
      <c r="FP22" s="58">
        <v>97.105000000000004</v>
      </c>
      <c r="FQ22" s="58">
        <v>25.7</v>
      </c>
      <c r="FR22" s="58">
        <v>17.637</v>
      </c>
      <c r="FS22" s="58">
        <v>8.0630000000000006</v>
      </c>
      <c r="FT22" s="58">
        <v>174.155</v>
      </c>
      <c r="FU22" s="58">
        <v>71.683999999999997</v>
      </c>
      <c r="FV22" s="58">
        <v>102.471</v>
      </c>
      <c r="FW22" s="58">
        <v>165.06800000000001</v>
      </c>
      <c r="FX22" s="58">
        <v>67.768000000000001</v>
      </c>
      <c r="FY22" s="58">
        <v>97.299000000000007</v>
      </c>
      <c r="FZ22" s="58">
        <v>1189.992</v>
      </c>
      <c r="GA22" s="58">
        <v>620.49800000000005</v>
      </c>
      <c r="GB22" s="58">
        <v>569.49400000000003</v>
      </c>
      <c r="GC22" s="58">
        <v>695.72500000000002</v>
      </c>
      <c r="GD22" s="58">
        <v>396.762</v>
      </c>
      <c r="GE22" s="58">
        <v>298.96300000000002</v>
      </c>
      <c r="GF22" s="58">
        <v>494.267</v>
      </c>
      <c r="GG22" s="58">
        <v>223.73599999999999</v>
      </c>
      <c r="GH22" s="58">
        <v>270.53100000000001</v>
      </c>
      <c r="GI22" s="58">
        <v>289.89800000000002</v>
      </c>
      <c r="GJ22" s="58">
        <v>158.703</v>
      </c>
      <c r="GK22" s="58">
        <v>131.19499999999999</v>
      </c>
      <c r="GL22" s="58">
        <v>40.372999999999998</v>
      </c>
      <c r="GM22" s="58">
        <v>21.867000000000001</v>
      </c>
      <c r="GN22" s="58">
        <v>18.504999999999999</v>
      </c>
      <c r="GO22" s="58">
        <v>7.2320000000000002</v>
      </c>
      <c r="GP22" s="58">
        <v>6.2389999999999999</v>
      </c>
      <c r="GQ22" s="58">
        <v>0.99299999999999999</v>
      </c>
      <c r="GR22" s="58">
        <v>4.2220000000000004</v>
      </c>
      <c r="GS22" s="58">
        <v>3.2290000000000001</v>
      </c>
      <c r="GT22" s="58">
        <v>0.99299999999999999</v>
      </c>
      <c r="GU22" s="58">
        <v>3.01</v>
      </c>
      <c r="GV22" s="58">
        <v>3.01</v>
      </c>
      <c r="GW22" s="58">
        <v>0</v>
      </c>
      <c r="GX22" s="58">
        <v>33.140999999999998</v>
      </c>
      <c r="GY22" s="58">
        <v>15.628</v>
      </c>
      <c r="GZ22" s="58">
        <v>17.513000000000002</v>
      </c>
      <c r="HA22" s="58">
        <v>271.86200000000002</v>
      </c>
      <c r="HB22" s="58">
        <v>149.43</v>
      </c>
      <c r="HC22" s="58">
        <v>122.432</v>
      </c>
      <c r="HD22" s="58">
        <v>91.278000000000006</v>
      </c>
      <c r="HE22" s="58">
        <v>64.236999999999995</v>
      </c>
      <c r="HF22" s="58">
        <v>27.04</v>
      </c>
      <c r="HG22" s="58">
        <v>180.58500000000001</v>
      </c>
      <c r="HH22" s="58">
        <v>85.192999999999998</v>
      </c>
      <c r="HI22" s="58">
        <v>95.391999999999996</v>
      </c>
      <c r="HJ22" s="58">
        <v>96.507000000000005</v>
      </c>
      <c r="HK22" s="58">
        <v>69.378</v>
      </c>
      <c r="HL22" s="58">
        <v>27.129000000000001</v>
      </c>
      <c r="HM22" s="58">
        <v>193.39099999999999</v>
      </c>
      <c r="HN22" s="58">
        <v>89.325999999999993</v>
      </c>
      <c r="HO22" s="58">
        <v>104.066</v>
      </c>
      <c r="HP22" s="58">
        <v>184.80699999999999</v>
      </c>
      <c r="HQ22" s="58">
        <v>88.421999999999997</v>
      </c>
      <c r="HR22" s="58">
        <v>96.385000000000005</v>
      </c>
      <c r="HS22" s="58">
        <v>2774.2919999999999</v>
      </c>
      <c r="HT22" s="58">
        <v>1509.64</v>
      </c>
      <c r="HU22" s="58">
        <v>1264.652</v>
      </c>
      <c r="HV22" s="58">
        <v>2150.8969999999999</v>
      </c>
      <c r="HW22" s="58">
        <v>1321.5530000000001</v>
      </c>
      <c r="HX22" s="58">
        <v>829.34400000000005</v>
      </c>
      <c r="HY22" s="58">
        <v>623.39499999999998</v>
      </c>
      <c r="HZ22" s="58">
        <v>188.08699999999999</v>
      </c>
      <c r="IA22" s="58">
        <v>435.30799999999999</v>
      </c>
      <c r="IB22" s="58">
        <v>395.12400000000002</v>
      </c>
      <c r="IC22" s="58">
        <v>251.28299999999999</v>
      </c>
      <c r="ID22" s="58">
        <v>143.84100000000001</v>
      </c>
      <c r="IE22" s="58">
        <v>55.856999999999999</v>
      </c>
      <c r="IF22" s="58">
        <v>36.003999999999998</v>
      </c>
      <c r="IG22" s="58">
        <v>19.853000000000002</v>
      </c>
      <c r="IH22" s="58">
        <v>27.89</v>
      </c>
      <c r="II22" s="58">
        <v>21.841000000000001</v>
      </c>
      <c r="IJ22" s="58">
        <v>6.0490000000000004</v>
      </c>
      <c r="IK22" s="58">
        <v>14.666</v>
      </c>
      <c r="IL22" s="58">
        <v>11.069000000000001</v>
      </c>
      <c r="IM22" s="58">
        <v>3.597</v>
      </c>
      <c r="IN22" s="58">
        <v>13.223000000000001</v>
      </c>
      <c r="IO22" s="58">
        <v>10.771000000000001</v>
      </c>
      <c r="IP22" s="58">
        <v>2.452</v>
      </c>
      <c r="IQ22" s="58">
        <v>27.966999999999999</v>
      </c>
    </row>
    <row r="23" spans="1:251">
      <c r="A23" s="5">
        <v>42186</v>
      </c>
      <c r="B23" s="58">
        <v>11759.912</v>
      </c>
      <c r="C23" s="58">
        <v>6323.73</v>
      </c>
      <c r="D23" s="58">
        <v>5436.1819999999998</v>
      </c>
      <c r="E23" s="58">
        <v>8147.5069999999996</v>
      </c>
      <c r="F23" s="58">
        <v>5209.5150000000003</v>
      </c>
      <c r="G23" s="58">
        <v>2937.991</v>
      </c>
      <c r="H23" s="58">
        <v>3612.4059999999999</v>
      </c>
      <c r="I23" s="58">
        <v>1114.2149999999999</v>
      </c>
      <c r="J23" s="58">
        <v>2498.19</v>
      </c>
      <c r="K23" s="58">
        <v>1797.752</v>
      </c>
      <c r="L23" s="58">
        <v>975.56500000000005</v>
      </c>
      <c r="M23" s="58">
        <v>822.18700000000001</v>
      </c>
      <c r="N23" s="58">
        <v>337.58</v>
      </c>
      <c r="O23" s="58">
        <v>192.02099999999999</v>
      </c>
      <c r="P23" s="58">
        <v>145.559</v>
      </c>
      <c r="Q23" s="58">
        <v>141.77600000000001</v>
      </c>
      <c r="R23" s="58">
        <v>106.015</v>
      </c>
      <c r="S23" s="58">
        <v>35.761000000000003</v>
      </c>
      <c r="T23" s="58">
        <v>80.885999999999996</v>
      </c>
      <c r="U23" s="58">
        <v>60.274999999999999</v>
      </c>
      <c r="V23" s="58">
        <v>20.611000000000001</v>
      </c>
      <c r="W23" s="58">
        <v>60.89</v>
      </c>
      <c r="X23" s="58">
        <v>45.74</v>
      </c>
      <c r="Y23" s="58">
        <v>15.15</v>
      </c>
      <c r="Z23" s="58">
        <v>195.804</v>
      </c>
      <c r="AA23" s="58">
        <v>86.006</v>
      </c>
      <c r="AB23" s="58">
        <v>109.79900000000001</v>
      </c>
      <c r="AC23" s="58">
        <v>1614.1130000000001</v>
      </c>
      <c r="AD23" s="58">
        <v>869.96299999999997</v>
      </c>
      <c r="AE23" s="58">
        <v>744.15099999999995</v>
      </c>
      <c r="AF23" s="58">
        <v>624.57000000000005</v>
      </c>
      <c r="AG23" s="58">
        <v>471.67</v>
      </c>
      <c r="AH23" s="58">
        <v>152.899</v>
      </c>
      <c r="AI23" s="58">
        <v>989.54399999999998</v>
      </c>
      <c r="AJ23" s="58">
        <v>398.29199999999997</v>
      </c>
      <c r="AK23" s="58">
        <v>591.25099999999998</v>
      </c>
      <c r="AL23" s="58">
        <v>729.28899999999999</v>
      </c>
      <c r="AM23" s="58">
        <v>546.596</v>
      </c>
      <c r="AN23" s="58">
        <v>182.69300000000001</v>
      </c>
      <c r="AO23" s="58">
        <v>1068.463</v>
      </c>
      <c r="AP23" s="58">
        <v>428.96899999999999</v>
      </c>
      <c r="AQ23" s="58">
        <v>639.49400000000003</v>
      </c>
      <c r="AR23" s="58">
        <v>1070.4290000000001</v>
      </c>
      <c r="AS23" s="58">
        <v>458.56799999999998</v>
      </c>
      <c r="AT23" s="58">
        <v>611.86199999999997</v>
      </c>
      <c r="AU23" s="58">
        <v>11340.759</v>
      </c>
      <c r="AV23" s="58">
        <v>6064.1239999999998</v>
      </c>
      <c r="AW23" s="58">
        <v>5276.6360000000004</v>
      </c>
      <c r="AX23" s="58">
        <v>7958.8209999999999</v>
      </c>
      <c r="AY23" s="58">
        <v>5074.4690000000001</v>
      </c>
      <c r="AZ23" s="58">
        <v>2884.3519999999999</v>
      </c>
      <c r="BA23" s="58">
        <v>3381.9389999999999</v>
      </c>
      <c r="BB23" s="58">
        <v>989.65499999999997</v>
      </c>
      <c r="BC23" s="58">
        <v>2392.2829999999999</v>
      </c>
      <c r="BD23" s="58">
        <v>1751.1369999999999</v>
      </c>
      <c r="BE23" s="58">
        <v>947.72</v>
      </c>
      <c r="BF23" s="58">
        <v>803.41600000000005</v>
      </c>
      <c r="BG23" s="58">
        <v>315.24299999999999</v>
      </c>
      <c r="BH23" s="58">
        <v>179.63200000000001</v>
      </c>
      <c r="BI23" s="58">
        <v>135.61099999999999</v>
      </c>
      <c r="BJ23" s="58">
        <v>136.53700000000001</v>
      </c>
      <c r="BK23" s="58">
        <v>101.137</v>
      </c>
      <c r="BL23" s="58">
        <v>35.4</v>
      </c>
      <c r="BM23" s="58">
        <v>78.415999999999997</v>
      </c>
      <c r="BN23" s="58">
        <v>57.863</v>
      </c>
      <c r="BO23" s="58">
        <v>20.553000000000001</v>
      </c>
      <c r="BP23" s="58">
        <v>58.121000000000002</v>
      </c>
      <c r="BQ23" s="58">
        <v>43.274000000000001</v>
      </c>
      <c r="BR23" s="58">
        <v>14.846</v>
      </c>
      <c r="BS23" s="58">
        <v>178.70699999999999</v>
      </c>
      <c r="BT23" s="58">
        <v>78.495000000000005</v>
      </c>
      <c r="BU23" s="58">
        <v>100.212</v>
      </c>
      <c r="BV23" s="58">
        <v>1582.828</v>
      </c>
      <c r="BW23" s="58">
        <v>850.11199999999997</v>
      </c>
      <c r="BX23" s="58">
        <v>732.71600000000001</v>
      </c>
      <c r="BY23" s="58">
        <v>620.84699999999998</v>
      </c>
      <c r="BZ23" s="58">
        <v>467.94799999999998</v>
      </c>
      <c r="CA23" s="58">
        <v>152.899</v>
      </c>
      <c r="CB23" s="58">
        <v>961.98</v>
      </c>
      <c r="CC23" s="58">
        <v>382.16300000000001</v>
      </c>
      <c r="CD23" s="58">
        <v>579.81700000000001</v>
      </c>
      <c r="CE23" s="58">
        <v>721.64300000000003</v>
      </c>
      <c r="CF23" s="58">
        <v>539.31100000000004</v>
      </c>
      <c r="CG23" s="58">
        <v>182.33199999999999</v>
      </c>
      <c r="CH23" s="58">
        <v>1029.4939999999999</v>
      </c>
      <c r="CI23" s="58">
        <v>408.40899999999999</v>
      </c>
      <c r="CJ23" s="58">
        <v>621.08399999999995</v>
      </c>
      <c r="CK23" s="58">
        <v>1040.396</v>
      </c>
      <c r="CL23" s="58">
        <v>440.02600000000001</v>
      </c>
      <c r="CM23" s="58">
        <v>600.37</v>
      </c>
      <c r="CN23" s="58">
        <v>1834.6959999999999</v>
      </c>
      <c r="CO23" s="58">
        <v>924.63400000000001</v>
      </c>
      <c r="CP23" s="58">
        <v>910.06299999999999</v>
      </c>
      <c r="CQ23" s="58">
        <v>889.52</v>
      </c>
      <c r="CR23" s="58">
        <v>523.99300000000005</v>
      </c>
      <c r="CS23" s="58">
        <v>365.52800000000002</v>
      </c>
      <c r="CT23" s="58">
        <v>945.17600000000004</v>
      </c>
      <c r="CU23" s="58">
        <v>400.64100000000002</v>
      </c>
      <c r="CV23" s="58">
        <v>544.53499999999997</v>
      </c>
      <c r="CW23" s="58">
        <v>479.66699999999997</v>
      </c>
      <c r="CX23" s="58">
        <v>249.13399999999999</v>
      </c>
      <c r="CY23" s="58">
        <v>230.53299999999999</v>
      </c>
      <c r="CZ23" s="58">
        <v>70.31</v>
      </c>
      <c r="DA23" s="58">
        <v>37.982999999999997</v>
      </c>
      <c r="DB23" s="58">
        <v>32.328000000000003</v>
      </c>
      <c r="DC23" s="58">
        <v>20.117000000000001</v>
      </c>
      <c r="DD23" s="58">
        <v>13.138999999999999</v>
      </c>
      <c r="DE23" s="58">
        <v>6.9779999999999998</v>
      </c>
      <c r="DF23" s="58">
        <v>14.287000000000001</v>
      </c>
      <c r="DG23" s="58">
        <v>9.1270000000000007</v>
      </c>
      <c r="DH23" s="58">
        <v>5.16</v>
      </c>
      <c r="DI23" s="58">
        <v>5.8289999999999997</v>
      </c>
      <c r="DJ23" s="58">
        <v>4.0119999999999996</v>
      </c>
      <c r="DK23" s="58">
        <v>1.8169999999999999</v>
      </c>
      <c r="DL23" s="58">
        <v>50.194000000000003</v>
      </c>
      <c r="DM23" s="58">
        <v>24.844000000000001</v>
      </c>
      <c r="DN23" s="58">
        <v>25.35</v>
      </c>
      <c r="DO23" s="58">
        <v>449.89100000000002</v>
      </c>
      <c r="DP23" s="58">
        <v>231.721</v>
      </c>
      <c r="DQ23" s="58">
        <v>218.17</v>
      </c>
      <c r="DR23" s="58">
        <v>116.30800000000001</v>
      </c>
      <c r="DS23" s="58">
        <v>75.668999999999997</v>
      </c>
      <c r="DT23" s="58">
        <v>40.639000000000003</v>
      </c>
      <c r="DU23" s="58">
        <v>333.58300000000003</v>
      </c>
      <c r="DV23" s="58">
        <v>156.05199999999999</v>
      </c>
      <c r="DW23" s="58">
        <v>177.53100000000001</v>
      </c>
      <c r="DX23" s="58">
        <v>129.054</v>
      </c>
      <c r="DY23" s="58">
        <v>83.561000000000007</v>
      </c>
      <c r="DZ23" s="58">
        <v>45.493000000000002</v>
      </c>
      <c r="EA23" s="58">
        <v>350.613</v>
      </c>
      <c r="EB23" s="58">
        <v>165.57300000000001</v>
      </c>
      <c r="EC23" s="58">
        <v>185.04</v>
      </c>
      <c r="ED23" s="58">
        <v>347.87</v>
      </c>
      <c r="EE23" s="58">
        <v>165.179</v>
      </c>
      <c r="EF23" s="58">
        <v>182.691</v>
      </c>
      <c r="EG23" s="58">
        <v>644.28700000000003</v>
      </c>
      <c r="EH23" s="58">
        <v>305.71100000000001</v>
      </c>
      <c r="EI23" s="58">
        <v>338.57600000000002</v>
      </c>
      <c r="EJ23" s="58">
        <v>171.57499999999999</v>
      </c>
      <c r="EK23" s="58">
        <v>110.83499999999999</v>
      </c>
      <c r="EL23" s="58">
        <v>60.74</v>
      </c>
      <c r="EM23" s="58">
        <v>472.71199999999999</v>
      </c>
      <c r="EN23" s="58">
        <v>194.876</v>
      </c>
      <c r="EO23" s="58">
        <v>277.83600000000001</v>
      </c>
      <c r="EP23" s="58">
        <v>205.74799999999999</v>
      </c>
      <c r="EQ23" s="58">
        <v>93.218999999999994</v>
      </c>
      <c r="ER23" s="58">
        <v>112.529</v>
      </c>
      <c r="ES23" s="58">
        <v>33.530999999999999</v>
      </c>
      <c r="ET23" s="58">
        <v>16.792000000000002</v>
      </c>
      <c r="EU23" s="58">
        <v>16.739000000000001</v>
      </c>
      <c r="EV23" s="58">
        <v>5.8620000000000001</v>
      </c>
      <c r="EW23" s="58">
        <v>3.9689999999999999</v>
      </c>
      <c r="EX23" s="58">
        <v>1.893</v>
      </c>
      <c r="EY23" s="58">
        <v>4.4080000000000004</v>
      </c>
      <c r="EZ23" s="58">
        <v>2.9540000000000002</v>
      </c>
      <c r="FA23" s="58">
        <v>1.454</v>
      </c>
      <c r="FB23" s="58">
        <v>1.4550000000000001</v>
      </c>
      <c r="FC23" s="58">
        <v>1.0149999999999999</v>
      </c>
      <c r="FD23" s="58">
        <v>0.439</v>
      </c>
      <c r="FE23" s="58">
        <v>27.669</v>
      </c>
      <c r="FF23" s="58">
        <v>12.823</v>
      </c>
      <c r="FG23" s="58">
        <v>14.846</v>
      </c>
      <c r="FH23" s="58">
        <v>190.10499999999999</v>
      </c>
      <c r="FI23" s="58">
        <v>84.016000000000005</v>
      </c>
      <c r="FJ23" s="58">
        <v>106.089</v>
      </c>
      <c r="FK23" s="58">
        <v>27.957000000000001</v>
      </c>
      <c r="FL23" s="58">
        <v>13.944000000000001</v>
      </c>
      <c r="FM23" s="58">
        <v>14.013</v>
      </c>
      <c r="FN23" s="58">
        <v>162.14699999999999</v>
      </c>
      <c r="FO23" s="58">
        <v>70.070999999999998</v>
      </c>
      <c r="FP23" s="58">
        <v>92.075999999999993</v>
      </c>
      <c r="FQ23" s="58">
        <v>31.09</v>
      </c>
      <c r="FR23" s="58">
        <v>16.093</v>
      </c>
      <c r="FS23" s="58">
        <v>14.997</v>
      </c>
      <c r="FT23" s="58">
        <v>174.65799999999999</v>
      </c>
      <c r="FU23" s="58">
        <v>77.126000000000005</v>
      </c>
      <c r="FV23" s="58">
        <v>97.531000000000006</v>
      </c>
      <c r="FW23" s="58">
        <v>166.55500000000001</v>
      </c>
      <c r="FX23" s="58">
        <v>73.025000000000006</v>
      </c>
      <c r="FY23" s="58">
        <v>93.53</v>
      </c>
      <c r="FZ23" s="58">
        <v>1190.4090000000001</v>
      </c>
      <c r="GA23" s="58">
        <v>618.92200000000003</v>
      </c>
      <c r="GB23" s="58">
        <v>571.48699999999997</v>
      </c>
      <c r="GC23" s="58">
        <v>717.94500000000005</v>
      </c>
      <c r="GD23" s="58">
        <v>413.15699999999998</v>
      </c>
      <c r="GE23" s="58">
        <v>304.78800000000001</v>
      </c>
      <c r="GF23" s="58">
        <v>472.464</v>
      </c>
      <c r="GG23" s="58">
        <v>205.76499999999999</v>
      </c>
      <c r="GH23" s="58">
        <v>266.69900000000001</v>
      </c>
      <c r="GI23" s="58">
        <v>273.91899999999998</v>
      </c>
      <c r="GJ23" s="58">
        <v>155.91499999999999</v>
      </c>
      <c r="GK23" s="58">
        <v>118.004</v>
      </c>
      <c r="GL23" s="58">
        <v>36.779000000000003</v>
      </c>
      <c r="GM23" s="58">
        <v>21.19</v>
      </c>
      <c r="GN23" s="58">
        <v>15.589</v>
      </c>
      <c r="GO23" s="58">
        <v>14.254</v>
      </c>
      <c r="GP23" s="58">
        <v>9.17</v>
      </c>
      <c r="GQ23" s="58">
        <v>5.0839999999999996</v>
      </c>
      <c r="GR23" s="58">
        <v>9.8800000000000008</v>
      </c>
      <c r="GS23" s="58">
        <v>6.173</v>
      </c>
      <c r="GT23" s="58">
        <v>3.7069999999999999</v>
      </c>
      <c r="GU23" s="58">
        <v>4.3739999999999997</v>
      </c>
      <c r="GV23" s="58">
        <v>2.9969999999999999</v>
      </c>
      <c r="GW23" s="58">
        <v>1.3779999999999999</v>
      </c>
      <c r="GX23" s="58">
        <v>22.524999999999999</v>
      </c>
      <c r="GY23" s="58">
        <v>12.02</v>
      </c>
      <c r="GZ23" s="58">
        <v>10.505000000000001</v>
      </c>
      <c r="HA23" s="58">
        <v>259.786</v>
      </c>
      <c r="HB23" s="58">
        <v>147.70500000000001</v>
      </c>
      <c r="HC23" s="58">
        <v>112.081</v>
      </c>
      <c r="HD23" s="58">
        <v>88.350999999999999</v>
      </c>
      <c r="HE23" s="58">
        <v>61.725000000000001</v>
      </c>
      <c r="HF23" s="58">
        <v>26.626000000000001</v>
      </c>
      <c r="HG23" s="58">
        <v>171.435</v>
      </c>
      <c r="HH23" s="58">
        <v>85.98</v>
      </c>
      <c r="HI23" s="58">
        <v>85.454999999999998</v>
      </c>
      <c r="HJ23" s="58">
        <v>97.963999999999999</v>
      </c>
      <c r="HK23" s="58">
        <v>67.468000000000004</v>
      </c>
      <c r="HL23" s="58">
        <v>30.495000000000001</v>
      </c>
      <c r="HM23" s="58">
        <v>175.95500000000001</v>
      </c>
      <c r="HN23" s="58">
        <v>88.445999999999998</v>
      </c>
      <c r="HO23" s="58">
        <v>87.509</v>
      </c>
      <c r="HP23" s="58">
        <v>181.315</v>
      </c>
      <c r="HQ23" s="58">
        <v>92.153999999999996</v>
      </c>
      <c r="HR23" s="58">
        <v>89.161000000000001</v>
      </c>
      <c r="HS23" s="58">
        <v>2762.9870000000001</v>
      </c>
      <c r="HT23" s="58">
        <v>1516.3520000000001</v>
      </c>
      <c r="HU23" s="58">
        <v>1246.635</v>
      </c>
      <c r="HV23" s="58">
        <v>2156.7750000000001</v>
      </c>
      <c r="HW23" s="58">
        <v>1332.3240000000001</v>
      </c>
      <c r="HX23" s="58">
        <v>824.45100000000002</v>
      </c>
      <c r="HY23" s="58">
        <v>606.21199999999999</v>
      </c>
      <c r="HZ23" s="58">
        <v>184.02699999999999</v>
      </c>
      <c r="IA23" s="58">
        <v>422.18400000000003</v>
      </c>
      <c r="IB23" s="58">
        <v>396.68799999999999</v>
      </c>
      <c r="IC23" s="58">
        <v>248.15</v>
      </c>
      <c r="ID23" s="58">
        <v>148.53800000000001</v>
      </c>
      <c r="IE23" s="58">
        <v>63.554000000000002</v>
      </c>
      <c r="IF23" s="58">
        <v>41.881</v>
      </c>
      <c r="IG23" s="58">
        <v>21.672999999999998</v>
      </c>
      <c r="IH23" s="58">
        <v>32.932000000000002</v>
      </c>
      <c r="II23" s="58">
        <v>25.78</v>
      </c>
      <c r="IJ23" s="58">
        <v>7.1520000000000001</v>
      </c>
      <c r="IK23" s="58">
        <v>15.898999999999999</v>
      </c>
      <c r="IL23" s="58">
        <v>13.263999999999999</v>
      </c>
      <c r="IM23" s="58">
        <v>2.6349999999999998</v>
      </c>
      <c r="IN23" s="58">
        <v>17.033000000000001</v>
      </c>
      <c r="IO23" s="58">
        <v>12.516</v>
      </c>
      <c r="IP23" s="58">
        <v>4.5170000000000003</v>
      </c>
      <c r="IQ23" s="58">
        <v>30.623000000000001</v>
      </c>
    </row>
    <row r="24" spans="1:251">
      <c r="A24" s="5">
        <v>42217</v>
      </c>
      <c r="B24" s="58">
        <v>11702.630999999999</v>
      </c>
      <c r="C24" s="58">
        <v>6276.4790000000003</v>
      </c>
      <c r="D24" s="58">
        <v>5426.152</v>
      </c>
      <c r="E24" s="58">
        <v>8051.7510000000002</v>
      </c>
      <c r="F24" s="58">
        <v>5165.0420000000004</v>
      </c>
      <c r="G24" s="58">
        <v>2886.71</v>
      </c>
      <c r="H24" s="58">
        <v>3650.88</v>
      </c>
      <c r="I24" s="58">
        <v>1111.4380000000001</v>
      </c>
      <c r="J24" s="58">
        <v>2539.442</v>
      </c>
      <c r="K24" s="58">
        <v>1739.4649999999999</v>
      </c>
      <c r="L24" s="58">
        <v>924.75300000000004</v>
      </c>
      <c r="M24" s="58">
        <v>814.71199999999999</v>
      </c>
      <c r="N24" s="58">
        <v>321.64999999999998</v>
      </c>
      <c r="O24" s="58">
        <v>183.941</v>
      </c>
      <c r="P24" s="58">
        <v>137.71</v>
      </c>
      <c r="Q24" s="58">
        <v>118.7</v>
      </c>
      <c r="R24" s="58">
        <v>99.465999999999994</v>
      </c>
      <c r="S24" s="58">
        <v>19.234000000000002</v>
      </c>
      <c r="T24" s="58">
        <v>56.347999999999999</v>
      </c>
      <c r="U24" s="58">
        <v>43.728000000000002</v>
      </c>
      <c r="V24" s="58">
        <v>12.619</v>
      </c>
      <c r="W24" s="58">
        <v>62.351999999999997</v>
      </c>
      <c r="X24" s="58">
        <v>55.738</v>
      </c>
      <c r="Y24" s="58">
        <v>6.6139999999999999</v>
      </c>
      <c r="Z24" s="58">
        <v>202.95</v>
      </c>
      <c r="AA24" s="58">
        <v>84.474000000000004</v>
      </c>
      <c r="AB24" s="58">
        <v>118.476</v>
      </c>
      <c r="AC24" s="58">
        <v>1563.154</v>
      </c>
      <c r="AD24" s="58">
        <v>818.33299999999997</v>
      </c>
      <c r="AE24" s="58">
        <v>744.822</v>
      </c>
      <c r="AF24" s="58">
        <v>596.73099999999999</v>
      </c>
      <c r="AG24" s="58">
        <v>445.91</v>
      </c>
      <c r="AH24" s="58">
        <v>150.821</v>
      </c>
      <c r="AI24" s="58">
        <v>966.423</v>
      </c>
      <c r="AJ24" s="58">
        <v>372.42200000000003</v>
      </c>
      <c r="AK24" s="58">
        <v>594.00099999999998</v>
      </c>
      <c r="AL24" s="58">
        <v>685.09400000000005</v>
      </c>
      <c r="AM24" s="58">
        <v>518.92600000000004</v>
      </c>
      <c r="AN24" s="58">
        <v>166.16800000000001</v>
      </c>
      <c r="AO24" s="58">
        <v>1054.3710000000001</v>
      </c>
      <c r="AP24" s="58">
        <v>405.827</v>
      </c>
      <c r="AQ24" s="58">
        <v>648.54399999999998</v>
      </c>
      <c r="AR24" s="58">
        <v>1022.771</v>
      </c>
      <c r="AS24" s="58">
        <v>416.15</v>
      </c>
      <c r="AT24" s="58">
        <v>606.62</v>
      </c>
      <c r="AU24" s="58">
        <v>11270.535</v>
      </c>
      <c r="AV24" s="58">
        <v>6010.1180000000004</v>
      </c>
      <c r="AW24" s="58">
        <v>5260.4170000000004</v>
      </c>
      <c r="AX24" s="58">
        <v>7856.9070000000002</v>
      </c>
      <c r="AY24" s="58">
        <v>5025.2939999999999</v>
      </c>
      <c r="AZ24" s="58">
        <v>2831.6129999999998</v>
      </c>
      <c r="BA24" s="58">
        <v>3413.6289999999999</v>
      </c>
      <c r="BB24" s="58">
        <v>984.82399999999996</v>
      </c>
      <c r="BC24" s="58">
        <v>2428.8040000000001</v>
      </c>
      <c r="BD24" s="58">
        <v>1699.3979999999999</v>
      </c>
      <c r="BE24" s="58">
        <v>899.596</v>
      </c>
      <c r="BF24" s="58">
        <v>799.80200000000002</v>
      </c>
      <c r="BG24" s="58">
        <v>302.51</v>
      </c>
      <c r="BH24" s="58">
        <v>173.334</v>
      </c>
      <c r="BI24" s="58">
        <v>129.17599999999999</v>
      </c>
      <c r="BJ24" s="58">
        <v>114.81399999999999</v>
      </c>
      <c r="BK24" s="58">
        <v>96.384</v>
      </c>
      <c r="BL24" s="58">
        <v>18.43</v>
      </c>
      <c r="BM24" s="58">
        <v>54.598999999999997</v>
      </c>
      <c r="BN24" s="58">
        <v>42.539000000000001</v>
      </c>
      <c r="BO24" s="58">
        <v>12.06</v>
      </c>
      <c r="BP24" s="58">
        <v>60.215000000000003</v>
      </c>
      <c r="BQ24" s="58">
        <v>53.845999999999997</v>
      </c>
      <c r="BR24" s="58">
        <v>6.3689999999999998</v>
      </c>
      <c r="BS24" s="58">
        <v>187.696</v>
      </c>
      <c r="BT24" s="58">
        <v>76.948999999999998</v>
      </c>
      <c r="BU24" s="58">
        <v>110.746</v>
      </c>
      <c r="BV24" s="58">
        <v>1537.82</v>
      </c>
      <c r="BW24" s="58">
        <v>801.80100000000004</v>
      </c>
      <c r="BX24" s="58">
        <v>736.01900000000001</v>
      </c>
      <c r="BY24" s="58">
        <v>594.13900000000001</v>
      </c>
      <c r="BZ24" s="58">
        <v>443.85500000000002</v>
      </c>
      <c r="CA24" s="58">
        <v>150.28399999999999</v>
      </c>
      <c r="CB24" s="58">
        <v>943.68100000000004</v>
      </c>
      <c r="CC24" s="58">
        <v>357.94600000000003</v>
      </c>
      <c r="CD24" s="58">
        <v>585.73500000000001</v>
      </c>
      <c r="CE24" s="58">
        <v>678.61500000000001</v>
      </c>
      <c r="CF24" s="58">
        <v>513.78800000000001</v>
      </c>
      <c r="CG24" s="58">
        <v>164.827</v>
      </c>
      <c r="CH24" s="58">
        <v>1020.783</v>
      </c>
      <c r="CI24" s="58">
        <v>385.80799999999999</v>
      </c>
      <c r="CJ24" s="58">
        <v>634.97400000000005</v>
      </c>
      <c r="CK24" s="58">
        <v>998.28099999999995</v>
      </c>
      <c r="CL24" s="58">
        <v>400.48500000000001</v>
      </c>
      <c r="CM24" s="58">
        <v>597.79600000000005</v>
      </c>
      <c r="CN24" s="58">
        <v>1770.579</v>
      </c>
      <c r="CO24" s="58">
        <v>892.79499999999996</v>
      </c>
      <c r="CP24" s="58">
        <v>877.78399999999999</v>
      </c>
      <c r="CQ24" s="58">
        <v>819.80100000000004</v>
      </c>
      <c r="CR24" s="58">
        <v>494.45</v>
      </c>
      <c r="CS24" s="58">
        <v>325.351</v>
      </c>
      <c r="CT24" s="58">
        <v>950.77800000000002</v>
      </c>
      <c r="CU24" s="58">
        <v>398.34500000000003</v>
      </c>
      <c r="CV24" s="58">
        <v>552.43299999999999</v>
      </c>
      <c r="CW24" s="58">
        <v>448.45299999999997</v>
      </c>
      <c r="CX24" s="58">
        <v>225.517</v>
      </c>
      <c r="CY24" s="58">
        <v>222.93600000000001</v>
      </c>
      <c r="CZ24" s="58">
        <v>74.176000000000002</v>
      </c>
      <c r="DA24" s="58">
        <v>38.673999999999999</v>
      </c>
      <c r="DB24" s="58">
        <v>35.502000000000002</v>
      </c>
      <c r="DC24" s="58">
        <v>13.686</v>
      </c>
      <c r="DD24" s="58">
        <v>11.631</v>
      </c>
      <c r="DE24" s="58">
        <v>2.0550000000000002</v>
      </c>
      <c r="DF24" s="58">
        <v>9.0670000000000002</v>
      </c>
      <c r="DG24" s="58">
        <v>7.6029999999999998</v>
      </c>
      <c r="DH24" s="58">
        <v>1.464</v>
      </c>
      <c r="DI24" s="58">
        <v>4.6189999999999998</v>
      </c>
      <c r="DJ24" s="58">
        <v>4.0279999999999996</v>
      </c>
      <c r="DK24" s="58">
        <v>0.59</v>
      </c>
      <c r="DL24" s="58">
        <v>60.491</v>
      </c>
      <c r="DM24" s="58">
        <v>27.042999999999999</v>
      </c>
      <c r="DN24" s="58">
        <v>33.447000000000003</v>
      </c>
      <c r="DO24" s="58">
        <v>419.24900000000002</v>
      </c>
      <c r="DP24" s="58">
        <v>211.13399999999999</v>
      </c>
      <c r="DQ24" s="58">
        <v>208.11500000000001</v>
      </c>
      <c r="DR24" s="58">
        <v>99.626000000000005</v>
      </c>
      <c r="DS24" s="58">
        <v>67.863</v>
      </c>
      <c r="DT24" s="58">
        <v>31.763000000000002</v>
      </c>
      <c r="DU24" s="58">
        <v>319.62299999999999</v>
      </c>
      <c r="DV24" s="58">
        <v>143.27099999999999</v>
      </c>
      <c r="DW24" s="58">
        <v>176.352</v>
      </c>
      <c r="DX24" s="58">
        <v>108.294</v>
      </c>
      <c r="DY24" s="58">
        <v>74.924999999999997</v>
      </c>
      <c r="DZ24" s="58">
        <v>33.369999999999997</v>
      </c>
      <c r="EA24" s="58">
        <v>340.15899999999999</v>
      </c>
      <c r="EB24" s="58">
        <v>150.59200000000001</v>
      </c>
      <c r="EC24" s="58">
        <v>189.56700000000001</v>
      </c>
      <c r="ED24" s="58">
        <v>328.69</v>
      </c>
      <c r="EE24" s="58">
        <v>150.874</v>
      </c>
      <c r="EF24" s="58">
        <v>177.816</v>
      </c>
      <c r="EG24" s="58">
        <v>613.42100000000005</v>
      </c>
      <c r="EH24" s="58">
        <v>292.68099999999998</v>
      </c>
      <c r="EI24" s="58">
        <v>320.74</v>
      </c>
      <c r="EJ24" s="58">
        <v>144.90199999999999</v>
      </c>
      <c r="EK24" s="58">
        <v>96.114000000000004</v>
      </c>
      <c r="EL24" s="58">
        <v>48.787999999999997</v>
      </c>
      <c r="EM24" s="58">
        <v>468.52</v>
      </c>
      <c r="EN24" s="58">
        <v>196.56700000000001</v>
      </c>
      <c r="EO24" s="58">
        <v>271.952</v>
      </c>
      <c r="EP24" s="58">
        <v>192.791</v>
      </c>
      <c r="EQ24" s="58">
        <v>84.84</v>
      </c>
      <c r="ER24" s="58">
        <v>107.95099999999999</v>
      </c>
      <c r="ES24" s="58">
        <v>37.201000000000001</v>
      </c>
      <c r="ET24" s="58">
        <v>15.475</v>
      </c>
      <c r="EU24" s="58">
        <v>21.725999999999999</v>
      </c>
      <c r="EV24" s="58">
        <v>2.7719999999999998</v>
      </c>
      <c r="EW24" s="58">
        <v>2.1269999999999998</v>
      </c>
      <c r="EX24" s="58">
        <v>0.64500000000000002</v>
      </c>
      <c r="EY24" s="58">
        <v>2.21</v>
      </c>
      <c r="EZ24" s="58">
        <v>1.5640000000000001</v>
      </c>
      <c r="FA24" s="58">
        <v>0.64500000000000002</v>
      </c>
      <c r="FB24" s="58">
        <v>0.56299999999999994</v>
      </c>
      <c r="FC24" s="58">
        <v>0.56299999999999994</v>
      </c>
      <c r="FD24" s="58">
        <v>0</v>
      </c>
      <c r="FE24" s="58">
        <v>34.429000000000002</v>
      </c>
      <c r="FF24" s="58">
        <v>13.348000000000001</v>
      </c>
      <c r="FG24" s="58">
        <v>21.08</v>
      </c>
      <c r="FH24" s="58">
        <v>178.124</v>
      </c>
      <c r="FI24" s="58">
        <v>79.700999999999993</v>
      </c>
      <c r="FJ24" s="58">
        <v>98.423000000000002</v>
      </c>
      <c r="FK24" s="58">
        <v>18.518000000000001</v>
      </c>
      <c r="FL24" s="58">
        <v>11.398999999999999</v>
      </c>
      <c r="FM24" s="58">
        <v>7.1189999999999998</v>
      </c>
      <c r="FN24" s="58">
        <v>159.60599999999999</v>
      </c>
      <c r="FO24" s="58">
        <v>68.302000000000007</v>
      </c>
      <c r="FP24" s="58">
        <v>91.304000000000002</v>
      </c>
      <c r="FQ24" s="58">
        <v>20.373000000000001</v>
      </c>
      <c r="FR24" s="58">
        <v>13.057</v>
      </c>
      <c r="FS24" s="58">
        <v>7.3159999999999998</v>
      </c>
      <c r="FT24" s="58">
        <v>172.41800000000001</v>
      </c>
      <c r="FU24" s="58">
        <v>71.783000000000001</v>
      </c>
      <c r="FV24" s="58">
        <v>100.63500000000001</v>
      </c>
      <c r="FW24" s="58">
        <v>161.816</v>
      </c>
      <c r="FX24" s="58">
        <v>69.866</v>
      </c>
      <c r="FY24" s="58">
        <v>91.948999999999998</v>
      </c>
      <c r="FZ24" s="58">
        <v>1157.1579999999999</v>
      </c>
      <c r="GA24" s="58">
        <v>600.11400000000003</v>
      </c>
      <c r="GB24" s="58">
        <v>557.04399999999998</v>
      </c>
      <c r="GC24" s="58">
        <v>674.9</v>
      </c>
      <c r="GD24" s="58">
        <v>398.33600000000001</v>
      </c>
      <c r="GE24" s="58">
        <v>276.56299999999999</v>
      </c>
      <c r="GF24" s="58">
        <v>482.25799999999998</v>
      </c>
      <c r="GG24" s="58">
        <v>201.77699999999999</v>
      </c>
      <c r="GH24" s="58">
        <v>280.48099999999999</v>
      </c>
      <c r="GI24" s="58">
        <v>255.66200000000001</v>
      </c>
      <c r="GJ24" s="58">
        <v>140.67599999999999</v>
      </c>
      <c r="GK24" s="58">
        <v>114.986</v>
      </c>
      <c r="GL24" s="58">
        <v>36.975999999999999</v>
      </c>
      <c r="GM24" s="58">
        <v>23.199000000000002</v>
      </c>
      <c r="GN24" s="58">
        <v>13.776</v>
      </c>
      <c r="GO24" s="58">
        <v>10.914</v>
      </c>
      <c r="GP24" s="58">
        <v>9.5039999999999996</v>
      </c>
      <c r="GQ24" s="58">
        <v>1.41</v>
      </c>
      <c r="GR24" s="58">
        <v>6.8579999999999997</v>
      </c>
      <c r="GS24" s="58">
        <v>6.0389999999999997</v>
      </c>
      <c r="GT24" s="58">
        <v>0.81899999999999995</v>
      </c>
      <c r="GU24" s="58">
        <v>4.056</v>
      </c>
      <c r="GV24" s="58">
        <v>3.4660000000000002</v>
      </c>
      <c r="GW24" s="58">
        <v>0.59</v>
      </c>
      <c r="GX24" s="58">
        <v>26.062000000000001</v>
      </c>
      <c r="GY24" s="58">
        <v>13.695</v>
      </c>
      <c r="GZ24" s="58">
        <v>12.367000000000001</v>
      </c>
      <c r="HA24" s="58">
        <v>241.125</v>
      </c>
      <c r="HB24" s="58">
        <v>131.43299999999999</v>
      </c>
      <c r="HC24" s="58">
        <v>109.69199999999999</v>
      </c>
      <c r="HD24" s="58">
        <v>81.108000000000004</v>
      </c>
      <c r="HE24" s="58">
        <v>56.463999999999999</v>
      </c>
      <c r="HF24" s="58">
        <v>24.643999999999998</v>
      </c>
      <c r="HG24" s="58">
        <v>160.017</v>
      </c>
      <c r="HH24" s="58">
        <v>74.968999999999994</v>
      </c>
      <c r="HI24" s="58">
        <v>85.048000000000002</v>
      </c>
      <c r="HJ24" s="58">
        <v>87.921000000000006</v>
      </c>
      <c r="HK24" s="58">
        <v>61.866999999999997</v>
      </c>
      <c r="HL24" s="58">
        <v>26.053999999999998</v>
      </c>
      <c r="HM24" s="58">
        <v>167.74100000000001</v>
      </c>
      <c r="HN24" s="58">
        <v>78.808999999999997</v>
      </c>
      <c r="HO24" s="58">
        <v>88.932000000000002</v>
      </c>
      <c r="HP24" s="58">
        <v>166.875</v>
      </c>
      <c r="HQ24" s="58">
        <v>81.007999999999996</v>
      </c>
      <c r="HR24" s="58">
        <v>85.867000000000004</v>
      </c>
      <c r="HS24" s="58">
        <v>2755.942</v>
      </c>
      <c r="HT24" s="58">
        <v>1507.135</v>
      </c>
      <c r="HU24" s="58">
        <v>1248.807</v>
      </c>
      <c r="HV24" s="58">
        <v>2142.7640000000001</v>
      </c>
      <c r="HW24" s="58">
        <v>1327.204</v>
      </c>
      <c r="HX24" s="58">
        <v>815.56</v>
      </c>
      <c r="HY24" s="58">
        <v>613.178</v>
      </c>
      <c r="HZ24" s="58">
        <v>179.93100000000001</v>
      </c>
      <c r="IA24" s="58">
        <v>433.24700000000001</v>
      </c>
      <c r="IB24" s="58">
        <v>390.673</v>
      </c>
      <c r="IC24" s="58">
        <v>234.40199999999999</v>
      </c>
      <c r="ID24" s="58">
        <v>156.27099999999999</v>
      </c>
      <c r="IE24" s="58">
        <v>59.899000000000001</v>
      </c>
      <c r="IF24" s="58">
        <v>38.173999999999999</v>
      </c>
      <c r="IG24" s="58">
        <v>21.725000000000001</v>
      </c>
      <c r="IH24" s="58">
        <v>33.424999999999997</v>
      </c>
      <c r="II24" s="58">
        <v>26.786000000000001</v>
      </c>
      <c r="IJ24" s="58">
        <v>6.6379999999999999</v>
      </c>
      <c r="IK24" s="58">
        <v>15.872999999999999</v>
      </c>
      <c r="IL24" s="58">
        <v>11.81</v>
      </c>
      <c r="IM24" s="58">
        <v>4.0620000000000003</v>
      </c>
      <c r="IN24" s="58">
        <v>17.552</v>
      </c>
      <c r="IO24" s="58">
        <v>14.976000000000001</v>
      </c>
      <c r="IP24" s="58">
        <v>2.5760000000000001</v>
      </c>
      <c r="IQ24" s="58">
        <v>26.474</v>
      </c>
    </row>
    <row r="25" spans="1:251">
      <c r="A25" s="5">
        <v>42248</v>
      </c>
      <c r="B25" s="58">
        <v>11771.039000000001</v>
      </c>
      <c r="C25" s="58">
        <v>6310.4380000000001</v>
      </c>
      <c r="D25" s="58">
        <v>5460.6009999999997</v>
      </c>
      <c r="E25" s="58">
        <v>8107.5659999999998</v>
      </c>
      <c r="F25" s="58">
        <v>5177.9449999999997</v>
      </c>
      <c r="G25" s="58">
        <v>2929.6219999999998</v>
      </c>
      <c r="H25" s="58">
        <v>3663.4720000000002</v>
      </c>
      <c r="I25" s="58">
        <v>1132.4929999999999</v>
      </c>
      <c r="J25" s="58">
        <v>2530.9789999999998</v>
      </c>
      <c r="K25" s="58">
        <v>1771.9110000000001</v>
      </c>
      <c r="L25" s="58">
        <v>926.44</v>
      </c>
      <c r="M25" s="58">
        <v>845.471</v>
      </c>
      <c r="N25" s="58">
        <v>331.86900000000003</v>
      </c>
      <c r="O25" s="58">
        <v>186.34700000000001</v>
      </c>
      <c r="P25" s="58">
        <v>145.52099999999999</v>
      </c>
      <c r="Q25" s="58">
        <v>144.98099999999999</v>
      </c>
      <c r="R25" s="58">
        <v>110.17</v>
      </c>
      <c r="S25" s="58">
        <v>34.811</v>
      </c>
      <c r="T25" s="58">
        <v>61.494</v>
      </c>
      <c r="U25" s="58">
        <v>45.664999999999999</v>
      </c>
      <c r="V25" s="58">
        <v>15.83</v>
      </c>
      <c r="W25" s="58">
        <v>83.486999999999995</v>
      </c>
      <c r="X25" s="58">
        <v>64.504999999999995</v>
      </c>
      <c r="Y25" s="58">
        <v>18.981000000000002</v>
      </c>
      <c r="Z25" s="58">
        <v>186.88800000000001</v>
      </c>
      <c r="AA25" s="58">
        <v>76.177000000000007</v>
      </c>
      <c r="AB25" s="58">
        <v>110.71</v>
      </c>
      <c r="AC25" s="58">
        <v>1573.904</v>
      </c>
      <c r="AD25" s="58">
        <v>812.36699999999996</v>
      </c>
      <c r="AE25" s="58">
        <v>761.53800000000001</v>
      </c>
      <c r="AF25" s="58">
        <v>580.05600000000004</v>
      </c>
      <c r="AG25" s="58">
        <v>428.541</v>
      </c>
      <c r="AH25" s="58">
        <v>151.51400000000001</v>
      </c>
      <c r="AI25" s="58">
        <v>993.84799999999996</v>
      </c>
      <c r="AJ25" s="58">
        <v>383.82499999999999</v>
      </c>
      <c r="AK25" s="58">
        <v>610.02300000000002</v>
      </c>
      <c r="AL25" s="58">
        <v>689.29700000000003</v>
      </c>
      <c r="AM25" s="58">
        <v>511.14499999999998</v>
      </c>
      <c r="AN25" s="58">
        <v>178.15100000000001</v>
      </c>
      <c r="AO25" s="58">
        <v>1082.615</v>
      </c>
      <c r="AP25" s="58">
        <v>415.29500000000002</v>
      </c>
      <c r="AQ25" s="58">
        <v>667.32</v>
      </c>
      <c r="AR25" s="58">
        <v>1055.3430000000001</v>
      </c>
      <c r="AS25" s="58">
        <v>429.49</v>
      </c>
      <c r="AT25" s="58">
        <v>625.85299999999995</v>
      </c>
      <c r="AU25" s="58">
        <v>11331.579</v>
      </c>
      <c r="AV25" s="58">
        <v>6036.4110000000001</v>
      </c>
      <c r="AW25" s="58">
        <v>5295.1679999999997</v>
      </c>
      <c r="AX25" s="58">
        <v>7909.28</v>
      </c>
      <c r="AY25" s="58">
        <v>5033.0609999999997</v>
      </c>
      <c r="AZ25" s="58">
        <v>2876.2190000000001</v>
      </c>
      <c r="BA25" s="58">
        <v>3422.299</v>
      </c>
      <c r="BB25" s="58">
        <v>1003.35</v>
      </c>
      <c r="BC25" s="58">
        <v>2418.9490000000001</v>
      </c>
      <c r="BD25" s="58">
        <v>1732.713</v>
      </c>
      <c r="BE25" s="58">
        <v>904.23299999999995</v>
      </c>
      <c r="BF25" s="58">
        <v>828.47900000000004</v>
      </c>
      <c r="BG25" s="58">
        <v>315.07600000000002</v>
      </c>
      <c r="BH25" s="58">
        <v>176.21899999999999</v>
      </c>
      <c r="BI25" s="58">
        <v>138.857</v>
      </c>
      <c r="BJ25" s="58">
        <v>142.68700000000001</v>
      </c>
      <c r="BK25" s="58">
        <v>107.876</v>
      </c>
      <c r="BL25" s="58">
        <v>34.811</v>
      </c>
      <c r="BM25" s="58">
        <v>60.969000000000001</v>
      </c>
      <c r="BN25" s="58">
        <v>45.139000000000003</v>
      </c>
      <c r="BO25" s="58">
        <v>15.83</v>
      </c>
      <c r="BP25" s="58">
        <v>81.718000000000004</v>
      </c>
      <c r="BQ25" s="58">
        <v>62.737000000000002</v>
      </c>
      <c r="BR25" s="58">
        <v>18.981000000000002</v>
      </c>
      <c r="BS25" s="58">
        <v>172.38900000000001</v>
      </c>
      <c r="BT25" s="58">
        <v>68.343000000000004</v>
      </c>
      <c r="BU25" s="58">
        <v>104.04600000000001</v>
      </c>
      <c r="BV25" s="58">
        <v>1546.6510000000001</v>
      </c>
      <c r="BW25" s="58">
        <v>797.87599999999998</v>
      </c>
      <c r="BX25" s="58">
        <v>748.77499999999998</v>
      </c>
      <c r="BY25" s="58">
        <v>576.48699999999997</v>
      </c>
      <c r="BZ25" s="58">
        <v>426.42700000000002</v>
      </c>
      <c r="CA25" s="58">
        <v>150.06</v>
      </c>
      <c r="CB25" s="58">
        <v>970.16399999999999</v>
      </c>
      <c r="CC25" s="58">
        <v>371.44900000000001</v>
      </c>
      <c r="CD25" s="58">
        <v>598.71500000000003</v>
      </c>
      <c r="CE25" s="58">
        <v>683.85</v>
      </c>
      <c r="CF25" s="58">
        <v>507.15300000000002</v>
      </c>
      <c r="CG25" s="58">
        <v>176.697</v>
      </c>
      <c r="CH25" s="58">
        <v>1048.8630000000001</v>
      </c>
      <c r="CI25" s="58">
        <v>397.08</v>
      </c>
      <c r="CJ25" s="58">
        <v>651.78200000000004</v>
      </c>
      <c r="CK25" s="58">
        <v>1031.133</v>
      </c>
      <c r="CL25" s="58">
        <v>416.58800000000002</v>
      </c>
      <c r="CM25" s="58">
        <v>614.54499999999996</v>
      </c>
      <c r="CN25" s="58">
        <v>1812.26</v>
      </c>
      <c r="CO25" s="58">
        <v>918.07</v>
      </c>
      <c r="CP25" s="58">
        <v>894.19</v>
      </c>
      <c r="CQ25" s="58">
        <v>834.48599999999999</v>
      </c>
      <c r="CR25" s="58">
        <v>504.84800000000001</v>
      </c>
      <c r="CS25" s="58">
        <v>329.637</v>
      </c>
      <c r="CT25" s="58">
        <v>977.774</v>
      </c>
      <c r="CU25" s="58">
        <v>413.22199999999998</v>
      </c>
      <c r="CV25" s="58">
        <v>564.55200000000002</v>
      </c>
      <c r="CW25" s="58">
        <v>461.23200000000003</v>
      </c>
      <c r="CX25" s="58">
        <v>226.62100000000001</v>
      </c>
      <c r="CY25" s="58">
        <v>234.61099999999999</v>
      </c>
      <c r="CZ25" s="58">
        <v>63.924999999999997</v>
      </c>
      <c r="DA25" s="58">
        <v>29.733000000000001</v>
      </c>
      <c r="DB25" s="58">
        <v>34.192</v>
      </c>
      <c r="DC25" s="58">
        <v>12.599</v>
      </c>
      <c r="DD25" s="58">
        <v>8.9440000000000008</v>
      </c>
      <c r="DE25" s="58">
        <v>3.6549999999999998</v>
      </c>
      <c r="DF25" s="58">
        <v>6.2789999999999999</v>
      </c>
      <c r="DG25" s="58">
        <v>4.8550000000000004</v>
      </c>
      <c r="DH25" s="58">
        <v>1.425</v>
      </c>
      <c r="DI25" s="58">
        <v>6.32</v>
      </c>
      <c r="DJ25" s="58">
        <v>4.09</v>
      </c>
      <c r="DK25" s="58">
        <v>2.23</v>
      </c>
      <c r="DL25" s="58">
        <v>51.326000000000001</v>
      </c>
      <c r="DM25" s="58">
        <v>20.789000000000001</v>
      </c>
      <c r="DN25" s="58">
        <v>30.536999999999999</v>
      </c>
      <c r="DO25" s="58">
        <v>430.49599999999998</v>
      </c>
      <c r="DP25" s="58">
        <v>211.566</v>
      </c>
      <c r="DQ25" s="58">
        <v>218.93</v>
      </c>
      <c r="DR25" s="58">
        <v>99.225999999999999</v>
      </c>
      <c r="DS25" s="58">
        <v>65.688999999999993</v>
      </c>
      <c r="DT25" s="58">
        <v>33.536999999999999</v>
      </c>
      <c r="DU25" s="58">
        <v>331.27100000000002</v>
      </c>
      <c r="DV25" s="58">
        <v>145.87799999999999</v>
      </c>
      <c r="DW25" s="58">
        <v>185.393</v>
      </c>
      <c r="DX25" s="58">
        <v>105.834</v>
      </c>
      <c r="DY25" s="58">
        <v>71.143000000000001</v>
      </c>
      <c r="DZ25" s="58">
        <v>34.691000000000003</v>
      </c>
      <c r="EA25" s="58">
        <v>355.39800000000002</v>
      </c>
      <c r="EB25" s="58">
        <v>155.47800000000001</v>
      </c>
      <c r="EC25" s="58">
        <v>199.92</v>
      </c>
      <c r="ED25" s="58">
        <v>337.55</v>
      </c>
      <c r="EE25" s="58">
        <v>150.732</v>
      </c>
      <c r="EF25" s="58">
        <v>186.81800000000001</v>
      </c>
      <c r="EG25" s="58">
        <v>622.07500000000005</v>
      </c>
      <c r="EH25" s="58">
        <v>296.17099999999999</v>
      </c>
      <c r="EI25" s="58">
        <v>325.90499999999997</v>
      </c>
      <c r="EJ25" s="58">
        <v>144.40799999999999</v>
      </c>
      <c r="EK25" s="58">
        <v>96.653999999999996</v>
      </c>
      <c r="EL25" s="58">
        <v>47.753999999999998</v>
      </c>
      <c r="EM25" s="58">
        <v>477.66699999999997</v>
      </c>
      <c r="EN25" s="58">
        <v>199.517</v>
      </c>
      <c r="EO25" s="58">
        <v>278.15100000000001</v>
      </c>
      <c r="EP25" s="58">
        <v>199.512</v>
      </c>
      <c r="EQ25" s="58">
        <v>90.308999999999997</v>
      </c>
      <c r="ER25" s="58">
        <v>109.203</v>
      </c>
      <c r="ES25" s="58">
        <v>30.850999999999999</v>
      </c>
      <c r="ET25" s="58">
        <v>13.411</v>
      </c>
      <c r="EU25" s="58">
        <v>17.440000000000001</v>
      </c>
      <c r="EV25" s="58">
        <v>2.3260000000000001</v>
      </c>
      <c r="EW25" s="58">
        <v>1.6140000000000001</v>
      </c>
      <c r="EX25" s="58">
        <v>0.71199999999999997</v>
      </c>
      <c r="EY25" s="58">
        <v>1.611</v>
      </c>
      <c r="EZ25" s="58">
        <v>1.2829999999999999</v>
      </c>
      <c r="FA25" s="58">
        <v>0.32700000000000001</v>
      </c>
      <c r="FB25" s="58">
        <v>0.71599999999999997</v>
      </c>
      <c r="FC25" s="58">
        <v>0.33100000000000002</v>
      </c>
      <c r="FD25" s="58">
        <v>0.38400000000000001</v>
      </c>
      <c r="FE25" s="58">
        <v>28.524999999999999</v>
      </c>
      <c r="FF25" s="58">
        <v>11.797000000000001</v>
      </c>
      <c r="FG25" s="58">
        <v>16.728000000000002</v>
      </c>
      <c r="FH25" s="58">
        <v>181.73099999999999</v>
      </c>
      <c r="FI25" s="58">
        <v>83.078000000000003</v>
      </c>
      <c r="FJ25" s="58">
        <v>98.653000000000006</v>
      </c>
      <c r="FK25" s="58">
        <v>20.091000000000001</v>
      </c>
      <c r="FL25" s="58">
        <v>13.574999999999999</v>
      </c>
      <c r="FM25" s="58">
        <v>6.516</v>
      </c>
      <c r="FN25" s="58">
        <v>161.63999999999999</v>
      </c>
      <c r="FO25" s="58">
        <v>69.504000000000005</v>
      </c>
      <c r="FP25" s="58">
        <v>92.137</v>
      </c>
      <c r="FQ25" s="58">
        <v>21.791</v>
      </c>
      <c r="FR25" s="58">
        <v>14.946999999999999</v>
      </c>
      <c r="FS25" s="58">
        <v>6.8440000000000003</v>
      </c>
      <c r="FT25" s="58">
        <v>177.721</v>
      </c>
      <c r="FU25" s="58">
        <v>75.361999999999995</v>
      </c>
      <c r="FV25" s="58">
        <v>102.36</v>
      </c>
      <c r="FW25" s="58">
        <v>163.251</v>
      </c>
      <c r="FX25" s="58">
        <v>70.787000000000006</v>
      </c>
      <c r="FY25" s="58">
        <v>92.463999999999999</v>
      </c>
      <c r="FZ25" s="58">
        <v>1190.184</v>
      </c>
      <c r="GA25" s="58">
        <v>621.899</v>
      </c>
      <c r="GB25" s="58">
        <v>568.28499999999997</v>
      </c>
      <c r="GC25" s="58">
        <v>690.077</v>
      </c>
      <c r="GD25" s="58">
        <v>408.19400000000002</v>
      </c>
      <c r="GE25" s="58">
        <v>281.88299999999998</v>
      </c>
      <c r="GF25" s="58">
        <v>500.10700000000003</v>
      </c>
      <c r="GG25" s="58">
        <v>213.70500000000001</v>
      </c>
      <c r="GH25" s="58">
        <v>286.40199999999999</v>
      </c>
      <c r="GI25" s="58">
        <v>261.72000000000003</v>
      </c>
      <c r="GJ25" s="58">
        <v>136.31299999999999</v>
      </c>
      <c r="GK25" s="58">
        <v>125.408</v>
      </c>
      <c r="GL25" s="58">
        <v>33.073999999999998</v>
      </c>
      <c r="GM25" s="58">
        <v>16.321999999999999</v>
      </c>
      <c r="GN25" s="58">
        <v>16.751999999999999</v>
      </c>
      <c r="GO25" s="58">
        <v>10.273</v>
      </c>
      <c r="GP25" s="58">
        <v>7.33</v>
      </c>
      <c r="GQ25" s="58">
        <v>2.9430000000000001</v>
      </c>
      <c r="GR25" s="58">
        <v>4.6689999999999996</v>
      </c>
      <c r="GS25" s="58">
        <v>3.5710000000000002</v>
      </c>
      <c r="GT25" s="58">
        <v>1.097</v>
      </c>
      <c r="GU25" s="58">
        <v>5.6050000000000004</v>
      </c>
      <c r="GV25" s="58">
        <v>3.7589999999999999</v>
      </c>
      <c r="GW25" s="58">
        <v>1.8460000000000001</v>
      </c>
      <c r="GX25" s="58">
        <v>22.800999999999998</v>
      </c>
      <c r="GY25" s="58">
        <v>8.9920000000000009</v>
      </c>
      <c r="GZ25" s="58">
        <v>13.808</v>
      </c>
      <c r="HA25" s="58">
        <v>248.76499999999999</v>
      </c>
      <c r="HB25" s="58">
        <v>128.488</v>
      </c>
      <c r="HC25" s="58">
        <v>120.277</v>
      </c>
      <c r="HD25" s="58">
        <v>79.135000000000005</v>
      </c>
      <c r="HE25" s="58">
        <v>52.113999999999997</v>
      </c>
      <c r="HF25" s="58">
        <v>27.021000000000001</v>
      </c>
      <c r="HG25" s="58">
        <v>169.63</v>
      </c>
      <c r="HH25" s="58">
        <v>76.373999999999995</v>
      </c>
      <c r="HI25" s="58">
        <v>93.256</v>
      </c>
      <c r="HJ25" s="58">
        <v>84.043000000000006</v>
      </c>
      <c r="HK25" s="58">
        <v>56.195999999999998</v>
      </c>
      <c r="HL25" s="58">
        <v>27.847000000000001</v>
      </c>
      <c r="HM25" s="58">
        <v>177.67699999999999</v>
      </c>
      <c r="HN25" s="58">
        <v>80.117000000000004</v>
      </c>
      <c r="HO25" s="58">
        <v>97.56</v>
      </c>
      <c r="HP25" s="58">
        <v>174.29900000000001</v>
      </c>
      <c r="HQ25" s="58">
        <v>79.944999999999993</v>
      </c>
      <c r="HR25" s="58">
        <v>94.353999999999999</v>
      </c>
      <c r="HS25" s="58">
        <v>2764.2620000000002</v>
      </c>
      <c r="HT25" s="58">
        <v>1504.961</v>
      </c>
      <c r="HU25" s="58">
        <v>1259.3019999999999</v>
      </c>
      <c r="HV25" s="58">
        <v>2155.453</v>
      </c>
      <c r="HW25" s="58">
        <v>1332.5609999999999</v>
      </c>
      <c r="HX25" s="58">
        <v>822.89200000000005</v>
      </c>
      <c r="HY25" s="58">
        <v>608.80999999999995</v>
      </c>
      <c r="HZ25" s="58">
        <v>172.4</v>
      </c>
      <c r="IA25" s="58">
        <v>436.41</v>
      </c>
      <c r="IB25" s="58">
        <v>394.77100000000002</v>
      </c>
      <c r="IC25" s="58">
        <v>223.00399999999999</v>
      </c>
      <c r="ID25" s="58">
        <v>171.767</v>
      </c>
      <c r="IE25" s="58">
        <v>59.625</v>
      </c>
      <c r="IF25" s="58">
        <v>31.454999999999998</v>
      </c>
      <c r="IG25" s="58">
        <v>28.17</v>
      </c>
      <c r="IH25" s="58">
        <v>33.006999999999998</v>
      </c>
      <c r="II25" s="58">
        <v>22.207000000000001</v>
      </c>
      <c r="IJ25" s="58">
        <v>10.8</v>
      </c>
      <c r="IK25" s="58">
        <v>16.312000000000001</v>
      </c>
      <c r="IL25" s="58">
        <v>10.525</v>
      </c>
      <c r="IM25" s="58">
        <v>5.7869999999999999</v>
      </c>
      <c r="IN25" s="58">
        <v>16.695</v>
      </c>
      <c r="IO25" s="58">
        <v>11.682</v>
      </c>
      <c r="IP25" s="58">
        <v>5.0129999999999999</v>
      </c>
      <c r="IQ25" s="58">
        <v>26.617999999999999</v>
      </c>
    </row>
    <row r="26" spans="1:251">
      <c r="A26" s="5">
        <v>42278</v>
      </c>
      <c r="B26" s="58">
        <v>11865.776</v>
      </c>
      <c r="C26" s="58">
        <v>6357.9539999999997</v>
      </c>
      <c r="D26" s="58">
        <v>5507.8209999999999</v>
      </c>
      <c r="E26" s="58">
        <v>8142.3370000000004</v>
      </c>
      <c r="F26" s="58">
        <v>5221.1149999999998</v>
      </c>
      <c r="G26" s="58">
        <v>2921.221</v>
      </c>
      <c r="H26" s="58">
        <v>3723.4389999999999</v>
      </c>
      <c r="I26" s="58">
        <v>1136.8389999999999</v>
      </c>
      <c r="J26" s="58">
        <v>2586.6</v>
      </c>
      <c r="K26" s="58">
        <v>1745.1010000000001</v>
      </c>
      <c r="L26" s="58">
        <v>918.54</v>
      </c>
      <c r="M26" s="58">
        <v>826.56100000000004</v>
      </c>
      <c r="N26" s="58">
        <v>301.83</v>
      </c>
      <c r="O26" s="58">
        <v>167.66900000000001</v>
      </c>
      <c r="P26" s="58">
        <v>134.161</v>
      </c>
      <c r="Q26" s="58">
        <v>112.682</v>
      </c>
      <c r="R26" s="58">
        <v>82.947000000000003</v>
      </c>
      <c r="S26" s="58">
        <v>29.734999999999999</v>
      </c>
      <c r="T26" s="58">
        <v>64.518000000000001</v>
      </c>
      <c r="U26" s="58">
        <v>46.79</v>
      </c>
      <c r="V26" s="58">
        <v>17.728999999999999</v>
      </c>
      <c r="W26" s="58">
        <v>48.164000000000001</v>
      </c>
      <c r="X26" s="58">
        <v>36.156999999999996</v>
      </c>
      <c r="Y26" s="58">
        <v>12.007</v>
      </c>
      <c r="Z26" s="58">
        <v>189.148</v>
      </c>
      <c r="AA26" s="58">
        <v>84.721999999999994</v>
      </c>
      <c r="AB26" s="58">
        <v>104.426</v>
      </c>
      <c r="AC26" s="58">
        <v>1563.5070000000001</v>
      </c>
      <c r="AD26" s="58">
        <v>819.20799999999997</v>
      </c>
      <c r="AE26" s="58">
        <v>744.29899999999998</v>
      </c>
      <c r="AF26" s="58">
        <v>580.27800000000002</v>
      </c>
      <c r="AG26" s="58">
        <v>433.26900000000001</v>
      </c>
      <c r="AH26" s="58">
        <v>147.00899999999999</v>
      </c>
      <c r="AI26" s="58">
        <v>983.22900000000004</v>
      </c>
      <c r="AJ26" s="58">
        <v>385.93900000000002</v>
      </c>
      <c r="AK26" s="58">
        <v>597.29</v>
      </c>
      <c r="AL26" s="58">
        <v>664.67899999999997</v>
      </c>
      <c r="AM26" s="58">
        <v>494.69799999999998</v>
      </c>
      <c r="AN26" s="58">
        <v>169.98099999999999</v>
      </c>
      <c r="AO26" s="58">
        <v>1080.422</v>
      </c>
      <c r="AP26" s="58">
        <v>423.84199999999998</v>
      </c>
      <c r="AQ26" s="58">
        <v>656.58</v>
      </c>
      <c r="AR26" s="58">
        <v>1047.7470000000001</v>
      </c>
      <c r="AS26" s="58">
        <v>432.72899999999998</v>
      </c>
      <c r="AT26" s="58">
        <v>615.01900000000001</v>
      </c>
      <c r="AU26" s="58">
        <v>11418.44</v>
      </c>
      <c r="AV26" s="58">
        <v>6079.9520000000002</v>
      </c>
      <c r="AW26" s="58">
        <v>5338.4880000000003</v>
      </c>
      <c r="AX26" s="58">
        <v>7937.6779999999999</v>
      </c>
      <c r="AY26" s="58">
        <v>5071.7510000000002</v>
      </c>
      <c r="AZ26" s="58">
        <v>2865.9270000000001</v>
      </c>
      <c r="BA26" s="58">
        <v>3480.7620000000002</v>
      </c>
      <c r="BB26" s="58">
        <v>1008.202</v>
      </c>
      <c r="BC26" s="58">
        <v>2472.5610000000001</v>
      </c>
      <c r="BD26" s="58">
        <v>1702.5820000000001</v>
      </c>
      <c r="BE26" s="58">
        <v>890.95899999999995</v>
      </c>
      <c r="BF26" s="58">
        <v>811.62199999999996</v>
      </c>
      <c r="BG26" s="58">
        <v>282.33999999999997</v>
      </c>
      <c r="BH26" s="58">
        <v>153.876</v>
      </c>
      <c r="BI26" s="58">
        <v>128.464</v>
      </c>
      <c r="BJ26" s="58">
        <v>107.473</v>
      </c>
      <c r="BK26" s="58">
        <v>78.748999999999995</v>
      </c>
      <c r="BL26" s="58">
        <v>28.724</v>
      </c>
      <c r="BM26" s="58">
        <v>60.256999999999998</v>
      </c>
      <c r="BN26" s="58">
        <v>43.244</v>
      </c>
      <c r="BO26" s="58">
        <v>17.013000000000002</v>
      </c>
      <c r="BP26" s="58">
        <v>47.216000000000001</v>
      </c>
      <c r="BQ26" s="58">
        <v>35.505000000000003</v>
      </c>
      <c r="BR26" s="58">
        <v>11.711</v>
      </c>
      <c r="BS26" s="58">
        <v>174.86699999999999</v>
      </c>
      <c r="BT26" s="58">
        <v>75.126999999999995</v>
      </c>
      <c r="BU26" s="58">
        <v>99.74</v>
      </c>
      <c r="BV26" s="58">
        <v>1537.684</v>
      </c>
      <c r="BW26" s="58">
        <v>803.86400000000003</v>
      </c>
      <c r="BX26" s="58">
        <v>733.82</v>
      </c>
      <c r="BY26" s="58">
        <v>576.14499999999998</v>
      </c>
      <c r="BZ26" s="58">
        <v>429.87799999999999</v>
      </c>
      <c r="CA26" s="58">
        <v>146.267</v>
      </c>
      <c r="CB26" s="58">
        <v>961.53899999999999</v>
      </c>
      <c r="CC26" s="58">
        <v>373.98599999999999</v>
      </c>
      <c r="CD26" s="58">
        <v>587.553</v>
      </c>
      <c r="CE26" s="58">
        <v>655.65599999999995</v>
      </c>
      <c r="CF26" s="58">
        <v>487.428</v>
      </c>
      <c r="CG26" s="58">
        <v>168.22800000000001</v>
      </c>
      <c r="CH26" s="58">
        <v>1046.9259999999999</v>
      </c>
      <c r="CI26" s="58">
        <v>403.53199999999998</v>
      </c>
      <c r="CJ26" s="58">
        <v>643.39499999999998</v>
      </c>
      <c r="CK26" s="58">
        <v>1021.795</v>
      </c>
      <c r="CL26" s="58">
        <v>417.23</v>
      </c>
      <c r="CM26" s="58">
        <v>604.56600000000003</v>
      </c>
      <c r="CN26" s="58">
        <v>1839.1559999999999</v>
      </c>
      <c r="CO26" s="58">
        <v>934.98199999999997</v>
      </c>
      <c r="CP26" s="58">
        <v>904.17399999999998</v>
      </c>
      <c r="CQ26" s="58">
        <v>849.72699999999998</v>
      </c>
      <c r="CR26" s="58">
        <v>515.351</v>
      </c>
      <c r="CS26" s="58">
        <v>334.37599999999998</v>
      </c>
      <c r="CT26" s="58">
        <v>989.43</v>
      </c>
      <c r="CU26" s="58">
        <v>419.63200000000001</v>
      </c>
      <c r="CV26" s="58">
        <v>569.798</v>
      </c>
      <c r="CW26" s="58">
        <v>484.74900000000002</v>
      </c>
      <c r="CX26" s="58">
        <v>242.32400000000001</v>
      </c>
      <c r="CY26" s="58">
        <v>242.42599999999999</v>
      </c>
      <c r="CZ26" s="58">
        <v>65.953999999999994</v>
      </c>
      <c r="DA26" s="58">
        <v>31.870999999999999</v>
      </c>
      <c r="DB26" s="58">
        <v>34.082999999999998</v>
      </c>
      <c r="DC26" s="58">
        <v>9.0760000000000005</v>
      </c>
      <c r="DD26" s="58">
        <v>6.1470000000000002</v>
      </c>
      <c r="DE26" s="58">
        <v>2.9289999999999998</v>
      </c>
      <c r="DF26" s="58">
        <v>7.0359999999999996</v>
      </c>
      <c r="DG26" s="58">
        <v>5.2720000000000002</v>
      </c>
      <c r="DH26" s="58">
        <v>1.7649999999999999</v>
      </c>
      <c r="DI26" s="58">
        <v>2.04</v>
      </c>
      <c r="DJ26" s="58">
        <v>0.875</v>
      </c>
      <c r="DK26" s="58">
        <v>1.165</v>
      </c>
      <c r="DL26" s="58">
        <v>56.878</v>
      </c>
      <c r="DM26" s="58">
        <v>25.724</v>
      </c>
      <c r="DN26" s="58">
        <v>31.154</v>
      </c>
      <c r="DO26" s="58">
        <v>449.66300000000001</v>
      </c>
      <c r="DP26" s="58">
        <v>225.303</v>
      </c>
      <c r="DQ26" s="58">
        <v>224.36</v>
      </c>
      <c r="DR26" s="58">
        <v>108.60599999999999</v>
      </c>
      <c r="DS26" s="58">
        <v>71.543999999999997</v>
      </c>
      <c r="DT26" s="58">
        <v>37.061999999999998</v>
      </c>
      <c r="DU26" s="58">
        <v>341.05700000000002</v>
      </c>
      <c r="DV26" s="58">
        <v>153.75899999999999</v>
      </c>
      <c r="DW26" s="58">
        <v>187.298</v>
      </c>
      <c r="DX26" s="58">
        <v>114.673</v>
      </c>
      <c r="DY26" s="58">
        <v>75.852999999999994</v>
      </c>
      <c r="DZ26" s="58">
        <v>38.82</v>
      </c>
      <c r="EA26" s="58">
        <v>370.07600000000002</v>
      </c>
      <c r="EB26" s="58">
        <v>166.471</v>
      </c>
      <c r="EC26" s="58">
        <v>203.60499999999999</v>
      </c>
      <c r="ED26" s="58">
        <v>348.09300000000002</v>
      </c>
      <c r="EE26" s="58">
        <v>159.03100000000001</v>
      </c>
      <c r="EF26" s="58">
        <v>189.06299999999999</v>
      </c>
      <c r="EG26" s="58">
        <v>641.44899999999996</v>
      </c>
      <c r="EH26" s="58">
        <v>306.392</v>
      </c>
      <c r="EI26" s="58">
        <v>335.05599999999998</v>
      </c>
      <c r="EJ26" s="58">
        <v>144.41</v>
      </c>
      <c r="EK26" s="58">
        <v>97.182000000000002</v>
      </c>
      <c r="EL26" s="58">
        <v>47.228000000000002</v>
      </c>
      <c r="EM26" s="58">
        <v>497.03899999999999</v>
      </c>
      <c r="EN26" s="58">
        <v>209.21100000000001</v>
      </c>
      <c r="EO26" s="58">
        <v>287.82799999999997</v>
      </c>
      <c r="EP26" s="58">
        <v>197.63800000000001</v>
      </c>
      <c r="EQ26" s="58">
        <v>91.921999999999997</v>
      </c>
      <c r="ER26" s="58">
        <v>105.71599999999999</v>
      </c>
      <c r="ES26" s="58">
        <v>28.681000000000001</v>
      </c>
      <c r="ET26" s="58">
        <v>11.294</v>
      </c>
      <c r="EU26" s="58">
        <v>17.387</v>
      </c>
      <c r="EV26" s="58">
        <v>1.4490000000000001</v>
      </c>
      <c r="EW26" s="58">
        <v>1.371</v>
      </c>
      <c r="EX26" s="58">
        <v>7.8E-2</v>
      </c>
      <c r="EY26" s="58">
        <v>0.92700000000000005</v>
      </c>
      <c r="EZ26" s="58">
        <v>0.84899999999999998</v>
      </c>
      <c r="FA26" s="58">
        <v>7.8E-2</v>
      </c>
      <c r="FB26" s="58">
        <v>0.52200000000000002</v>
      </c>
      <c r="FC26" s="58">
        <v>0.52200000000000002</v>
      </c>
      <c r="FD26" s="58">
        <v>0</v>
      </c>
      <c r="FE26" s="58">
        <v>27.233000000000001</v>
      </c>
      <c r="FF26" s="58">
        <v>9.9239999999999995</v>
      </c>
      <c r="FG26" s="58">
        <v>17.309000000000001</v>
      </c>
      <c r="FH26" s="58">
        <v>181.47499999999999</v>
      </c>
      <c r="FI26" s="58">
        <v>85.608000000000004</v>
      </c>
      <c r="FJ26" s="58">
        <v>95.867000000000004</v>
      </c>
      <c r="FK26" s="58">
        <v>17.518999999999998</v>
      </c>
      <c r="FL26" s="58">
        <v>12.371</v>
      </c>
      <c r="FM26" s="58">
        <v>5.1479999999999997</v>
      </c>
      <c r="FN26" s="58">
        <v>163.95599999999999</v>
      </c>
      <c r="FO26" s="58">
        <v>73.236999999999995</v>
      </c>
      <c r="FP26" s="58">
        <v>90.718999999999994</v>
      </c>
      <c r="FQ26" s="58">
        <v>18.343</v>
      </c>
      <c r="FR26" s="58">
        <v>13.117000000000001</v>
      </c>
      <c r="FS26" s="58">
        <v>5.226</v>
      </c>
      <c r="FT26" s="58">
        <v>179.29499999999999</v>
      </c>
      <c r="FU26" s="58">
        <v>78.805000000000007</v>
      </c>
      <c r="FV26" s="58">
        <v>100.49</v>
      </c>
      <c r="FW26" s="58">
        <v>164.88300000000001</v>
      </c>
      <c r="FX26" s="58">
        <v>74.085999999999999</v>
      </c>
      <c r="FY26" s="58">
        <v>90.796999999999997</v>
      </c>
      <c r="FZ26" s="58">
        <v>1197.7080000000001</v>
      </c>
      <c r="GA26" s="58">
        <v>628.59</v>
      </c>
      <c r="GB26" s="58">
        <v>569.11800000000005</v>
      </c>
      <c r="GC26" s="58">
        <v>705.31700000000001</v>
      </c>
      <c r="GD26" s="58">
        <v>418.16899999999998</v>
      </c>
      <c r="GE26" s="58">
        <v>287.14800000000002</v>
      </c>
      <c r="GF26" s="58">
        <v>492.39100000000002</v>
      </c>
      <c r="GG26" s="58">
        <v>210.42099999999999</v>
      </c>
      <c r="GH26" s="58">
        <v>281.97000000000003</v>
      </c>
      <c r="GI26" s="58">
        <v>287.11099999999999</v>
      </c>
      <c r="GJ26" s="58">
        <v>150.40100000000001</v>
      </c>
      <c r="GK26" s="58">
        <v>136.71</v>
      </c>
      <c r="GL26" s="58">
        <v>37.273000000000003</v>
      </c>
      <c r="GM26" s="58">
        <v>20.577000000000002</v>
      </c>
      <c r="GN26" s="58">
        <v>16.696000000000002</v>
      </c>
      <c r="GO26" s="58">
        <v>7.6280000000000001</v>
      </c>
      <c r="GP26" s="58">
        <v>4.7759999999999998</v>
      </c>
      <c r="GQ26" s="58">
        <v>2.8519999999999999</v>
      </c>
      <c r="GR26" s="58">
        <v>6.109</v>
      </c>
      <c r="GS26" s="58">
        <v>4.423</v>
      </c>
      <c r="GT26" s="58">
        <v>1.6870000000000001</v>
      </c>
      <c r="GU26" s="58">
        <v>1.518</v>
      </c>
      <c r="GV26" s="58">
        <v>0.35299999999999998</v>
      </c>
      <c r="GW26" s="58">
        <v>1.165</v>
      </c>
      <c r="GX26" s="58">
        <v>29.645</v>
      </c>
      <c r="GY26" s="58">
        <v>15.801</v>
      </c>
      <c r="GZ26" s="58">
        <v>13.843999999999999</v>
      </c>
      <c r="HA26" s="58">
        <v>268.18799999999999</v>
      </c>
      <c r="HB26" s="58">
        <v>139.69499999999999</v>
      </c>
      <c r="HC26" s="58">
        <v>128.49299999999999</v>
      </c>
      <c r="HD26" s="58">
        <v>91.087000000000003</v>
      </c>
      <c r="HE26" s="58">
        <v>59.173000000000002</v>
      </c>
      <c r="HF26" s="58">
        <v>31.914000000000001</v>
      </c>
      <c r="HG26" s="58">
        <v>177.101</v>
      </c>
      <c r="HH26" s="58">
        <v>80.522000000000006</v>
      </c>
      <c r="HI26" s="58">
        <v>96.578999999999994</v>
      </c>
      <c r="HJ26" s="58">
        <v>96.33</v>
      </c>
      <c r="HK26" s="58">
        <v>62.735999999999997</v>
      </c>
      <c r="HL26" s="58">
        <v>33.594999999999999</v>
      </c>
      <c r="HM26" s="58">
        <v>190.78100000000001</v>
      </c>
      <c r="HN26" s="58">
        <v>87.665999999999997</v>
      </c>
      <c r="HO26" s="58">
        <v>103.11499999999999</v>
      </c>
      <c r="HP26" s="58">
        <v>183.21</v>
      </c>
      <c r="HQ26" s="58">
        <v>84.944000000000003</v>
      </c>
      <c r="HR26" s="58">
        <v>98.266000000000005</v>
      </c>
      <c r="HS26" s="58">
        <v>2775.5909999999999</v>
      </c>
      <c r="HT26" s="58">
        <v>1512</v>
      </c>
      <c r="HU26" s="58">
        <v>1263.5909999999999</v>
      </c>
      <c r="HV26" s="58">
        <v>2150.8470000000002</v>
      </c>
      <c r="HW26" s="58">
        <v>1337.5550000000001</v>
      </c>
      <c r="HX26" s="58">
        <v>813.29100000000005</v>
      </c>
      <c r="HY26" s="58">
        <v>624.745</v>
      </c>
      <c r="HZ26" s="58">
        <v>174.44499999999999</v>
      </c>
      <c r="IA26" s="58">
        <v>450.29899999999998</v>
      </c>
      <c r="IB26" s="58">
        <v>373.04500000000002</v>
      </c>
      <c r="IC26" s="58">
        <v>212.58099999999999</v>
      </c>
      <c r="ID26" s="58">
        <v>160.464</v>
      </c>
      <c r="IE26" s="58">
        <v>53.204999999999998</v>
      </c>
      <c r="IF26" s="58">
        <v>29.210999999999999</v>
      </c>
      <c r="IG26" s="58">
        <v>23.994</v>
      </c>
      <c r="IH26" s="58">
        <v>21.245000000000001</v>
      </c>
      <c r="II26" s="58">
        <v>14.747999999999999</v>
      </c>
      <c r="IJ26" s="58">
        <v>6.4960000000000004</v>
      </c>
      <c r="IK26" s="58">
        <v>10.026999999999999</v>
      </c>
      <c r="IL26" s="58">
        <v>7.9420000000000002</v>
      </c>
      <c r="IM26" s="58">
        <v>2.085</v>
      </c>
      <c r="IN26" s="58">
        <v>11.218</v>
      </c>
      <c r="IO26" s="58">
        <v>6.806</v>
      </c>
      <c r="IP26" s="58">
        <v>4.4109999999999996</v>
      </c>
      <c r="IQ26" s="58">
        <v>31.96</v>
      </c>
    </row>
    <row r="27" spans="1:251">
      <c r="A27" s="5">
        <v>42309</v>
      </c>
      <c r="B27" s="58">
        <v>11935.266</v>
      </c>
      <c r="C27" s="58">
        <v>6373.6959999999999</v>
      </c>
      <c r="D27" s="58">
        <v>5561.57</v>
      </c>
      <c r="E27" s="58">
        <v>8221.1149999999998</v>
      </c>
      <c r="F27" s="58">
        <v>5239.0339999999997</v>
      </c>
      <c r="G27" s="58">
        <v>2982.0819999999999</v>
      </c>
      <c r="H27" s="58">
        <v>3714.1509999999998</v>
      </c>
      <c r="I27" s="58">
        <v>1134.663</v>
      </c>
      <c r="J27" s="58">
        <v>2579.489</v>
      </c>
      <c r="K27" s="58">
        <v>1774.796</v>
      </c>
      <c r="L27" s="58">
        <v>919.35699999999997</v>
      </c>
      <c r="M27" s="58">
        <v>855.43899999999996</v>
      </c>
      <c r="N27" s="58">
        <v>309.995</v>
      </c>
      <c r="O27" s="58">
        <v>173.15299999999999</v>
      </c>
      <c r="P27" s="58">
        <v>136.84299999999999</v>
      </c>
      <c r="Q27" s="58">
        <v>125.67400000000001</v>
      </c>
      <c r="R27" s="58">
        <v>90.843999999999994</v>
      </c>
      <c r="S27" s="58">
        <v>34.83</v>
      </c>
      <c r="T27" s="58">
        <v>72.986000000000004</v>
      </c>
      <c r="U27" s="58">
        <v>53.081000000000003</v>
      </c>
      <c r="V27" s="58">
        <v>19.905000000000001</v>
      </c>
      <c r="W27" s="58">
        <v>52.688000000000002</v>
      </c>
      <c r="X27" s="58">
        <v>37.762999999999998</v>
      </c>
      <c r="Y27" s="58">
        <v>14.925000000000001</v>
      </c>
      <c r="Z27" s="58">
        <v>184.322</v>
      </c>
      <c r="AA27" s="58">
        <v>82.308999999999997</v>
      </c>
      <c r="AB27" s="58">
        <v>102.01300000000001</v>
      </c>
      <c r="AC27" s="58">
        <v>1606.876</v>
      </c>
      <c r="AD27" s="58">
        <v>825.43200000000002</v>
      </c>
      <c r="AE27" s="58">
        <v>781.44399999999996</v>
      </c>
      <c r="AF27" s="58">
        <v>584.05499999999995</v>
      </c>
      <c r="AG27" s="58">
        <v>425.43200000000002</v>
      </c>
      <c r="AH27" s="58">
        <v>158.62299999999999</v>
      </c>
      <c r="AI27" s="58">
        <v>1022.821</v>
      </c>
      <c r="AJ27" s="58">
        <v>400.00099999999998</v>
      </c>
      <c r="AK27" s="58">
        <v>622.82000000000005</v>
      </c>
      <c r="AL27" s="58">
        <v>675.96199999999999</v>
      </c>
      <c r="AM27" s="58">
        <v>490.39100000000002</v>
      </c>
      <c r="AN27" s="58">
        <v>185.571</v>
      </c>
      <c r="AO27" s="58">
        <v>1098.8340000000001</v>
      </c>
      <c r="AP27" s="58">
        <v>428.96600000000001</v>
      </c>
      <c r="AQ27" s="58">
        <v>669.86800000000005</v>
      </c>
      <c r="AR27" s="58">
        <v>1095.807</v>
      </c>
      <c r="AS27" s="58">
        <v>453.08199999999999</v>
      </c>
      <c r="AT27" s="58">
        <v>642.72500000000002</v>
      </c>
      <c r="AU27" s="58">
        <v>11472.169</v>
      </c>
      <c r="AV27" s="58">
        <v>6089.5110000000004</v>
      </c>
      <c r="AW27" s="58">
        <v>5382.6580000000004</v>
      </c>
      <c r="AX27" s="58">
        <v>8019.0889999999999</v>
      </c>
      <c r="AY27" s="58">
        <v>5093.616</v>
      </c>
      <c r="AZ27" s="58">
        <v>2925.4720000000002</v>
      </c>
      <c r="BA27" s="58">
        <v>3453.08</v>
      </c>
      <c r="BB27" s="58">
        <v>995.89400000000001</v>
      </c>
      <c r="BC27" s="58">
        <v>2457.1860000000001</v>
      </c>
      <c r="BD27" s="58">
        <v>1735.0740000000001</v>
      </c>
      <c r="BE27" s="58">
        <v>896.25900000000001</v>
      </c>
      <c r="BF27" s="58">
        <v>838.81500000000005</v>
      </c>
      <c r="BG27" s="58">
        <v>290.84300000000002</v>
      </c>
      <c r="BH27" s="58">
        <v>162.24</v>
      </c>
      <c r="BI27" s="58">
        <v>128.60300000000001</v>
      </c>
      <c r="BJ27" s="58">
        <v>120.64400000000001</v>
      </c>
      <c r="BK27" s="58">
        <v>87.394000000000005</v>
      </c>
      <c r="BL27" s="58">
        <v>33.25</v>
      </c>
      <c r="BM27" s="58">
        <v>68.941000000000003</v>
      </c>
      <c r="BN27" s="58">
        <v>50.615000000000002</v>
      </c>
      <c r="BO27" s="58">
        <v>18.324999999999999</v>
      </c>
      <c r="BP27" s="58">
        <v>51.703000000000003</v>
      </c>
      <c r="BQ27" s="58">
        <v>36.777999999999999</v>
      </c>
      <c r="BR27" s="58">
        <v>14.925000000000001</v>
      </c>
      <c r="BS27" s="58">
        <v>170.19900000000001</v>
      </c>
      <c r="BT27" s="58">
        <v>74.846000000000004</v>
      </c>
      <c r="BU27" s="58">
        <v>95.352999999999994</v>
      </c>
      <c r="BV27" s="58">
        <v>1582.569</v>
      </c>
      <c r="BW27" s="58">
        <v>810.49599999999998</v>
      </c>
      <c r="BX27" s="58">
        <v>772.07299999999998</v>
      </c>
      <c r="BY27" s="58">
        <v>578.654</v>
      </c>
      <c r="BZ27" s="58">
        <v>421.7</v>
      </c>
      <c r="CA27" s="58">
        <v>156.95400000000001</v>
      </c>
      <c r="CB27" s="58">
        <v>1003.914</v>
      </c>
      <c r="CC27" s="58">
        <v>388.79599999999999</v>
      </c>
      <c r="CD27" s="58">
        <v>615.11900000000003</v>
      </c>
      <c r="CE27" s="58">
        <v>665.798</v>
      </c>
      <c r="CF27" s="58">
        <v>483.476</v>
      </c>
      <c r="CG27" s="58">
        <v>182.32300000000001</v>
      </c>
      <c r="CH27" s="58">
        <v>1069.2760000000001</v>
      </c>
      <c r="CI27" s="58">
        <v>412.78300000000002</v>
      </c>
      <c r="CJ27" s="58">
        <v>656.49199999999996</v>
      </c>
      <c r="CK27" s="58">
        <v>1072.855</v>
      </c>
      <c r="CL27" s="58">
        <v>439.411</v>
      </c>
      <c r="CM27" s="58">
        <v>633.44399999999996</v>
      </c>
      <c r="CN27" s="58">
        <v>1852.5160000000001</v>
      </c>
      <c r="CO27" s="58">
        <v>930.00099999999998</v>
      </c>
      <c r="CP27" s="58">
        <v>922.51400000000001</v>
      </c>
      <c r="CQ27" s="58">
        <v>877.41800000000001</v>
      </c>
      <c r="CR27" s="58">
        <v>519.46900000000005</v>
      </c>
      <c r="CS27" s="58">
        <v>357.94900000000001</v>
      </c>
      <c r="CT27" s="58">
        <v>975.09799999999996</v>
      </c>
      <c r="CU27" s="58">
        <v>410.53300000000002</v>
      </c>
      <c r="CV27" s="58">
        <v>564.56500000000005</v>
      </c>
      <c r="CW27" s="58">
        <v>532.03499999999997</v>
      </c>
      <c r="CX27" s="58">
        <v>264.90100000000001</v>
      </c>
      <c r="CY27" s="58">
        <v>267.13400000000001</v>
      </c>
      <c r="CZ27" s="58">
        <v>68.021000000000001</v>
      </c>
      <c r="DA27" s="58">
        <v>36.234999999999999</v>
      </c>
      <c r="DB27" s="58">
        <v>31.786999999999999</v>
      </c>
      <c r="DC27" s="58">
        <v>16.079000000000001</v>
      </c>
      <c r="DD27" s="58">
        <v>11.224</v>
      </c>
      <c r="DE27" s="58">
        <v>4.8550000000000004</v>
      </c>
      <c r="DF27" s="58">
        <v>10.499000000000001</v>
      </c>
      <c r="DG27" s="58">
        <v>7.7960000000000003</v>
      </c>
      <c r="DH27" s="58">
        <v>2.7040000000000002</v>
      </c>
      <c r="DI27" s="58">
        <v>5.5789999999999997</v>
      </c>
      <c r="DJ27" s="58">
        <v>3.4279999999999999</v>
      </c>
      <c r="DK27" s="58">
        <v>2.1509999999999998</v>
      </c>
      <c r="DL27" s="58">
        <v>51.942999999999998</v>
      </c>
      <c r="DM27" s="58">
        <v>25.010999999999999</v>
      </c>
      <c r="DN27" s="58">
        <v>26.931999999999999</v>
      </c>
      <c r="DO27" s="58">
        <v>504.238</v>
      </c>
      <c r="DP27" s="58">
        <v>250.07499999999999</v>
      </c>
      <c r="DQ27" s="58">
        <v>254.16399999999999</v>
      </c>
      <c r="DR27" s="58">
        <v>114.29300000000001</v>
      </c>
      <c r="DS27" s="58">
        <v>75.349000000000004</v>
      </c>
      <c r="DT27" s="58">
        <v>38.944000000000003</v>
      </c>
      <c r="DU27" s="58">
        <v>389.94600000000003</v>
      </c>
      <c r="DV27" s="58">
        <v>174.72499999999999</v>
      </c>
      <c r="DW27" s="58">
        <v>215.22</v>
      </c>
      <c r="DX27" s="58">
        <v>126.217</v>
      </c>
      <c r="DY27" s="58">
        <v>83.953000000000003</v>
      </c>
      <c r="DZ27" s="58">
        <v>42.264000000000003</v>
      </c>
      <c r="EA27" s="58">
        <v>405.81799999999998</v>
      </c>
      <c r="EB27" s="58">
        <v>180.94800000000001</v>
      </c>
      <c r="EC27" s="58">
        <v>224.87</v>
      </c>
      <c r="ED27" s="58">
        <v>400.44499999999999</v>
      </c>
      <c r="EE27" s="58">
        <v>182.52099999999999</v>
      </c>
      <c r="EF27" s="58">
        <v>217.92400000000001</v>
      </c>
      <c r="EG27" s="58">
        <v>646.83600000000001</v>
      </c>
      <c r="EH27" s="58">
        <v>304.22699999999998</v>
      </c>
      <c r="EI27" s="58">
        <v>342.60899999999998</v>
      </c>
      <c r="EJ27" s="58">
        <v>161.05199999999999</v>
      </c>
      <c r="EK27" s="58">
        <v>105.354</v>
      </c>
      <c r="EL27" s="58">
        <v>55.698</v>
      </c>
      <c r="EM27" s="58">
        <v>485.78399999999999</v>
      </c>
      <c r="EN27" s="58">
        <v>198.87299999999999</v>
      </c>
      <c r="EO27" s="58">
        <v>286.911</v>
      </c>
      <c r="EP27" s="58">
        <v>224.44499999999999</v>
      </c>
      <c r="EQ27" s="58">
        <v>101.569</v>
      </c>
      <c r="ER27" s="58">
        <v>122.876</v>
      </c>
      <c r="ES27" s="58">
        <v>29.565999999999999</v>
      </c>
      <c r="ET27" s="58">
        <v>14.872999999999999</v>
      </c>
      <c r="EU27" s="58">
        <v>14.694000000000001</v>
      </c>
      <c r="EV27" s="58">
        <v>2.6389999999999998</v>
      </c>
      <c r="EW27" s="58">
        <v>2.3039999999999998</v>
      </c>
      <c r="EX27" s="58">
        <v>0.33500000000000002</v>
      </c>
      <c r="EY27" s="58">
        <v>1.867</v>
      </c>
      <c r="EZ27" s="58">
        <v>1.532</v>
      </c>
      <c r="FA27" s="58">
        <v>0.33500000000000002</v>
      </c>
      <c r="FB27" s="58">
        <v>0.77200000000000002</v>
      </c>
      <c r="FC27" s="58">
        <v>0.77200000000000002</v>
      </c>
      <c r="FD27" s="58">
        <v>0</v>
      </c>
      <c r="FE27" s="58">
        <v>26.927</v>
      </c>
      <c r="FF27" s="58">
        <v>12.569000000000001</v>
      </c>
      <c r="FG27" s="58">
        <v>14.358000000000001</v>
      </c>
      <c r="FH27" s="58">
        <v>212.70500000000001</v>
      </c>
      <c r="FI27" s="58">
        <v>94.751999999999995</v>
      </c>
      <c r="FJ27" s="58">
        <v>117.952</v>
      </c>
      <c r="FK27" s="58">
        <v>19.123999999999999</v>
      </c>
      <c r="FL27" s="58">
        <v>13.266</v>
      </c>
      <c r="FM27" s="58">
        <v>5.8579999999999997</v>
      </c>
      <c r="FN27" s="58">
        <v>193.58</v>
      </c>
      <c r="FO27" s="58">
        <v>81.486000000000004</v>
      </c>
      <c r="FP27" s="58">
        <v>112.09399999999999</v>
      </c>
      <c r="FQ27" s="58">
        <v>21.763999999999999</v>
      </c>
      <c r="FR27" s="58">
        <v>15.57</v>
      </c>
      <c r="FS27" s="58">
        <v>6.194</v>
      </c>
      <c r="FT27" s="58">
        <v>202.68100000000001</v>
      </c>
      <c r="FU27" s="58">
        <v>85.998999999999995</v>
      </c>
      <c r="FV27" s="58">
        <v>116.682</v>
      </c>
      <c r="FW27" s="58">
        <v>195.447</v>
      </c>
      <c r="FX27" s="58">
        <v>83.018000000000001</v>
      </c>
      <c r="FY27" s="58">
        <v>112.429</v>
      </c>
      <c r="FZ27" s="58">
        <v>1205.6790000000001</v>
      </c>
      <c r="GA27" s="58">
        <v>625.77499999999998</v>
      </c>
      <c r="GB27" s="58">
        <v>579.90499999999997</v>
      </c>
      <c r="GC27" s="58">
        <v>716.36500000000001</v>
      </c>
      <c r="GD27" s="58">
        <v>414.11399999999998</v>
      </c>
      <c r="GE27" s="58">
        <v>302.25099999999998</v>
      </c>
      <c r="GF27" s="58">
        <v>489.31400000000002</v>
      </c>
      <c r="GG27" s="58">
        <v>211.66</v>
      </c>
      <c r="GH27" s="58">
        <v>277.654</v>
      </c>
      <c r="GI27" s="58">
        <v>307.58999999999997</v>
      </c>
      <c r="GJ27" s="58">
        <v>163.33199999999999</v>
      </c>
      <c r="GK27" s="58">
        <v>144.25800000000001</v>
      </c>
      <c r="GL27" s="58">
        <v>38.454999999999998</v>
      </c>
      <c r="GM27" s="58">
        <v>21.361999999999998</v>
      </c>
      <c r="GN27" s="58">
        <v>17.093</v>
      </c>
      <c r="GO27" s="58">
        <v>13.439</v>
      </c>
      <c r="GP27" s="58">
        <v>8.92</v>
      </c>
      <c r="GQ27" s="58">
        <v>4.5199999999999996</v>
      </c>
      <c r="GR27" s="58">
        <v>8.6319999999999997</v>
      </c>
      <c r="GS27" s="58">
        <v>6.2640000000000002</v>
      </c>
      <c r="GT27" s="58">
        <v>2.3679999999999999</v>
      </c>
      <c r="GU27" s="58">
        <v>4.8070000000000004</v>
      </c>
      <c r="GV27" s="58">
        <v>2.6560000000000001</v>
      </c>
      <c r="GW27" s="58">
        <v>2.1509999999999998</v>
      </c>
      <c r="GX27" s="58">
        <v>25.015999999999998</v>
      </c>
      <c r="GY27" s="58">
        <v>12.442</v>
      </c>
      <c r="GZ27" s="58">
        <v>12.574</v>
      </c>
      <c r="HA27" s="58">
        <v>291.53399999999999</v>
      </c>
      <c r="HB27" s="58">
        <v>155.322</v>
      </c>
      <c r="HC27" s="58">
        <v>136.21100000000001</v>
      </c>
      <c r="HD27" s="58">
        <v>95.168000000000006</v>
      </c>
      <c r="HE27" s="58">
        <v>62.082999999999998</v>
      </c>
      <c r="HF27" s="58">
        <v>33.085000000000001</v>
      </c>
      <c r="HG27" s="58">
        <v>196.36500000000001</v>
      </c>
      <c r="HH27" s="58">
        <v>93.239000000000004</v>
      </c>
      <c r="HI27" s="58">
        <v>103.126</v>
      </c>
      <c r="HJ27" s="58">
        <v>104.453</v>
      </c>
      <c r="HK27" s="58">
        <v>68.382999999999996</v>
      </c>
      <c r="HL27" s="58">
        <v>36.070999999999998</v>
      </c>
      <c r="HM27" s="58">
        <v>203.136</v>
      </c>
      <c r="HN27" s="58">
        <v>94.948999999999998</v>
      </c>
      <c r="HO27" s="58">
        <v>108.187</v>
      </c>
      <c r="HP27" s="58">
        <v>204.99799999999999</v>
      </c>
      <c r="HQ27" s="58">
        <v>99.503</v>
      </c>
      <c r="HR27" s="58">
        <v>105.495</v>
      </c>
      <c r="HS27" s="58">
        <v>2782.1680000000001</v>
      </c>
      <c r="HT27" s="58">
        <v>1515.0119999999999</v>
      </c>
      <c r="HU27" s="58">
        <v>1267.1569999999999</v>
      </c>
      <c r="HV27" s="58">
        <v>2165.9369999999999</v>
      </c>
      <c r="HW27" s="58">
        <v>1338.82</v>
      </c>
      <c r="HX27" s="58">
        <v>827.11699999999996</v>
      </c>
      <c r="HY27" s="58">
        <v>616.23099999999999</v>
      </c>
      <c r="HZ27" s="58">
        <v>176.191</v>
      </c>
      <c r="IA27" s="58">
        <v>440.04</v>
      </c>
      <c r="IB27" s="58">
        <v>383.774</v>
      </c>
      <c r="IC27" s="58">
        <v>224.91399999999999</v>
      </c>
      <c r="ID27" s="58">
        <v>158.86000000000001</v>
      </c>
      <c r="IE27" s="58">
        <v>58.984000000000002</v>
      </c>
      <c r="IF27" s="58">
        <v>34.386000000000003</v>
      </c>
      <c r="IG27" s="58">
        <v>24.597999999999999</v>
      </c>
      <c r="IH27" s="58">
        <v>28.411999999999999</v>
      </c>
      <c r="II27" s="58">
        <v>20.53</v>
      </c>
      <c r="IJ27" s="58">
        <v>7.8819999999999997</v>
      </c>
      <c r="IK27" s="58">
        <v>15.82</v>
      </c>
      <c r="IL27" s="58">
        <v>12.502000000000001</v>
      </c>
      <c r="IM27" s="58">
        <v>3.3180000000000001</v>
      </c>
      <c r="IN27" s="58">
        <v>12.592000000000001</v>
      </c>
      <c r="IO27" s="58">
        <v>8.0280000000000005</v>
      </c>
      <c r="IP27" s="58">
        <v>4.5640000000000001</v>
      </c>
      <c r="IQ27" s="58">
        <v>30.571999999999999</v>
      </c>
    </row>
    <row r="28" spans="1:251">
      <c r="A28" s="5">
        <v>42339</v>
      </c>
      <c r="B28" s="58">
        <v>12025.029</v>
      </c>
      <c r="C28" s="58">
        <v>6435.2659999999996</v>
      </c>
      <c r="D28" s="58">
        <v>5589.7640000000001</v>
      </c>
      <c r="E28" s="58">
        <v>8348.99</v>
      </c>
      <c r="F28" s="58">
        <v>5315.817</v>
      </c>
      <c r="G28" s="58">
        <v>3033.1729999999998</v>
      </c>
      <c r="H28" s="58">
        <v>3676.0390000000002</v>
      </c>
      <c r="I28" s="58">
        <v>1119.4490000000001</v>
      </c>
      <c r="J28" s="58">
        <v>2556.5909999999999</v>
      </c>
      <c r="K28" s="58">
        <v>1838.376</v>
      </c>
      <c r="L28" s="58">
        <v>939.94500000000005</v>
      </c>
      <c r="M28" s="58">
        <v>898.43</v>
      </c>
      <c r="N28" s="58">
        <v>336.80799999999999</v>
      </c>
      <c r="O28" s="58">
        <v>183.99100000000001</v>
      </c>
      <c r="P28" s="58">
        <v>152.816</v>
      </c>
      <c r="Q28" s="58">
        <v>137.328</v>
      </c>
      <c r="R28" s="58">
        <v>101.075</v>
      </c>
      <c r="S28" s="58">
        <v>36.253</v>
      </c>
      <c r="T28" s="58">
        <v>69.338999999999999</v>
      </c>
      <c r="U28" s="58">
        <v>50.118000000000002</v>
      </c>
      <c r="V28" s="58">
        <v>19.221</v>
      </c>
      <c r="W28" s="58">
        <v>67.988</v>
      </c>
      <c r="X28" s="58">
        <v>50.957000000000001</v>
      </c>
      <c r="Y28" s="58">
        <v>17.030999999999999</v>
      </c>
      <c r="Z28" s="58">
        <v>199.48</v>
      </c>
      <c r="AA28" s="58">
        <v>82.915999999999997</v>
      </c>
      <c r="AB28" s="58">
        <v>116.56399999999999</v>
      </c>
      <c r="AC28" s="58">
        <v>1639.0540000000001</v>
      </c>
      <c r="AD28" s="58">
        <v>829.64</v>
      </c>
      <c r="AE28" s="58">
        <v>809.41399999999999</v>
      </c>
      <c r="AF28" s="58">
        <v>572.47900000000004</v>
      </c>
      <c r="AG28" s="58">
        <v>425.988</v>
      </c>
      <c r="AH28" s="58">
        <v>146.49100000000001</v>
      </c>
      <c r="AI28" s="58">
        <v>1066.575</v>
      </c>
      <c r="AJ28" s="58">
        <v>403.65199999999999</v>
      </c>
      <c r="AK28" s="58">
        <v>662.923</v>
      </c>
      <c r="AL28" s="58">
        <v>676.51700000000005</v>
      </c>
      <c r="AM28" s="58">
        <v>499.69900000000001</v>
      </c>
      <c r="AN28" s="58">
        <v>176.81899999999999</v>
      </c>
      <c r="AO28" s="58">
        <v>1161.8579999999999</v>
      </c>
      <c r="AP28" s="58">
        <v>440.24700000000001</v>
      </c>
      <c r="AQ28" s="58">
        <v>721.61199999999997</v>
      </c>
      <c r="AR28" s="58">
        <v>1135.914</v>
      </c>
      <c r="AS28" s="58">
        <v>453.77</v>
      </c>
      <c r="AT28" s="58">
        <v>682.14400000000001</v>
      </c>
      <c r="AU28" s="58">
        <v>11571.159</v>
      </c>
      <c r="AV28" s="58">
        <v>6154.4560000000001</v>
      </c>
      <c r="AW28" s="58">
        <v>5416.7030000000004</v>
      </c>
      <c r="AX28" s="58">
        <v>8148.8270000000002</v>
      </c>
      <c r="AY28" s="58">
        <v>5170.6540000000005</v>
      </c>
      <c r="AZ28" s="58">
        <v>2978.1729999999998</v>
      </c>
      <c r="BA28" s="58">
        <v>3422.3310000000001</v>
      </c>
      <c r="BB28" s="58">
        <v>983.80100000000004</v>
      </c>
      <c r="BC28" s="58">
        <v>2438.5300000000002</v>
      </c>
      <c r="BD28" s="58">
        <v>1793.56</v>
      </c>
      <c r="BE28" s="58">
        <v>913.48299999999995</v>
      </c>
      <c r="BF28" s="58">
        <v>880.077</v>
      </c>
      <c r="BG28" s="58">
        <v>314.15100000000001</v>
      </c>
      <c r="BH28" s="58">
        <v>169.268</v>
      </c>
      <c r="BI28" s="58">
        <v>144.88300000000001</v>
      </c>
      <c r="BJ28" s="58">
        <v>131.89500000000001</v>
      </c>
      <c r="BK28" s="58">
        <v>96.088999999999999</v>
      </c>
      <c r="BL28" s="58">
        <v>35.805999999999997</v>
      </c>
      <c r="BM28" s="58">
        <v>66.159000000000006</v>
      </c>
      <c r="BN28" s="58">
        <v>46.936999999999998</v>
      </c>
      <c r="BO28" s="58">
        <v>19.221</v>
      </c>
      <c r="BP28" s="58">
        <v>65.736000000000004</v>
      </c>
      <c r="BQ28" s="58">
        <v>49.151000000000003</v>
      </c>
      <c r="BR28" s="58">
        <v>16.585000000000001</v>
      </c>
      <c r="BS28" s="58">
        <v>182.256</v>
      </c>
      <c r="BT28" s="58">
        <v>73.180000000000007</v>
      </c>
      <c r="BU28" s="58">
        <v>109.07599999999999</v>
      </c>
      <c r="BV28" s="58">
        <v>1612.885</v>
      </c>
      <c r="BW28" s="58">
        <v>814.70100000000002</v>
      </c>
      <c r="BX28" s="58">
        <v>798.18399999999997</v>
      </c>
      <c r="BY28" s="58">
        <v>567.92600000000004</v>
      </c>
      <c r="BZ28" s="58">
        <v>421.95</v>
      </c>
      <c r="CA28" s="58">
        <v>145.976</v>
      </c>
      <c r="CB28" s="58">
        <v>1044.9590000000001</v>
      </c>
      <c r="CC28" s="58">
        <v>392.75099999999998</v>
      </c>
      <c r="CD28" s="58">
        <v>652.20799999999997</v>
      </c>
      <c r="CE28" s="58">
        <v>667.048</v>
      </c>
      <c r="CF28" s="58">
        <v>491.19099999999997</v>
      </c>
      <c r="CG28" s="58">
        <v>175.857</v>
      </c>
      <c r="CH28" s="58">
        <v>1126.5119999999999</v>
      </c>
      <c r="CI28" s="58">
        <v>422.29199999999997</v>
      </c>
      <c r="CJ28" s="58">
        <v>704.22</v>
      </c>
      <c r="CK28" s="58">
        <v>1111.1179999999999</v>
      </c>
      <c r="CL28" s="58">
        <v>439.68900000000002</v>
      </c>
      <c r="CM28" s="58">
        <v>671.42899999999997</v>
      </c>
      <c r="CN28" s="58">
        <v>1939.2380000000001</v>
      </c>
      <c r="CO28" s="58">
        <v>979.28099999999995</v>
      </c>
      <c r="CP28" s="58">
        <v>959.95699999999999</v>
      </c>
      <c r="CQ28" s="58">
        <v>969.44799999999998</v>
      </c>
      <c r="CR28" s="58">
        <v>565.649</v>
      </c>
      <c r="CS28" s="58">
        <v>403.79899999999998</v>
      </c>
      <c r="CT28" s="58">
        <v>969.79</v>
      </c>
      <c r="CU28" s="58">
        <v>413.63200000000001</v>
      </c>
      <c r="CV28" s="58">
        <v>556.15800000000002</v>
      </c>
      <c r="CW28" s="58">
        <v>572.90300000000002</v>
      </c>
      <c r="CX28" s="58">
        <v>270.71100000000001</v>
      </c>
      <c r="CY28" s="58">
        <v>302.19299999999998</v>
      </c>
      <c r="CZ28" s="58">
        <v>64.52</v>
      </c>
      <c r="DA28" s="58">
        <v>35.012</v>
      </c>
      <c r="DB28" s="58">
        <v>29.507999999999999</v>
      </c>
      <c r="DC28" s="58">
        <v>18.510999999999999</v>
      </c>
      <c r="DD28" s="58">
        <v>11.335000000000001</v>
      </c>
      <c r="DE28" s="58">
        <v>7.1760000000000002</v>
      </c>
      <c r="DF28" s="58">
        <v>12.593</v>
      </c>
      <c r="DG28" s="58">
        <v>7.0640000000000001</v>
      </c>
      <c r="DH28" s="58">
        <v>5.5289999999999999</v>
      </c>
      <c r="DI28" s="58">
        <v>5.9180000000000001</v>
      </c>
      <c r="DJ28" s="58">
        <v>4.2699999999999996</v>
      </c>
      <c r="DK28" s="58">
        <v>1.647</v>
      </c>
      <c r="DL28" s="58">
        <v>46.009</v>
      </c>
      <c r="DM28" s="58">
        <v>23.677</v>
      </c>
      <c r="DN28" s="58">
        <v>22.332000000000001</v>
      </c>
      <c r="DO28" s="58">
        <v>549.34500000000003</v>
      </c>
      <c r="DP28" s="58">
        <v>258.27600000000001</v>
      </c>
      <c r="DQ28" s="58">
        <v>291.06900000000002</v>
      </c>
      <c r="DR28" s="58">
        <v>111.36199999999999</v>
      </c>
      <c r="DS28" s="58">
        <v>73.087000000000003</v>
      </c>
      <c r="DT28" s="58">
        <v>38.274999999999999</v>
      </c>
      <c r="DU28" s="58">
        <v>437.983</v>
      </c>
      <c r="DV28" s="58">
        <v>185.18899999999999</v>
      </c>
      <c r="DW28" s="58">
        <v>252.79400000000001</v>
      </c>
      <c r="DX28" s="58">
        <v>121.45699999999999</v>
      </c>
      <c r="DY28" s="58">
        <v>78.117000000000004</v>
      </c>
      <c r="DZ28" s="58">
        <v>43.34</v>
      </c>
      <c r="EA28" s="58">
        <v>451.44600000000003</v>
      </c>
      <c r="EB28" s="58">
        <v>192.59399999999999</v>
      </c>
      <c r="EC28" s="58">
        <v>258.85300000000001</v>
      </c>
      <c r="ED28" s="58">
        <v>450.57600000000002</v>
      </c>
      <c r="EE28" s="58">
        <v>192.25299999999999</v>
      </c>
      <c r="EF28" s="58">
        <v>258.32299999999998</v>
      </c>
      <c r="EG28" s="58">
        <v>694.31399999999996</v>
      </c>
      <c r="EH28" s="58">
        <v>329.55700000000002</v>
      </c>
      <c r="EI28" s="58">
        <v>364.75799999999998</v>
      </c>
      <c r="EJ28" s="58">
        <v>183.96100000000001</v>
      </c>
      <c r="EK28" s="58">
        <v>118.248</v>
      </c>
      <c r="EL28" s="58">
        <v>65.712999999999994</v>
      </c>
      <c r="EM28" s="58">
        <v>510.35300000000001</v>
      </c>
      <c r="EN28" s="58">
        <v>211.309</v>
      </c>
      <c r="EO28" s="58">
        <v>299.04500000000002</v>
      </c>
      <c r="EP28" s="58">
        <v>258.29899999999998</v>
      </c>
      <c r="EQ28" s="58">
        <v>117.30200000000001</v>
      </c>
      <c r="ER28" s="58">
        <v>140.99700000000001</v>
      </c>
      <c r="ES28" s="58">
        <v>22.521000000000001</v>
      </c>
      <c r="ET28" s="58">
        <v>9.91</v>
      </c>
      <c r="EU28" s="58">
        <v>12.612</v>
      </c>
      <c r="EV28" s="58">
        <v>2.6549999999999998</v>
      </c>
      <c r="EW28" s="58">
        <v>2.2810000000000001</v>
      </c>
      <c r="EX28" s="58">
        <v>0.374</v>
      </c>
      <c r="EY28" s="58">
        <v>1.978</v>
      </c>
      <c r="EZ28" s="58">
        <v>1.6040000000000001</v>
      </c>
      <c r="FA28" s="58">
        <v>0.374</v>
      </c>
      <c r="FB28" s="58">
        <v>0.67700000000000005</v>
      </c>
      <c r="FC28" s="58">
        <v>0.67700000000000005</v>
      </c>
      <c r="FD28" s="58">
        <v>0</v>
      </c>
      <c r="FE28" s="58">
        <v>19.866</v>
      </c>
      <c r="FF28" s="58">
        <v>7.6280000000000001</v>
      </c>
      <c r="FG28" s="58">
        <v>12.238</v>
      </c>
      <c r="FH28" s="58">
        <v>251.548</v>
      </c>
      <c r="FI28" s="58">
        <v>113.575</v>
      </c>
      <c r="FJ28" s="58">
        <v>137.97399999999999</v>
      </c>
      <c r="FK28" s="58">
        <v>19.661999999999999</v>
      </c>
      <c r="FL28" s="58">
        <v>13.73</v>
      </c>
      <c r="FM28" s="58">
        <v>5.9329999999999998</v>
      </c>
      <c r="FN28" s="58">
        <v>231.886</v>
      </c>
      <c r="FO28" s="58">
        <v>99.844999999999999</v>
      </c>
      <c r="FP28" s="58">
        <v>132.041</v>
      </c>
      <c r="FQ28" s="58">
        <v>21.038</v>
      </c>
      <c r="FR28" s="58">
        <v>15.105</v>
      </c>
      <c r="FS28" s="58">
        <v>5.9329999999999998</v>
      </c>
      <c r="FT28" s="58">
        <v>237.261</v>
      </c>
      <c r="FU28" s="58">
        <v>102.197</v>
      </c>
      <c r="FV28" s="58">
        <v>135.06399999999999</v>
      </c>
      <c r="FW28" s="58">
        <v>233.864</v>
      </c>
      <c r="FX28" s="58">
        <v>101.449</v>
      </c>
      <c r="FY28" s="58">
        <v>132.41499999999999</v>
      </c>
      <c r="FZ28" s="58">
        <v>1244.923</v>
      </c>
      <c r="GA28" s="58">
        <v>649.72400000000005</v>
      </c>
      <c r="GB28" s="58">
        <v>595.19899999999996</v>
      </c>
      <c r="GC28" s="58">
        <v>785.48599999999999</v>
      </c>
      <c r="GD28" s="58">
        <v>447.40100000000001</v>
      </c>
      <c r="GE28" s="58">
        <v>338.08499999999998</v>
      </c>
      <c r="GF28" s="58">
        <v>459.43700000000001</v>
      </c>
      <c r="GG28" s="58">
        <v>202.32300000000001</v>
      </c>
      <c r="GH28" s="58">
        <v>257.11399999999998</v>
      </c>
      <c r="GI28" s="58">
        <v>314.60399999999998</v>
      </c>
      <c r="GJ28" s="58">
        <v>153.40799999999999</v>
      </c>
      <c r="GK28" s="58">
        <v>161.196</v>
      </c>
      <c r="GL28" s="58">
        <v>41.999000000000002</v>
      </c>
      <c r="GM28" s="58">
        <v>25.103000000000002</v>
      </c>
      <c r="GN28" s="58">
        <v>16.896000000000001</v>
      </c>
      <c r="GO28" s="58">
        <v>15.856</v>
      </c>
      <c r="GP28" s="58">
        <v>9.0530000000000008</v>
      </c>
      <c r="GQ28" s="58">
        <v>6.8029999999999999</v>
      </c>
      <c r="GR28" s="58">
        <v>10.615</v>
      </c>
      <c r="GS28" s="58">
        <v>5.46</v>
      </c>
      <c r="GT28" s="58">
        <v>5.1550000000000002</v>
      </c>
      <c r="GU28" s="58">
        <v>5.2409999999999997</v>
      </c>
      <c r="GV28" s="58">
        <v>3.593</v>
      </c>
      <c r="GW28" s="58">
        <v>1.647</v>
      </c>
      <c r="GX28" s="58">
        <v>26.143000000000001</v>
      </c>
      <c r="GY28" s="58">
        <v>16.048999999999999</v>
      </c>
      <c r="GZ28" s="58">
        <v>10.093999999999999</v>
      </c>
      <c r="HA28" s="58">
        <v>297.79700000000003</v>
      </c>
      <c r="HB28" s="58">
        <v>144.70099999999999</v>
      </c>
      <c r="HC28" s="58">
        <v>153.095</v>
      </c>
      <c r="HD28" s="58">
        <v>91.7</v>
      </c>
      <c r="HE28" s="58">
        <v>59.356999999999999</v>
      </c>
      <c r="HF28" s="58">
        <v>32.341999999999999</v>
      </c>
      <c r="HG28" s="58">
        <v>206.09700000000001</v>
      </c>
      <c r="HH28" s="58">
        <v>85.343999999999994</v>
      </c>
      <c r="HI28" s="58">
        <v>120.753</v>
      </c>
      <c r="HJ28" s="58">
        <v>100.419</v>
      </c>
      <c r="HK28" s="58">
        <v>63.012</v>
      </c>
      <c r="HL28" s="58">
        <v>37.406999999999996</v>
      </c>
      <c r="HM28" s="58">
        <v>214.185</v>
      </c>
      <c r="HN28" s="58">
        <v>90.397000000000006</v>
      </c>
      <c r="HO28" s="58">
        <v>123.789</v>
      </c>
      <c r="HP28" s="58">
        <v>216.71199999999999</v>
      </c>
      <c r="HQ28" s="58">
        <v>90.804000000000002</v>
      </c>
      <c r="HR28" s="58">
        <v>125.908</v>
      </c>
      <c r="HS28" s="58">
        <v>2818.2280000000001</v>
      </c>
      <c r="HT28" s="58">
        <v>1533.999</v>
      </c>
      <c r="HU28" s="58">
        <v>1284.2280000000001</v>
      </c>
      <c r="HV28" s="58">
        <v>2197.6970000000001</v>
      </c>
      <c r="HW28" s="58">
        <v>1358.289</v>
      </c>
      <c r="HX28" s="58">
        <v>839.40800000000002</v>
      </c>
      <c r="HY28" s="58">
        <v>620.53</v>
      </c>
      <c r="HZ28" s="58">
        <v>175.71</v>
      </c>
      <c r="IA28" s="58">
        <v>444.82100000000003</v>
      </c>
      <c r="IB28" s="58">
        <v>406.29300000000001</v>
      </c>
      <c r="IC28" s="58">
        <v>236.41200000000001</v>
      </c>
      <c r="ID28" s="58">
        <v>169.881</v>
      </c>
      <c r="IE28" s="58">
        <v>62.988</v>
      </c>
      <c r="IF28" s="58">
        <v>35.518999999999998</v>
      </c>
      <c r="IG28" s="58">
        <v>27.468</v>
      </c>
      <c r="IH28" s="58">
        <v>28.091999999999999</v>
      </c>
      <c r="II28" s="58">
        <v>19.321999999999999</v>
      </c>
      <c r="IJ28" s="58">
        <v>8.77</v>
      </c>
      <c r="IK28" s="58">
        <v>11.339</v>
      </c>
      <c r="IL28" s="58">
        <v>8.1620000000000008</v>
      </c>
      <c r="IM28" s="58">
        <v>3.1760000000000002</v>
      </c>
      <c r="IN28" s="58">
        <v>16.753</v>
      </c>
      <c r="IO28" s="58">
        <v>11.16</v>
      </c>
      <c r="IP28" s="58">
        <v>5.5940000000000003</v>
      </c>
      <c r="IQ28" s="58">
        <v>34.896000000000001</v>
      </c>
    </row>
    <row r="29" spans="1:251">
      <c r="A29" s="5">
        <v>42370</v>
      </c>
      <c r="B29" s="58">
        <v>11759.616</v>
      </c>
      <c r="C29" s="58">
        <v>6328.4520000000002</v>
      </c>
      <c r="D29" s="58">
        <v>5431.1639999999998</v>
      </c>
      <c r="E29" s="58">
        <v>8155.1409999999996</v>
      </c>
      <c r="F29" s="58">
        <v>5208.8549999999996</v>
      </c>
      <c r="G29" s="58">
        <v>2946.2860000000001</v>
      </c>
      <c r="H29" s="58">
        <v>3604.4749999999999</v>
      </c>
      <c r="I29" s="58">
        <v>1119.597</v>
      </c>
      <c r="J29" s="58">
        <v>2484.8780000000002</v>
      </c>
      <c r="K29" s="58">
        <v>1846.87</v>
      </c>
      <c r="L29" s="58">
        <v>988.25400000000002</v>
      </c>
      <c r="M29" s="58">
        <v>858.61599999999999</v>
      </c>
      <c r="N29" s="58">
        <v>391.173</v>
      </c>
      <c r="O29" s="58">
        <v>232.542</v>
      </c>
      <c r="P29" s="58">
        <v>158.631</v>
      </c>
      <c r="Q29" s="58">
        <v>190.64</v>
      </c>
      <c r="R29" s="58">
        <v>141.31899999999999</v>
      </c>
      <c r="S29" s="58">
        <v>49.320999999999998</v>
      </c>
      <c r="T29" s="58">
        <v>101.23699999999999</v>
      </c>
      <c r="U29" s="58">
        <v>75.484999999999999</v>
      </c>
      <c r="V29" s="58">
        <v>25.751999999999999</v>
      </c>
      <c r="W29" s="58">
        <v>89.403000000000006</v>
      </c>
      <c r="X29" s="58">
        <v>65.834000000000003</v>
      </c>
      <c r="Y29" s="58">
        <v>23.568999999999999</v>
      </c>
      <c r="Z29" s="58">
        <v>200.53299999999999</v>
      </c>
      <c r="AA29" s="58">
        <v>91.224000000000004</v>
      </c>
      <c r="AB29" s="58">
        <v>109.31</v>
      </c>
      <c r="AC29" s="58">
        <v>1594.7190000000001</v>
      </c>
      <c r="AD29" s="58">
        <v>829.67499999999995</v>
      </c>
      <c r="AE29" s="58">
        <v>765.04399999999998</v>
      </c>
      <c r="AF29" s="58">
        <v>581.54899999999998</v>
      </c>
      <c r="AG29" s="58">
        <v>438.274</v>
      </c>
      <c r="AH29" s="58">
        <v>143.27500000000001</v>
      </c>
      <c r="AI29" s="58">
        <v>1013.17</v>
      </c>
      <c r="AJ29" s="58">
        <v>391.40100000000001</v>
      </c>
      <c r="AK29" s="58">
        <v>621.76900000000001</v>
      </c>
      <c r="AL29" s="58">
        <v>743.745</v>
      </c>
      <c r="AM29" s="58">
        <v>556.82299999999998</v>
      </c>
      <c r="AN29" s="58">
        <v>186.922</v>
      </c>
      <c r="AO29" s="58">
        <v>1103.125</v>
      </c>
      <c r="AP29" s="58">
        <v>431.43099999999998</v>
      </c>
      <c r="AQ29" s="58">
        <v>671.69399999999996</v>
      </c>
      <c r="AR29" s="58">
        <v>1114.4069999999999</v>
      </c>
      <c r="AS29" s="58">
        <v>466.88600000000002</v>
      </c>
      <c r="AT29" s="58">
        <v>647.52099999999996</v>
      </c>
      <c r="AU29" s="58">
        <v>11326.331</v>
      </c>
      <c r="AV29" s="58">
        <v>6061.3720000000003</v>
      </c>
      <c r="AW29" s="58">
        <v>5264.9589999999998</v>
      </c>
      <c r="AX29" s="58">
        <v>7966.3670000000002</v>
      </c>
      <c r="AY29" s="58">
        <v>5069.4129999999996</v>
      </c>
      <c r="AZ29" s="58">
        <v>2896.953</v>
      </c>
      <c r="BA29" s="58">
        <v>3359.9639999999999</v>
      </c>
      <c r="BB29" s="58">
        <v>991.95799999999997</v>
      </c>
      <c r="BC29" s="58">
        <v>2368.0059999999999</v>
      </c>
      <c r="BD29" s="58">
        <v>1803.289</v>
      </c>
      <c r="BE29" s="58">
        <v>961.61599999999999</v>
      </c>
      <c r="BF29" s="58">
        <v>841.673</v>
      </c>
      <c r="BG29" s="58">
        <v>369.97500000000002</v>
      </c>
      <c r="BH29" s="58">
        <v>217.69300000000001</v>
      </c>
      <c r="BI29" s="58">
        <v>152.28200000000001</v>
      </c>
      <c r="BJ29" s="58">
        <v>184.01300000000001</v>
      </c>
      <c r="BK29" s="58">
        <v>136.78700000000001</v>
      </c>
      <c r="BL29" s="58">
        <v>47.225999999999999</v>
      </c>
      <c r="BM29" s="58">
        <v>97.459000000000003</v>
      </c>
      <c r="BN29" s="58">
        <v>71.921999999999997</v>
      </c>
      <c r="BO29" s="58">
        <v>25.536999999999999</v>
      </c>
      <c r="BP29" s="58">
        <v>86.554000000000002</v>
      </c>
      <c r="BQ29" s="58">
        <v>64.864999999999995</v>
      </c>
      <c r="BR29" s="58">
        <v>21.687999999999999</v>
      </c>
      <c r="BS29" s="58">
        <v>185.96199999999999</v>
      </c>
      <c r="BT29" s="58">
        <v>80.906000000000006</v>
      </c>
      <c r="BU29" s="58">
        <v>105.056</v>
      </c>
      <c r="BV29" s="58">
        <v>1568.9839999999999</v>
      </c>
      <c r="BW29" s="58">
        <v>815.02499999999998</v>
      </c>
      <c r="BX29" s="58">
        <v>753.95899999999995</v>
      </c>
      <c r="BY29" s="58">
        <v>578.53</v>
      </c>
      <c r="BZ29" s="58">
        <v>435.64</v>
      </c>
      <c r="CA29" s="58">
        <v>142.88999999999999</v>
      </c>
      <c r="CB29" s="58">
        <v>990.45500000000004</v>
      </c>
      <c r="CC29" s="58">
        <v>379.38600000000002</v>
      </c>
      <c r="CD29" s="58">
        <v>611.06899999999996</v>
      </c>
      <c r="CE29" s="58">
        <v>734.50400000000002</v>
      </c>
      <c r="CF29" s="58">
        <v>550.06200000000001</v>
      </c>
      <c r="CG29" s="58">
        <v>184.44200000000001</v>
      </c>
      <c r="CH29" s="58">
        <v>1068.7840000000001</v>
      </c>
      <c r="CI29" s="58">
        <v>411.55399999999997</v>
      </c>
      <c r="CJ29" s="58">
        <v>657.23099999999999</v>
      </c>
      <c r="CK29" s="58">
        <v>1087.914</v>
      </c>
      <c r="CL29" s="58">
        <v>451.30799999999999</v>
      </c>
      <c r="CM29" s="58">
        <v>636.60599999999999</v>
      </c>
      <c r="CN29" s="58">
        <v>1859.39</v>
      </c>
      <c r="CO29" s="58">
        <v>939.17</v>
      </c>
      <c r="CP29" s="58">
        <v>920.22</v>
      </c>
      <c r="CQ29" s="58">
        <v>899.40499999999997</v>
      </c>
      <c r="CR29" s="58">
        <v>525.12800000000004</v>
      </c>
      <c r="CS29" s="58">
        <v>374.27699999999999</v>
      </c>
      <c r="CT29" s="58">
        <v>959.98500000000001</v>
      </c>
      <c r="CU29" s="58">
        <v>414.041</v>
      </c>
      <c r="CV29" s="58">
        <v>545.94399999999996</v>
      </c>
      <c r="CW29" s="58">
        <v>536.88199999999995</v>
      </c>
      <c r="CX29" s="58">
        <v>270.43799999999999</v>
      </c>
      <c r="CY29" s="58">
        <v>266.44400000000002</v>
      </c>
      <c r="CZ29" s="58">
        <v>91.492000000000004</v>
      </c>
      <c r="DA29" s="58">
        <v>49.883000000000003</v>
      </c>
      <c r="DB29" s="58">
        <v>41.609000000000002</v>
      </c>
      <c r="DC29" s="58">
        <v>25.992999999999999</v>
      </c>
      <c r="DD29" s="58">
        <v>18.675000000000001</v>
      </c>
      <c r="DE29" s="58">
        <v>7.3179999999999996</v>
      </c>
      <c r="DF29" s="58">
        <v>19.163</v>
      </c>
      <c r="DG29" s="58">
        <v>13.363</v>
      </c>
      <c r="DH29" s="58">
        <v>5.8</v>
      </c>
      <c r="DI29" s="58">
        <v>6.83</v>
      </c>
      <c r="DJ29" s="58">
        <v>5.3120000000000003</v>
      </c>
      <c r="DK29" s="58">
        <v>1.518</v>
      </c>
      <c r="DL29" s="58">
        <v>65.498999999999995</v>
      </c>
      <c r="DM29" s="58">
        <v>31.207000000000001</v>
      </c>
      <c r="DN29" s="58">
        <v>34.290999999999997</v>
      </c>
      <c r="DO29" s="58">
        <v>492.31799999999998</v>
      </c>
      <c r="DP29" s="58">
        <v>244.50800000000001</v>
      </c>
      <c r="DQ29" s="58">
        <v>247.809</v>
      </c>
      <c r="DR29" s="58">
        <v>108.149</v>
      </c>
      <c r="DS29" s="58">
        <v>76.233999999999995</v>
      </c>
      <c r="DT29" s="58">
        <v>31.916</v>
      </c>
      <c r="DU29" s="58">
        <v>384.16800000000001</v>
      </c>
      <c r="DV29" s="58">
        <v>168.27500000000001</v>
      </c>
      <c r="DW29" s="58">
        <v>215.89400000000001</v>
      </c>
      <c r="DX29" s="58">
        <v>127.283</v>
      </c>
      <c r="DY29" s="58">
        <v>89.864000000000004</v>
      </c>
      <c r="DZ29" s="58">
        <v>37.417999999999999</v>
      </c>
      <c r="EA29" s="58">
        <v>409.59899999999999</v>
      </c>
      <c r="EB29" s="58">
        <v>180.57400000000001</v>
      </c>
      <c r="EC29" s="58">
        <v>229.02500000000001</v>
      </c>
      <c r="ED29" s="58">
        <v>403.33199999999999</v>
      </c>
      <c r="EE29" s="58">
        <v>181.63800000000001</v>
      </c>
      <c r="EF29" s="58">
        <v>221.69399999999999</v>
      </c>
      <c r="EG29" s="58">
        <v>660.70699999999999</v>
      </c>
      <c r="EH29" s="58">
        <v>307.30200000000002</v>
      </c>
      <c r="EI29" s="58">
        <v>353.404</v>
      </c>
      <c r="EJ29" s="58">
        <v>176.44</v>
      </c>
      <c r="EK29" s="58">
        <v>106.01300000000001</v>
      </c>
      <c r="EL29" s="58">
        <v>70.427000000000007</v>
      </c>
      <c r="EM29" s="58">
        <v>484.267</v>
      </c>
      <c r="EN29" s="58">
        <v>201.28899999999999</v>
      </c>
      <c r="EO29" s="58">
        <v>282.97800000000001</v>
      </c>
      <c r="EP29" s="58">
        <v>222.02799999999999</v>
      </c>
      <c r="EQ29" s="58">
        <v>101.974</v>
      </c>
      <c r="ER29" s="58">
        <v>120.054</v>
      </c>
      <c r="ES29" s="58">
        <v>35.945</v>
      </c>
      <c r="ET29" s="58">
        <v>18.446999999999999</v>
      </c>
      <c r="EU29" s="58">
        <v>17.498000000000001</v>
      </c>
      <c r="EV29" s="58">
        <v>4.1100000000000003</v>
      </c>
      <c r="EW29" s="58">
        <v>3.3769999999999998</v>
      </c>
      <c r="EX29" s="58">
        <v>0.73399999999999999</v>
      </c>
      <c r="EY29" s="58">
        <v>2.9590000000000001</v>
      </c>
      <c r="EZ29" s="58">
        <v>2.3340000000000001</v>
      </c>
      <c r="FA29" s="58">
        <v>0.625</v>
      </c>
      <c r="FB29" s="58">
        <v>1.1519999999999999</v>
      </c>
      <c r="FC29" s="58">
        <v>1.0429999999999999</v>
      </c>
      <c r="FD29" s="58">
        <v>0.109</v>
      </c>
      <c r="FE29" s="58">
        <v>31.835000000000001</v>
      </c>
      <c r="FF29" s="58">
        <v>15.07</v>
      </c>
      <c r="FG29" s="58">
        <v>16.765000000000001</v>
      </c>
      <c r="FH29" s="58">
        <v>204.90600000000001</v>
      </c>
      <c r="FI29" s="58">
        <v>92.915999999999997</v>
      </c>
      <c r="FJ29" s="58">
        <v>111.99</v>
      </c>
      <c r="FK29" s="58">
        <v>22.901</v>
      </c>
      <c r="FL29" s="58">
        <v>14.826000000000001</v>
      </c>
      <c r="FM29" s="58">
        <v>8.0749999999999993</v>
      </c>
      <c r="FN29" s="58">
        <v>182.006</v>
      </c>
      <c r="FO29" s="58">
        <v>78.090999999999994</v>
      </c>
      <c r="FP29" s="58">
        <v>103.91500000000001</v>
      </c>
      <c r="FQ29" s="58">
        <v>25.632999999999999</v>
      </c>
      <c r="FR29" s="58">
        <v>16.931999999999999</v>
      </c>
      <c r="FS29" s="58">
        <v>8.6999999999999993</v>
      </c>
      <c r="FT29" s="58">
        <v>196.39500000000001</v>
      </c>
      <c r="FU29" s="58">
        <v>85.040999999999997</v>
      </c>
      <c r="FV29" s="58">
        <v>111.354</v>
      </c>
      <c r="FW29" s="58">
        <v>184.964</v>
      </c>
      <c r="FX29" s="58">
        <v>80.424000000000007</v>
      </c>
      <c r="FY29" s="58">
        <v>104.54</v>
      </c>
      <c r="FZ29" s="58">
        <v>1198.683</v>
      </c>
      <c r="GA29" s="58">
        <v>631.86699999999996</v>
      </c>
      <c r="GB29" s="58">
        <v>566.81600000000003</v>
      </c>
      <c r="GC29" s="58">
        <v>722.96500000000003</v>
      </c>
      <c r="GD29" s="58">
        <v>419.11599999999999</v>
      </c>
      <c r="GE29" s="58">
        <v>303.85000000000002</v>
      </c>
      <c r="GF29" s="58">
        <v>475.71800000000002</v>
      </c>
      <c r="GG29" s="58">
        <v>212.75200000000001</v>
      </c>
      <c r="GH29" s="58">
        <v>262.96600000000001</v>
      </c>
      <c r="GI29" s="58">
        <v>314.85399999999998</v>
      </c>
      <c r="GJ29" s="58">
        <v>168.465</v>
      </c>
      <c r="GK29" s="58">
        <v>146.38999999999999</v>
      </c>
      <c r="GL29" s="58">
        <v>55.546999999999997</v>
      </c>
      <c r="GM29" s="58">
        <v>31.436</v>
      </c>
      <c r="GN29" s="58">
        <v>24.111000000000001</v>
      </c>
      <c r="GO29" s="58">
        <v>21.882999999999999</v>
      </c>
      <c r="GP29" s="58">
        <v>15.298999999999999</v>
      </c>
      <c r="GQ29" s="58">
        <v>6.5839999999999996</v>
      </c>
      <c r="GR29" s="58">
        <v>16.204999999999998</v>
      </c>
      <c r="GS29" s="58">
        <v>11.03</v>
      </c>
      <c r="GT29" s="58">
        <v>5.1749999999999998</v>
      </c>
      <c r="GU29" s="58">
        <v>5.6779999999999999</v>
      </c>
      <c r="GV29" s="58">
        <v>4.2690000000000001</v>
      </c>
      <c r="GW29" s="58">
        <v>1.409</v>
      </c>
      <c r="GX29" s="58">
        <v>33.664000000000001</v>
      </c>
      <c r="GY29" s="58">
        <v>16.137</v>
      </c>
      <c r="GZ29" s="58">
        <v>17.527000000000001</v>
      </c>
      <c r="HA29" s="58">
        <v>287.411</v>
      </c>
      <c r="HB29" s="58">
        <v>151.59200000000001</v>
      </c>
      <c r="HC29" s="58">
        <v>135.81899999999999</v>
      </c>
      <c r="HD29" s="58">
        <v>85.248999999999995</v>
      </c>
      <c r="HE29" s="58">
        <v>61.408000000000001</v>
      </c>
      <c r="HF29" s="58">
        <v>23.84</v>
      </c>
      <c r="HG29" s="58">
        <v>202.16300000000001</v>
      </c>
      <c r="HH29" s="58">
        <v>90.183999999999997</v>
      </c>
      <c r="HI29" s="58">
        <v>111.979</v>
      </c>
      <c r="HJ29" s="58">
        <v>101.65</v>
      </c>
      <c r="HK29" s="58">
        <v>72.932000000000002</v>
      </c>
      <c r="HL29" s="58">
        <v>28.718</v>
      </c>
      <c r="HM29" s="58">
        <v>213.20400000000001</v>
      </c>
      <c r="HN29" s="58">
        <v>95.533000000000001</v>
      </c>
      <c r="HO29" s="58">
        <v>117.672</v>
      </c>
      <c r="HP29" s="58">
        <v>218.36699999999999</v>
      </c>
      <c r="HQ29" s="58">
        <v>101.214</v>
      </c>
      <c r="HR29" s="58">
        <v>117.154</v>
      </c>
      <c r="HS29" s="58">
        <v>2775.3330000000001</v>
      </c>
      <c r="HT29" s="58">
        <v>1528.2180000000001</v>
      </c>
      <c r="HU29" s="58">
        <v>1247.115</v>
      </c>
      <c r="HV29" s="58">
        <v>2186.5279999999998</v>
      </c>
      <c r="HW29" s="58">
        <v>1353.328</v>
      </c>
      <c r="HX29" s="58">
        <v>833.20100000000002</v>
      </c>
      <c r="HY29" s="58">
        <v>588.80499999999995</v>
      </c>
      <c r="HZ29" s="58">
        <v>174.89</v>
      </c>
      <c r="IA29" s="58">
        <v>413.91500000000002</v>
      </c>
      <c r="IB29" s="58">
        <v>414.53699999999998</v>
      </c>
      <c r="IC29" s="58">
        <v>247.23</v>
      </c>
      <c r="ID29" s="58">
        <v>167.30699999999999</v>
      </c>
      <c r="IE29" s="58">
        <v>71.698999999999998</v>
      </c>
      <c r="IF29" s="58">
        <v>40.832999999999998</v>
      </c>
      <c r="IG29" s="58">
        <v>30.866</v>
      </c>
      <c r="IH29" s="58">
        <v>46.470999999999997</v>
      </c>
      <c r="II29" s="58">
        <v>32.453000000000003</v>
      </c>
      <c r="IJ29" s="58">
        <v>14.016999999999999</v>
      </c>
      <c r="IK29" s="58">
        <v>24.646000000000001</v>
      </c>
      <c r="IL29" s="58">
        <v>17.841999999999999</v>
      </c>
      <c r="IM29" s="58">
        <v>6.8040000000000003</v>
      </c>
      <c r="IN29" s="58">
        <v>21.824999999999999</v>
      </c>
      <c r="IO29" s="58">
        <v>14.611000000000001</v>
      </c>
      <c r="IP29" s="58">
        <v>7.2140000000000004</v>
      </c>
      <c r="IQ29" s="58">
        <v>25.228000000000002</v>
      </c>
    </row>
    <row r="30" spans="1:251">
      <c r="A30" s="5">
        <v>42401</v>
      </c>
      <c r="B30" s="58">
        <v>11975.894</v>
      </c>
      <c r="C30" s="58">
        <v>6418.3329999999996</v>
      </c>
      <c r="D30" s="58">
        <v>5557.5609999999997</v>
      </c>
      <c r="E30" s="58">
        <v>8295.9519999999993</v>
      </c>
      <c r="F30" s="58">
        <v>5282.9790000000003</v>
      </c>
      <c r="G30" s="58">
        <v>3012.973</v>
      </c>
      <c r="H30" s="58">
        <v>3679.942</v>
      </c>
      <c r="I30" s="58">
        <v>1135.355</v>
      </c>
      <c r="J30" s="58">
        <v>2544.587</v>
      </c>
      <c r="K30" s="58">
        <v>1736.0920000000001</v>
      </c>
      <c r="L30" s="58">
        <v>927.65899999999999</v>
      </c>
      <c r="M30" s="58">
        <v>808.43299999999999</v>
      </c>
      <c r="N30" s="58">
        <v>348.72</v>
      </c>
      <c r="O30" s="58">
        <v>202.6</v>
      </c>
      <c r="P30" s="58">
        <v>146.12</v>
      </c>
      <c r="Q30" s="58">
        <v>133.25</v>
      </c>
      <c r="R30" s="58">
        <v>101.90600000000001</v>
      </c>
      <c r="S30" s="58">
        <v>31.343</v>
      </c>
      <c r="T30" s="58">
        <v>75.506</v>
      </c>
      <c r="U30" s="58">
        <v>57.250999999999998</v>
      </c>
      <c r="V30" s="58">
        <v>18.254999999999999</v>
      </c>
      <c r="W30" s="58">
        <v>57.744</v>
      </c>
      <c r="X30" s="58">
        <v>44.655000000000001</v>
      </c>
      <c r="Y30" s="58">
        <v>13.087999999999999</v>
      </c>
      <c r="Z30" s="58">
        <v>215.47</v>
      </c>
      <c r="AA30" s="58">
        <v>100.694</v>
      </c>
      <c r="AB30" s="58">
        <v>114.777</v>
      </c>
      <c r="AC30" s="58">
        <v>1527.923</v>
      </c>
      <c r="AD30" s="58">
        <v>805.01599999999996</v>
      </c>
      <c r="AE30" s="58">
        <v>722.90700000000004</v>
      </c>
      <c r="AF30" s="58">
        <v>562.29600000000005</v>
      </c>
      <c r="AG30" s="58">
        <v>418.62599999999998</v>
      </c>
      <c r="AH30" s="58">
        <v>143.66999999999999</v>
      </c>
      <c r="AI30" s="58">
        <v>965.62699999999995</v>
      </c>
      <c r="AJ30" s="58">
        <v>386.39</v>
      </c>
      <c r="AK30" s="58">
        <v>579.23699999999997</v>
      </c>
      <c r="AL30" s="58">
        <v>663.53700000000003</v>
      </c>
      <c r="AM30" s="58">
        <v>496.29500000000002</v>
      </c>
      <c r="AN30" s="58">
        <v>167.24199999999999</v>
      </c>
      <c r="AO30" s="58">
        <v>1072.5550000000001</v>
      </c>
      <c r="AP30" s="58">
        <v>431.36500000000001</v>
      </c>
      <c r="AQ30" s="58">
        <v>641.19100000000003</v>
      </c>
      <c r="AR30" s="58">
        <v>1041.133</v>
      </c>
      <c r="AS30" s="58">
        <v>443.64100000000002</v>
      </c>
      <c r="AT30" s="58">
        <v>597.49199999999996</v>
      </c>
      <c r="AU30" s="58">
        <v>11526.868</v>
      </c>
      <c r="AV30" s="58">
        <v>6142.277</v>
      </c>
      <c r="AW30" s="58">
        <v>5384.5910000000003</v>
      </c>
      <c r="AX30" s="58">
        <v>8101.8819999999996</v>
      </c>
      <c r="AY30" s="58">
        <v>5140.0150000000003</v>
      </c>
      <c r="AZ30" s="58">
        <v>2961.8670000000002</v>
      </c>
      <c r="BA30" s="58">
        <v>3424.9859999999999</v>
      </c>
      <c r="BB30" s="58">
        <v>1002.261</v>
      </c>
      <c r="BC30" s="58">
        <v>2422.7249999999999</v>
      </c>
      <c r="BD30" s="58">
        <v>1699.692</v>
      </c>
      <c r="BE30" s="58">
        <v>901.20299999999997</v>
      </c>
      <c r="BF30" s="58">
        <v>798.48800000000006</v>
      </c>
      <c r="BG30" s="58">
        <v>330.43700000000001</v>
      </c>
      <c r="BH30" s="58">
        <v>188.32400000000001</v>
      </c>
      <c r="BI30" s="58">
        <v>142.113</v>
      </c>
      <c r="BJ30" s="58">
        <v>128.69300000000001</v>
      </c>
      <c r="BK30" s="58">
        <v>98.198999999999998</v>
      </c>
      <c r="BL30" s="58">
        <v>30.494</v>
      </c>
      <c r="BM30" s="58">
        <v>72.006</v>
      </c>
      <c r="BN30" s="58">
        <v>54.6</v>
      </c>
      <c r="BO30" s="58">
        <v>17.405000000000001</v>
      </c>
      <c r="BP30" s="58">
        <v>56.688000000000002</v>
      </c>
      <c r="BQ30" s="58">
        <v>43.598999999999997</v>
      </c>
      <c r="BR30" s="58">
        <v>13.087999999999999</v>
      </c>
      <c r="BS30" s="58">
        <v>201.744</v>
      </c>
      <c r="BT30" s="58">
        <v>90.123999999999995</v>
      </c>
      <c r="BU30" s="58">
        <v>111.619</v>
      </c>
      <c r="BV30" s="58">
        <v>1504.057</v>
      </c>
      <c r="BW30" s="58">
        <v>788.52099999999996</v>
      </c>
      <c r="BX30" s="58">
        <v>715.53599999999994</v>
      </c>
      <c r="BY30" s="58">
        <v>558.846</v>
      </c>
      <c r="BZ30" s="58">
        <v>415.76</v>
      </c>
      <c r="CA30" s="58">
        <v>143.08600000000001</v>
      </c>
      <c r="CB30" s="58">
        <v>945.21100000000001</v>
      </c>
      <c r="CC30" s="58">
        <v>372.76100000000002</v>
      </c>
      <c r="CD30" s="58">
        <v>572.44899999999996</v>
      </c>
      <c r="CE30" s="58">
        <v>656.82899999999995</v>
      </c>
      <c r="CF30" s="58">
        <v>490.60700000000003</v>
      </c>
      <c r="CG30" s="58">
        <v>166.22200000000001</v>
      </c>
      <c r="CH30" s="58">
        <v>1042.8630000000001</v>
      </c>
      <c r="CI30" s="58">
        <v>410.596</v>
      </c>
      <c r="CJ30" s="58">
        <v>632.26700000000005</v>
      </c>
      <c r="CK30" s="58">
        <v>1017.216</v>
      </c>
      <c r="CL30" s="58">
        <v>427.36200000000002</v>
      </c>
      <c r="CM30" s="58">
        <v>589.85500000000002</v>
      </c>
      <c r="CN30" s="58">
        <v>1882.77</v>
      </c>
      <c r="CO30" s="58">
        <v>951.76900000000001</v>
      </c>
      <c r="CP30" s="58">
        <v>931.00099999999998</v>
      </c>
      <c r="CQ30" s="58">
        <v>916.68899999999996</v>
      </c>
      <c r="CR30" s="58">
        <v>526.96100000000001</v>
      </c>
      <c r="CS30" s="58">
        <v>389.72800000000001</v>
      </c>
      <c r="CT30" s="58">
        <v>966.08100000000002</v>
      </c>
      <c r="CU30" s="58">
        <v>424.80799999999999</v>
      </c>
      <c r="CV30" s="58">
        <v>541.27300000000002</v>
      </c>
      <c r="CW30" s="58">
        <v>489.33199999999999</v>
      </c>
      <c r="CX30" s="58">
        <v>253.81200000000001</v>
      </c>
      <c r="CY30" s="58">
        <v>235.52</v>
      </c>
      <c r="CZ30" s="58">
        <v>87.088999999999999</v>
      </c>
      <c r="DA30" s="58">
        <v>51.319000000000003</v>
      </c>
      <c r="DB30" s="58">
        <v>35.768999999999998</v>
      </c>
      <c r="DC30" s="58">
        <v>15.446999999999999</v>
      </c>
      <c r="DD30" s="58">
        <v>10.244999999999999</v>
      </c>
      <c r="DE30" s="58">
        <v>5.202</v>
      </c>
      <c r="DF30" s="58">
        <v>11.904999999999999</v>
      </c>
      <c r="DG30" s="58">
        <v>7.5839999999999996</v>
      </c>
      <c r="DH30" s="58">
        <v>4.3209999999999997</v>
      </c>
      <c r="DI30" s="58">
        <v>3.5419999999999998</v>
      </c>
      <c r="DJ30" s="58">
        <v>2.661</v>
      </c>
      <c r="DK30" s="58">
        <v>0.88100000000000001</v>
      </c>
      <c r="DL30" s="58">
        <v>71.641999999999996</v>
      </c>
      <c r="DM30" s="58">
        <v>41.073999999999998</v>
      </c>
      <c r="DN30" s="58">
        <v>30.568000000000001</v>
      </c>
      <c r="DO30" s="58">
        <v>455.65899999999999</v>
      </c>
      <c r="DP30" s="58">
        <v>233.494</v>
      </c>
      <c r="DQ30" s="58">
        <v>222.166</v>
      </c>
      <c r="DR30" s="58">
        <v>100.569</v>
      </c>
      <c r="DS30" s="58">
        <v>63.005000000000003</v>
      </c>
      <c r="DT30" s="58">
        <v>37.564</v>
      </c>
      <c r="DU30" s="58">
        <v>355.09</v>
      </c>
      <c r="DV30" s="58">
        <v>170.488</v>
      </c>
      <c r="DW30" s="58">
        <v>184.602</v>
      </c>
      <c r="DX30" s="58">
        <v>110.387</v>
      </c>
      <c r="DY30" s="58">
        <v>69.754999999999995</v>
      </c>
      <c r="DZ30" s="58">
        <v>40.631999999999998</v>
      </c>
      <c r="EA30" s="58">
        <v>378.94499999999999</v>
      </c>
      <c r="EB30" s="58">
        <v>184.05699999999999</v>
      </c>
      <c r="EC30" s="58">
        <v>194.88800000000001</v>
      </c>
      <c r="ED30" s="58">
        <v>366.99599999999998</v>
      </c>
      <c r="EE30" s="58">
        <v>178.07300000000001</v>
      </c>
      <c r="EF30" s="58">
        <v>188.923</v>
      </c>
      <c r="EG30" s="58">
        <v>658.71699999999998</v>
      </c>
      <c r="EH30" s="58">
        <v>316.87</v>
      </c>
      <c r="EI30" s="58">
        <v>341.84699999999998</v>
      </c>
      <c r="EJ30" s="58">
        <v>166.49299999999999</v>
      </c>
      <c r="EK30" s="58">
        <v>108.098</v>
      </c>
      <c r="EL30" s="58">
        <v>58.395000000000003</v>
      </c>
      <c r="EM30" s="58">
        <v>492.22399999999999</v>
      </c>
      <c r="EN30" s="58">
        <v>208.77199999999999</v>
      </c>
      <c r="EO30" s="58">
        <v>283.45100000000002</v>
      </c>
      <c r="EP30" s="58">
        <v>203.22800000000001</v>
      </c>
      <c r="EQ30" s="58">
        <v>100.81</v>
      </c>
      <c r="ER30" s="58">
        <v>102.41800000000001</v>
      </c>
      <c r="ES30" s="58">
        <v>38.762999999999998</v>
      </c>
      <c r="ET30" s="58">
        <v>22.094999999999999</v>
      </c>
      <c r="EU30" s="58">
        <v>16.667999999999999</v>
      </c>
      <c r="EV30" s="58">
        <v>2.4540000000000002</v>
      </c>
      <c r="EW30" s="58">
        <v>1.54</v>
      </c>
      <c r="EX30" s="58">
        <v>0.91500000000000004</v>
      </c>
      <c r="EY30" s="58">
        <v>1.986</v>
      </c>
      <c r="EZ30" s="58">
        <v>1.0720000000000001</v>
      </c>
      <c r="FA30" s="58">
        <v>0.91500000000000004</v>
      </c>
      <c r="FB30" s="58">
        <v>0.46800000000000003</v>
      </c>
      <c r="FC30" s="58">
        <v>0.46800000000000003</v>
      </c>
      <c r="FD30" s="58">
        <v>0</v>
      </c>
      <c r="FE30" s="58">
        <v>36.308999999999997</v>
      </c>
      <c r="FF30" s="58">
        <v>20.555</v>
      </c>
      <c r="FG30" s="58">
        <v>15.753</v>
      </c>
      <c r="FH30" s="58">
        <v>185.38800000000001</v>
      </c>
      <c r="FI30" s="58">
        <v>92.156999999999996</v>
      </c>
      <c r="FJ30" s="58">
        <v>93.231999999999999</v>
      </c>
      <c r="FK30" s="58">
        <v>20.068999999999999</v>
      </c>
      <c r="FL30" s="58">
        <v>13.375999999999999</v>
      </c>
      <c r="FM30" s="58">
        <v>6.6929999999999996</v>
      </c>
      <c r="FN30" s="58">
        <v>165.31899999999999</v>
      </c>
      <c r="FO30" s="58">
        <v>78.781000000000006</v>
      </c>
      <c r="FP30" s="58">
        <v>86.537999999999997</v>
      </c>
      <c r="FQ30" s="58">
        <v>21.276</v>
      </c>
      <c r="FR30" s="58">
        <v>14.22</v>
      </c>
      <c r="FS30" s="58">
        <v>7.0549999999999997</v>
      </c>
      <c r="FT30" s="58">
        <v>181.953</v>
      </c>
      <c r="FU30" s="58">
        <v>86.59</v>
      </c>
      <c r="FV30" s="58">
        <v>95.363</v>
      </c>
      <c r="FW30" s="58">
        <v>167.30500000000001</v>
      </c>
      <c r="FX30" s="58">
        <v>79.852000000000004</v>
      </c>
      <c r="FY30" s="58">
        <v>87.453000000000003</v>
      </c>
      <c r="FZ30" s="58">
        <v>1224.0540000000001</v>
      </c>
      <c r="GA30" s="58">
        <v>634.899</v>
      </c>
      <c r="GB30" s="58">
        <v>589.15499999999997</v>
      </c>
      <c r="GC30" s="58">
        <v>750.19600000000003</v>
      </c>
      <c r="GD30" s="58">
        <v>418.863</v>
      </c>
      <c r="GE30" s="58">
        <v>331.33300000000003</v>
      </c>
      <c r="GF30" s="58">
        <v>473.858</v>
      </c>
      <c r="GG30" s="58">
        <v>216.036</v>
      </c>
      <c r="GH30" s="58">
        <v>257.822</v>
      </c>
      <c r="GI30" s="58">
        <v>286.10399999999998</v>
      </c>
      <c r="GJ30" s="58">
        <v>153.001</v>
      </c>
      <c r="GK30" s="58">
        <v>133.102</v>
      </c>
      <c r="GL30" s="58">
        <v>48.326000000000001</v>
      </c>
      <c r="GM30" s="58">
        <v>29.224</v>
      </c>
      <c r="GN30" s="58">
        <v>19.102</v>
      </c>
      <c r="GO30" s="58">
        <v>12.993</v>
      </c>
      <c r="GP30" s="58">
        <v>8.7059999999999995</v>
      </c>
      <c r="GQ30" s="58">
        <v>4.2869999999999999</v>
      </c>
      <c r="GR30" s="58">
        <v>9.9190000000000005</v>
      </c>
      <c r="GS30" s="58">
        <v>6.5129999999999999</v>
      </c>
      <c r="GT30" s="58">
        <v>3.407</v>
      </c>
      <c r="GU30" s="58">
        <v>3.0739999999999998</v>
      </c>
      <c r="GV30" s="58">
        <v>2.1930000000000001</v>
      </c>
      <c r="GW30" s="58">
        <v>0.88100000000000001</v>
      </c>
      <c r="GX30" s="58">
        <v>35.332999999999998</v>
      </c>
      <c r="GY30" s="58">
        <v>20.518000000000001</v>
      </c>
      <c r="GZ30" s="58">
        <v>14.814</v>
      </c>
      <c r="HA30" s="58">
        <v>270.27100000000002</v>
      </c>
      <c r="HB30" s="58">
        <v>141.33699999999999</v>
      </c>
      <c r="HC30" s="58">
        <v>128.934</v>
      </c>
      <c r="HD30" s="58">
        <v>80.498999999999995</v>
      </c>
      <c r="HE30" s="58">
        <v>49.628999999999998</v>
      </c>
      <c r="HF30" s="58">
        <v>30.87</v>
      </c>
      <c r="HG30" s="58">
        <v>189.77099999999999</v>
      </c>
      <c r="HH30" s="58">
        <v>91.707999999999998</v>
      </c>
      <c r="HI30" s="58">
        <v>98.063999999999993</v>
      </c>
      <c r="HJ30" s="58">
        <v>89.111000000000004</v>
      </c>
      <c r="HK30" s="58">
        <v>55.534999999999997</v>
      </c>
      <c r="HL30" s="58">
        <v>33.576000000000001</v>
      </c>
      <c r="HM30" s="58">
        <v>196.99199999999999</v>
      </c>
      <c r="HN30" s="58">
        <v>97.466999999999999</v>
      </c>
      <c r="HO30" s="58">
        <v>99.525999999999996</v>
      </c>
      <c r="HP30" s="58">
        <v>199.691</v>
      </c>
      <c r="HQ30" s="58">
        <v>98.22</v>
      </c>
      <c r="HR30" s="58">
        <v>101.47</v>
      </c>
      <c r="HS30" s="58">
        <v>2823.6779999999999</v>
      </c>
      <c r="HT30" s="58">
        <v>1541.5219999999999</v>
      </c>
      <c r="HU30" s="58">
        <v>1282.1559999999999</v>
      </c>
      <c r="HV30" s="58">
        <v>2214.5160000000001</v>
      </c>
      <c r="HW30" s="58">
        <v>1364.6959999999999</v>
      </c>
      <c r="HX30" s="58">
        <v>849.82</v>
      </c>
      <c r="HY30" s="58">
        <v>609.16200000000003</v>
      </c>
      <c r="HZ30" s="58">
        <v>176.82599999999999</v>
      </c>
      <c r="IA30" s="58">
        <v>432.33600000000001</v>
      </c>
      <c r="IB30" s="58">
        <v>377.38499999999999</v>
      </c>
      <c r="IC30" s="58">
        <v>223.518</v>
      </c>
      <c r="ID30" s="58">
        <v>153.86699999999999</v>
      </c>
      <c r="IE30" s="58">
        <v>48.040999999999997</v>
      </c>
      <c r="IF30" s="58">
        <v>26.228999999999999</v>
      </c>
      <c r="IG30" s="58">
        <v>21.812999999999999</v>
      </c>
      <c r="IH30" s="58">
        <v>24.544</v>
      </c>
      <c r="II30" s="58">
        <v>18.157</v>
      </c>
      <c r="IJ30" s="58">
        <v>6.3869999999999996</v>
      </c>
      <c r="IK30" s="58">
        <v>13.606</v>
      </c>
      <c r="IL30" s="58">
        <v>10.62</v>
      </c>
      <c r="IM30" s="58">
        <v>2.9860000000000002</v>
      </c>
      <c r="IN30" s="58">
        <v>10.938000000000001</v>
      </c>
      <c r="IO30" s="58">
        <v>7.5369999999999999</v>
      </c>
      <c r="IP30" s="58">
        <v>3.4009999999999998</v>
      </c>
      <c r="IQ30" s="58">
        <v>23.497</v>
      </c>
    </row>
    <row r="31" spans="1:251">
      <c r="A31" s="5">
        <v>42430</v>
      </c>
      <c r="B31" s="58">
        <v>11945.499</v>
      </c>
      <c r="C31" s="58">
        <v>6399.3239999999996</v>
      </c>
      <c r="D31" s="58">
        <v>5546.1760000000004</v>
      </c>
      <c r="E31" s="58">
        <v>8165.5540000000001</v>
      </c>
      <c r="F31" s="58">
        <v>5209.9930000000004</v>
      </c>
      <c r="G31" s="58">
        <v>2955.56</v>
      </c>
      <c r="H31" s="58">
        <v>3779.9459999999999</v>
      </c>
      <c r="I31" s="58">
        <v>1189.3309999999999</v>
      </c>
      <c r="J31" s="58">
        <v>2590.6149999999998</v>
      </c>
      <c r="K31" s="58">
        <v>1752.1079999999999</v>
      </c>
      <c r="L31" s="58">
        <v>929.51599999999996</v>
      </c>
      <c r="M31" s="58">
        <v>822.59199999999998</v>
      </c>
      <c r="N31" s="58">
        <v>352.41300000000001</v>
      </c>
      <c r="O31" s="58">
        <v>200.41</v>
      </c>
      <c r="P31" s="58">
        <v>152.00299999999999</v>
      </c>
      <c r="Q31" s="58">
        <v>136.065</v>
      </c>
      <c r="R31" s="58">
        <v>108.491</v>
      </c>
      <c r="S31" s="58">
        <v>27.574000000000002</v>
      </c>
      <c r="T31" s="58">
        <v>74.676000000000002</v>
      </c>
      <c r="U31" s="58">
        <v>61.112000000000002</v>
      </c>
      <c r="V31" s="58">
        <v>13.563000000000001</v>
      </c>
      <c r="W31" s="58">
        <v>61.39</v>
      </c>
      <c r="X31" s="58">
        <v>47.378999999999998</v>
      </c>
      <c r="Y31" s="58">
        <v>14.010999999999999</v>
      </c>
      <c r="Z31" s="58">
        <v>216.34700000000001</v>
      </c>
      <c r="AA31" s="58">
        <v>91.918000000000006</v>
      </c>
      <c r="AB31" s="58">
        <v>124.429</v>
      </c>
      <c r="AC31" s="58">
        <v>1552.1790000000001</v>
      </c>
      <c r="AD31" s="58">
        <v>812.43700000000001</v>
      </c>
      <c r="AE31" s="58">
        <v>739.74199999999996</v>
      </c>
      <c r="AF31" s="58">
        <v>577.68700000000001</v>
      </c>
      <c r="AG31" s="58">
        <v>431.17399999999998</v>
      </c>
      <c r="AH31" s="58">
        <v>146.512</v>
      </c>
      <c r="AI31" s="58">
        <v>974.49199999999996</v>
      </c>
      <c r="AJ31" s="58">
        <v>381.26299999999998</v>
      </c>
      <c r="AK31" s="58">
        <v>593.22900000000004</v>
      </c>
      <c r="AL31" s="58">
        <v>680.54499999999996</v>
      </c>
      <c r="AM31" s="58">
        <v>511.99599999999998</v>
      </c>
      <c r="AN31" s="58">
        <v>168.54900000000001</v>
      </c>
      <c r="AO31" s="58">
        <v>1071.5630000000001</v>
      </c>
      <c r="AP31" s="58">
        <v>417.52</v>
      </c>
      <c r="AQ31" s="58">
        <v>654.04200000000003</v>
      </c>
      <c r="AR31" s="58">
        <v>1049.1679999999999</v>
      </c>
      <c r="AS31" s="58">
        <v>442.375</v>
      </c>
      <c r="AT31" s="58">
        <v>606.79300000000001</v>
      </c>
      <c r="AU31" s="58">
        <v>11488.477000000001</v>
      </c>
      <c r="AV31" s="58">
        <v>6115.5739999999996</v>
      </c>
      <c r="AW31" s="58">
        <v>5372.9030000000002</v>
      </c>
      <c r="AX31" s="58">
        <v>7969.1009999999997</v>
      </c>
      <c r="AY31" s="58">
        <v>5061.201</v>
      </c>
      <c r="AZ31" s="58">
        <v>2907.8989999999999</v>
      </c>
      <c r="BA31" s="58">
        <v>3519.3760000000002</v>
      </c>
      <c r="BB31" s="58">
        <v>1054.373</v>
      </c>
      <c r="BC31" s="58">
        <v>2465.0030000000002</v>
      </c>
      <c r="BD31" s="58">
        <v>1712.4459999999999</v>
      </c>
      <c r="BE31" s="58">
        <v>902.74</v>
      </c>
      <c r="BF31" s="58">
        <v>809.70500000000004</v>
      </c>
      <c r="BG31" s="58">
        <v>333.69</v>
      </c>
      <c r="BH31" s="58">
        <v>187.685</v>
      </c>
      <c r="BI31" s="58">
        <v>146.00399999999999</v>
      </c>
      <c r="BJ31" s="58">
        <v>132.827</v>
      </c>
      <c r="BK31" s="58">
        <v>105.762</v>
      </c>
      <c r="BL31" s="58">
        <v>27.065000000000001</v>
      </c>
      <c r="BM31" s="58">
        <v>71.766999999999996</v>
      </c>
      <c r="BN31" s="58">
        <v>58.713000000000001</v>
      </c>
      <c r="BO31" s="58">
        <v>13.054</v>
      </c>
      <c r="BP31" s="58">
        <v>61.06</v>
      </c>
      <c r="BQ31" s="58">
        <v>47.05</v>
      </c>
      <c r="BR31" s="58">
        <v>14.010999999999999</v>
      </c>
      <c r="BS31" s="58">
        <v>200.86199999999999</v>
      </c>
      <c r="BT31" s="58">
        <v>81.923000000000002</v>
      </c>
      <c r="BU31" s="58">
        <v>118.93899999999999</v>
      </c>
      <c r="BV31" s="58">
        <v>1524.8330000000001</v>
      </c>
      <c r="BW31" s="58">
        <v>793.80899999999997</v>
      </c>
      <c r="BX31" s="58">
        <v>731.024</v>
      </c>
      <c r="BY31" s="58">
        <v>571.57399999999996</v>
      </c>
      <c r="BZ31" s="58">
        <v>425.589</v>
      </c>
      <c r="CA31" s="58">
        <v>145.98599999999999</v>
      </c>
      <c r="CB31" s="58">
        <v>953.25900000000001</v>
      </c>
      <c r="CC31" s="58">
        <v>368.22</v>
      </c>
      <c r="CD31" s="58">
        <v>585.03800000000001</v>
      </c>
      <c r="CE31" s="58">
        <v>672.03599999999994</v>
      </c>
      <c r="CF31" s="58">
        <v>504.52300000000002</v>
      </c>
      <c r="CG31" s="58">
        <v>167.51400000000001</v>
      </c>
      <c r="CH31" s="58">
        <v>1040.4090000000001</v>
      </c>
      <c r="CI31" s="58">
        <v>398.21800000000002</v>
      </c>
      <c r="CJ31" s="58">
        <v>642.19200000000001</v>
      </c>
      <c r="CK31" s="58">
        <v>1025.0260000000001</v>
      </c>
      <c r="CL31" s="58">
        <v>426.93299999999999</v>
      </c>
      <c r="CM31" s="58">
        <v>598.09299999999996</v>
      </c>
      <c r="CN31" s="58">
        <v>1853.2719999999999</v>
      </c>
      <c r="CO31" s="58">
        <v>944.24400000000003</v>
      </c>
      <c r="CP31" s="58">
        <v>909.029</v>
      </c>
      <c r="CQ31" s="58">
        <v>854.29700000000003</v>
      </c>
      <c r="CR31" s="58">
        <v>501.38200000000001</v>
      </c>
      <c r="CS31" s="58">
        <v>352.916</v>
      </c>
      <c r="CT31" s="58">
        <v>998.97500000000002</v>
      </c>
      <c r="CU31" s="58">
        <v>442.86200000000002</v>
      </c>
      <c r="CV31" s="58">
        <v>556.11300000000006</v>
      </c>
      <c r="CW31" s="58">
        <v>482.08600000000001</v>
      </c>
      <c r="CX31" s="58">
        <v>241.79</v>
      </c>
      <c r="CY31" s="58">
        <v>240.29599999999999</v>
      </c>
      <c r="CZ31" s="58">
        <v>87.245999999999995</v>
      </c>
      <c r="DA31" s="58">
        <v>44.994999999999997</v>
      </c>
      <c r="DB31" s="58">
        <v>42.250999999999998</v>
      </c>
      <c r="DC31" s="58">
        <v>20.599</v>
      </c>
      <c r="DD31" s="58">
        <v>15.27</v>
      </c>
      <c r="DE31" s="58">
        <v>5.3289999999999997</v>
      </c>
      <c r="DF31" s="58">
        <v>15.259</v>
      </c>
      <c r="DG31" s="58">
        <v>11.959</v>
      </c>
      <c r="DH31" s="58">
        <v>3.3</v>
      </c>
      <c r="DI31" s="58">
        <v>5.34</v>
      </c>
      <c r="DJ31" s="58">
        <v>3.3109999999999999</v>
      </c>
      <c r="DK31" s="58">
        <v>2.0299999999999998</v>
      </c>
      <c r="DL31" s="58">
        <v>66.647000000000006</v>
      </c>
      <c r="DM31" s="58">
        <v>29.725000000000001</v>
      </c>
      <c r="DN31" s="58">
        <v>36.921999999999997</v>
      </c>
      <c r="DO31" s="58">
        <v>436.37299999999999</v>
      </c>
      <c r="DP31" s="58">
        <v>215.553</v>
      </c>
      <c r="DQ31" s="58">
        <v>220.82</v>
      </c>
      <c r="DR31" s="58">
        <v>100.25700000000001</v>
      </c>
      <c r="DS31" s="58">
        <v>66.414000000000001</v>
      </c>
      <c r="DT31" s="58">
        <v>33.841999999999999</v>
      </c>
      <c r="DU31" s="58">
        <v>336.11599999999999</v>
      </c>
      <c r="DV31" s="58">
        <v>149.13800000000001</v>
      </c>
      <c r="DW31" s="58">
        <v>186.97800000000001</v>
      </c>
      <c r="DX31" s="58">
        <v>115.172</v>
      </c>
      <c r="DY31" s="58">
        <v>78.340999999999994</v>
      </c>
      <c r="DZ31" s="58">
        <v>36.831000000000003</v>
      </c>
      <c r="EA31" s="58">
        <v>366.91399999999999</v>
      </c>
      <c r="EB31" s="58">
        <v>163.44900000000001</v>
      </c>
      <c r="EC31" s="58">
        <v>203.465</v>
      </c>
      <c r="ED31" s="58">
        <v>351.375</v>
      </c>
      <c r="EE31" s="58">
        <v>161.09800000000001</v>
      </c>
      <c r="EF31" s="58">
        <v>190.27699999999999</v>
      </c>
      <c r="EG31" s="58">
        <v>655.86199999999997</v>
      </c>
      <c r="EH31" s="58">
        <v>315.61900000000003</v>
      </c>
      <c r="EI31" s="58">
        <v>340.24299999999999</v>
      </c>
      <c r="EJ31" s="58">
        <v>150.75800000000001</v>
      </c>
      <c r="EK31" s="58">
        <v>97.168999999999997</v>
      </c>
      <c r="EL31" s="58">
        <v>53.588999999999999</v>
      </c>
      <c r="EM31" s="58">
        <v>505.10399999999998</v>
      </c>
      <c r="EN31" s="58">
        <v>218.45099999999999</v>
      </c>
      <c r="EO31" s="58">
        <v>286.654</v>
      </c>
      <c r="EP31" s="58">
        <v>195.822</v>
      </c>
      <c r="EQ31" s="58">
        <v>89.921000000000006</v>
      </c>
      <c r="ER31" s="58">
        <v>105.901</v>
      </c>
      <c r="ES31" s="58">
        <v>36.701999999999998</v>
      </c>
      <c r="ET31" s="58">
        <v>13.433</v>
      </c>
      <c r="EU31" s="58">
        <v>23.268999999999998</v>
      </c>
      <c r="EV31" s="58">
        <v>3.6269999999999998</v>
      </c>
      <c r="EW31" s="58">
        <v>1.7889999999999999</v>
      </c>
      <c r="EX31" s="58">
        <v>1.8380000000000001</v>
      </c>
      <c r="EY31" s="58">
        <v>3.121</v>
      </c>
      <c r="EZ31" s="58">
        <v>1.7889999999999999</v>
      </c>
      <c r="FA31" s="58">
        <v>1.3320000000000001</v>
      </c>
      <c r="FB31" s="58">
        <v>0.50600000000000001</v>
      </c>
      <c r="FC31" s="58">
        <v>0</v>
      </c>
      <c r="FD31" s="58">
        <v>0.50600000000000001</v>
      </c>
      <c r="FE31" s="58">
        <v>33.075000000000003</v>
      </c>
      <c r="FF31" s="58">
        <v>11.644</v>
      </c>
      <c r="FG31" s="58">
        <v>21.431000000000001</v>
      </c>
      <c r="FH31" s="58">
        <v>177.245</v>
      </c>
      <c r="FI31" s="58">
        <v>82.167000000000002</v>
      </c>
      <c r="FJ31" s="58">
        <v>95.078000000000003</v>
      </c>
      <c r="FK31" s="58">
        <v>19.63</v>
      </c>
      <c r="FL31" s="58">
        <v>13.69</v>
      </c>
      <c r="FM31" s="58">
        <v>5.9409999999999998</v>
      </c>
      <c r="FN31" s="58">
        <v>157.614</v>
      </c>
      <c r="FO31" s="58">
        <v>68.477000000000004</v>
      </c>
      <c r="FP31" s="58">
        <v>89.137</v>
      </c>
      <c r="FQ31" s="58">
        <v>22.370999999999999</v>
      </c>
      <c r="FR31" s="58">
        <v>14.994999999999999</v>
      </c>
      <c r="FS31" s="58">
        <v>7.3769999999999998</v>
      </c>
      <c r="FT31" s="58">
        <v>173.45099999999999</v>
      </c>
      <c r="FU31" s="58">
        <v>74.926000000000002</v>
      </c>
      <c r="FV31" s="58">
        <v>98.525000000000006</v>
      </c>
      <c r="FW31" s="58">
        <v>160.73599999999999</v>
      </c>
      <c r="FX31" s="58">
        <v>70.266000000000005</v>
      </c>
      <c r="FY31" s="58">
        <v>90.468999999999994</v>
      </c>
      <c r="FZ31" s="58">
        <v>1197.4110000000001</v>
      </c>
      <c r="GA31" s="58">
        <v>628.625</v>
      </c>
      <c r="GB31" s="58">
        <v>568.78599999999994</v>
      </c>
      <c r="GC31" s="58">
        <v>703.53899999999999</v>
      </c>
      <c r="GD31" s="58">
        <v>404.21300000000002</v>
      </c>
      <c r="GE31" s="58">
        <v>299.32600000000002</v>
      </c>
      <c r="GF31" s="58">
        <v>493.87099999999998</v>
      </c>
      <c r="GG31" s="58">
        <v>224.41200000000001</v>
      </c>
      <c r="GH31" s="58">
        <v>269.459</v>
      </c>
      <c r="GI31" s="58">
        <v>286.26400000000001</v>
      </c>
      <c r="GJ31" s="58">
        <v>151.869</v>
      </c>
      <c r="GK31" s="58">
        <v>134.39500000000001</v>
      </c>
      <c r="GL31" s="58">
        <v>50.543999999999997</v>
      </c>
      <c r="GM31" s="58">
        <v>31.562000000000001</v>
      </c>
      <c r="GN31" s="58">
        <v>18.981999999999999</v>
      </c>
      <c r="GO31" s="58">
        <v>16.972000000000001</v>
      </c>
      <c r="GP31" s="58">
        <v>13.481</v>
      </c>
      <c r="GQ31" s="58">
        <v>3.4910000000000001</v>
      </c>
      <c r="GR31" s="58">
        <v>12.138</v>
      </c>
      <c r="GS31" s="58">
        <v>10.170999999999999</v>
      </c>
      <c r="GT31" s="58">
        <v>1.9670000000000001</v>
      </c>
      <c r="GU31" s="58">
        <v>4.8339999999999996</v>
      </c>
      <c r="GV31" s="58">
        <v>3.3109999999999999</v>
      </c>
      <c r="GW31" s="58">
        <v>1.524</v>
      </c>
      <c r="GX31" s="58">
        <v>33.572000000000003</v>
      </c>
      <c r="GY31" s="58">
        <v>18.081</v>
      </c>
      <c r="GZ31" s="58">
        <v>15.491</v>
      </c>
      <c r="HA31" s="58">
        <v>259.12799999999999</v>
      </c>
      <c r="HB31" s="58">
        <v>133.386</v>
      </c>
      <c r="HC31" s="58">
        <v>125.742</v>
      </c>
      <c r="HD31" s="58">
        <v>80.626000000000005</v>
      </c>
      <c r="HE31" s="58">
        <v>52.725000000000001</v>
      </c>
      <c r="HF31" s="58">
        <v>27.902000000000001</v>
      </c>
      <c r="HG31" s="58">
        <v>178.50200000000001</v>
      </c>
      <c r="HH31" s="58">
        <v>80.661000000000001</v>
      </c>
      <c r="HI31" s="58">
        <v>97.840999999999994</v>
      </c>
      <c r="HJ31" s="58">
        <v>92.801000000000002</v>
      </c>
      <c r="HK31" s="58">
        <v>63.345999999999997</v>
      </c>
      <c r="HL31" s="58">
        <v>29.454000000000001</v>
      </c>
      <c r="HM31" s="58">
        <v>193.464</v>
      </c>
      <c r="HN31" s="58">
        <v>88.522999999999996</v>
      </c>
      <c r="HO31" s="58">
        <v>104.94</v>
      </c>
      <c r="HP31" s="58">
        <v>190.64</v>
      </c>
      <c r="HQ31" s="58">
        <v>90.831999999999994</v>
      </c>
      <c r="HR31" s="58">
        <v>99.808000000000007</v>
      </c>
      <c r="HS31" s="58">
        <v>2810.076</v>
      </c>
      <c r="HT31" s="58">
        <v>1538.2629999999999</v>
      </c>
      <c r="HU31" s="58">
        <v>1271.8130000000001</v>
      </c>
      <c r="HV31" s="58">
        <v>2168.2170000000001</v>
      </c>
      <c r="HW31" s="58">
        <v>1337.57</v>
      </c>
      <c r="HX31" s="58">
        <v>830.64700000000005</v>
      </c>
      <c r="HY31" s="58">
        <v>641.86</v>
      </c>
      <c r="HZ31" s="58">
        <v>200.69300000000001</v>
      </c>
      <c r="IA31" s="58">
        <v>441.166</v>
      </c>
      <c r="IB31" s="58">
        <v>403.01499999999999</v>
      </c>
      <c r="IC31" s="58">
        <v>242.392</v>
      </c>
      <c r="ID31" s="58">
        <v>160.62299999999999</v>
      </c>
      <c r="IE31" s="58">
        <v>69.206999999999994</v>
      </c>
      <c r="IF31" s="58">
        <v>41.468000000000004</v>
      </c>
      <c r="IG31" s="58">
        <v>27.738</v>
      </c>
      <c r="IH31" s="58">
        <v>29.37</v>
      </c>
      <c r="II31" s="58">
        <v>22.431999999999999</v>
      </c>
      <c r="IJ31" s="58">
        <v>6.9379999999999997</v>
      </c>
      <c r="IK31" s="58">
        <v>13.026999999999999</v>
      </c>
      <c r="IL31" s="58">
        <v>10.539</v>
      </c>
      <c r="IM31" s="58">
        <v>2.488</v>
      </c>
      <c r="IN31" s="58">
        <v>16.343</v>
      </c>
      <c r="IO31" s="58">
        <v>11.893000000000001</v>
      </c>
      <c r="IP31" s="58">
        <v>4.45</v>
      </c>
      <c r="IQ31" s="58">
        <v>39.837000000000003</v>
      </c>
    </row>
    <row r="32" spans="1:251">
      <c r="A32" s="5">
        <v>42461</v>
      </c>
      <c r="B32" s="58">
        <v>11968.512000000001</v>
      </c>
      <c r="C32" s="58">
        <v>6400.9530000000004</v>
      </c>
      <c r="D32" s="58">
        <v>5567.5590000000002</v>
      </c>
      <c r="E32" s="58">
        <v>8147.643</v>
      </c>
      <c r="F32" s="58">
        <v>5170.0249999999996</v>
      </c>
      <c r="G32" s="58">
        <v>2977.6190000000001</v>
      </c>
      <c r="H32" s="58">
        <v>3820.8679999999999</v>
      </c>
      <c r="I32" s="58">
        <v>1230.9280000000001</v>
      </c>
      <c r="J32" s="58">
        <v>2589.94</v>
      </c>
      <c r="K32" s="58">
        <v>1770.665</v>
      </c>
      <c r="L32" s="58">
        <v>972.49900000000002</v>
      </c>
      <c r="M32" s="58">
        <v>798.16499999999996</v>
      </c>
      <c r="N32" s="58">
        <v>353.52499999999998</v>
      </c>
      <c r="O32" s="58">
        <v>212.63900000000001</v>
      </c>
      <c r="P32" s="58">
        <v>140.886</v>
      </c>
      <c r="Q32" s="58">
        <v>135.119</v>
      </c>
      <c r="R32" s="58">
        <v>104.607</v>
      </c>
      <c r="S32" s="58">
        <v>30.512</v>
      </c>
      <c r="T32" s="58">
        <v>74.811000000000007</v>
      </c>
      <c r="U32" s="58">
        <v>56.883000000000003</v>
      </c>
      <c r="V32" s="58">
        <v>17.927</v>
      </c>
      <c r="W32" s="58">
        <v>60.308</v>
      </c>
      <c r="X32" s="58">
        <v>47.723999999999997</v>
      </c>
      <c r="Y32" s="58">
        <v>12.584</v>
      </c>
      <c r="Z32" s="58">
        <v>218.40600000000001</v>
      </c>
      <c r="AA32" s="58">
        <v>108.03100000000001</v>
      </c>
      <c r="AB32" s="58">
        <v>110.375</v>
      </c>
      <c r="AC32" s="58">
        <v>1568.5409999999999</v>
      </c>
      <c r="AD32" s="58">
        <v>849.98500000000001</v>
      </c>
      <c r="AE32" s="58">
        <v>718.55499999999995</v>
      </c>
      <c r="AF32" s="58">
        <v>571.70899999999995</v>
      </c>
      <c r="AG32" s="58">
        <v>434.27499999999998</v>
      </c>
      <c r="AH32" s="58">
        <v>137.434</v>
      </c>
      <c r="AI32" s="58">
        <v>996.83199999999999</v>
      </c>
      <c r="AJ32" s="58">
        <v>415.71</v>
      </c>
      <c r="AK32" s="58">
        <v>581.12199999999996</v>
      </c>
      <c r="AL32" s="58">
        <v>668.32500000000005</v>
      </c>
      <c r="AM32" s="58">
        <v>510.57900000000001</v>
      </c>
      <c r="AN32" s="58">
        <v>157.74600000000001</v>
      </c>
      <c r="AO32" s="58">
        <v>1102.3399999999999</v>
      </c>
      <c r="AP32" s="58">
        <v>461.92</v>
      </c>
      <c r="AQ32" s="58">
        <v>640.41899999999998</v>
      </c>
      <c r="AR32" s="58">
        <v>1071.6420000000001</v>
      </c>
      <c r="AS32" s="58">
        <v>472.59300000000002</v>
      </c>
      <c r="AT32" s="58">
        <v>599.04899999999998</v>
      </c>
      <c r="AU32" s="58">
        <v>11512.659</v>
      </c>
      <c r="AV32" s="58">
        <v>6122.1170000000002</v>
      </c>
      <c r="AW32" s="58">
        <v>5390.5420000000004</v>
      </c>
      <c r="AX32" s="58">
        <v>7949.1440000000002</v>
      </c>
      <c r="AY32" s="58">
        <v>5023.3450000000003</v>
      </c>
      <c r="AZ32" s="58">
        <v>2925.799</v>
      </c>
      <c r="BA32" s="58">
        <v>3563.5149999999999</v>
      </c>
      <c r="BB32" s="58">
        <v>1098.7719999999999</v>
      </c>
      <c r="BC32" s="58">
        <v>2464.7429999999999</v>
      </c>
      <c r="BD32" s="58">
        <v>1722.5809999999999</v>
      </c>
      <c r="BE32" s="58">
        <v>939.79300000000001</v>
      </c>
      <c r="BF32" s="58">
        <v>782.78800000000001</v>
      </c>
      <c r="BG32" s="58">
        <v>332.315</v>
      </c>
      <c r="BH32" s="58">
        <v>196.869</v>
      </c>
      <c r="BI32" s="58">
        <v>135.446</v>
      </c>
      <c r="BJ32" s="58">
        <v>131.429</v>
      </c>
      <c r="BK32" s="58">
        <v>100.917</v>
      </c>
      <c r="BL32" s="58">
        <v>30.512</v>
      </c>
      <c r="BM32" s="58">
        <v>71.647000000000006</v>
      </c>
      <c r="BN32" s="58">
        <v>53.72</v>
      </c>
      <c r="BO32" s="58">
        <v>17.927</v>
      </c>
      <c r="BP32" s="58">
        <v>59.780999999999999</v>
      </c>
      <c r="BQ32" s="58">
        <v>47.197000000000003</v>
      </c>
      <c r="BR32" s="58">
        <v>12.584</v>
      </c>
      <c r="BS32" s="58">
        <v>200.886</v>
      </c>
      <c r="BT32" s="58">
        <v>95.951999999999998</v>
      </c>
      <c r="BU32" s="58">
        <v>104.934</v>
      </c>
      <c r="BV32" s="58">
        <v>1538.712</v>
      </c>
      <c r="BW32" s="58">
        <v>830.52499999999998</v>
      </c>
      <c r="BX32" s="58">
        <v>708.18600000000004</v>
      </c>
      <c r="BY32" s="58">
        <v>564.68799999999999</v>
      </c>
      <c r="BZ32" s="58">
        <v>428.255</v>
      </c>
      <c r="CA32" s="58">
        <v>136.43299999999999</v>
      </c>
      <c r="CB32" s="58">
        <v>974.024</v>
      </c>
      <c r="CC32" s="58">
        <v>402.27</v>
      </c>
      <c r="CD32" s="58">
        <v>571.75400000000002</v>
      </c>
      <c r="CE32" s="58">
        <v>658.44399999999996</v>
      </c>
      <c r="CF32" s="58">
        <v>501.69900000000001</v>
      </c>
      <c r="CG32" s="58">
        <v>156.745</v>
      </c>
      <c r="CH32" s="58">
        <v>1064.1369999999999</v>
      </c>
      <c r="CI32" s="58">
        <v>438.09399999999999</v>
      </c>
      <c r="CJ32" s="58">
        <v>626.04300000000001</v>
      </c>
      <c r="CK32" s="58">
        <v>1045.671</v>
      </c>
      <c r="CL32" s="58">
        <v>455.99</v>
      </c>
      <c r="CM32" s="58">
        <v>589.68100000000004</v>
      </c>
      <c r="CN32" s="58">
        <v>1863.3989999999999</v>
      </c>
      <c r="CO32" s="58">
        <v>940.12300000000005</v>
      </c>
      <c r="CP32" s="58">
        <v>923.27700000000004</v>
      </c>
      <c r="CQ32" s="58">
        <v>863.15499999999997</v>
      </c>
      <c r="CR32" s="58">
        <v>488.88799999999998</v>
      </c>
      <c r="CS32" s="58">
        <v>374.26799999999997</v>
      </c>
      <c r="CT32" s="58">
        <v>1000.244</v>
      </c>
      <c r="CU32" s="58">
        <v>451.23500000000001</v>
      </c>
      <c r="CV32" s="58">
        <v>549.00900000000001</v>
      </c>
      <c r="CW32" s="58">
        <v>457.37900000000002</v>
      </c>
      <c r="CX32" s="58">
        <v>236.864</v>
      </c>
      <c r="CY32" s="58">
        <v>220.51499999999999</v>
      </c>
      <c r="CZ32" s="58">
        <v>68.700999999999993</v>
      </c>
      <c r="DA32" s="58">
        <v>36.902000000000001</v>
      </c>
      <c r="DB32" s="58">
        <v>31.798999999999999</v>
      </c>
      <c r="DC32" s="58">
        <v>11.997999999999999</v>
      </c>
      <c r="DD32" s="58">
        <v>9.141</v>
      </c>
      <c r="DE32" s="58">
        <v>2.8570000000000002</v>
      </c>
      <c r="DF32" s="58">
        <v>9.5549999999999997</v>
      </c>
      <c r="DG32" s="58">
        <v>7.5359999999999996</v>
      </c>
      <c r="DH32" s="58">
        <v>2.02</v>
      </c>
      <c r="DI32" s="58">
        <v>2.4430000000000001</v>
      </c>
      <c r="DJ32" s="58">
        <v>1.605</v>
      </c>
      <c r="DK32" s="58">
        <v>0.83799999999999997</v>
      </c>
      <c r="DL32" s="58">
        <v>56.703000000000003</v>
      </c>
      <c r="DM32" s="58">
        <v>27.760999999999999</v>
      </c>
      <c r="DN32" s="58">
        <v>28.942</v>
      </c>
      <c r="DO32" s="58">
        <v>422.15</v>
      </c>
      <c r="DP32" s="58">
        <v>220.23599999999999</v>
      </c>
      <c r="DQ32" s="58">
        <v>201.91399999999999</v>
      </c>
      <c r="DR32" s="58">
        <v>92.965999999999994</v>
      </c>
      <c r="DS32" s="58">
        <v>65.977000000000004</v>
      </c>
      <c r="DT32" s="58">
        <v>26.989000000000001</v>
      </c>
      <c r="DU32" s="58">
        <v>329.18400000000003</v>
      </c>
      <c r="DV32" s="58">
        <v>154.26</v>
      </c>
      <c r="DW32" s="58">
        <v>174.92500000000001</v>
      </c>
      <c r="DX32" s="58">
        <v>99.703000000000003</v>
      </c>
      <c r="DY32" s="58">
        <v>71.162000000000006</v>
      </c>
      <c r="DZ32" s="58">
        <v>28.541</v>
      </c>
      <c r="EA32" s="58">
        <v>357.67599999999999</v>
      </c>
      <c r="EB32" s="58">
        <v>165.702</v>
      </c>
      <c r="EC32" s="58">
        <v>191.97399999999999</v>
      </c>
      <c r="ED32" s="58">
        <v>338.74</v>
      </c>
      <c r="EE32" s="58">
        <v>161.79499999999999</v>
      </c>
      <c r="EF32" s="58">
        <v>176.94399999999999</v>
      </c>
      <c r="EG32" s="58">
        <v>654.09</v>
      </c>
      <c r="EH32" s="58">
        <v>313.38299999999998</v>
      </c>
      <c r="EI32" s="58">
        <v>340.70699999999999</v>
      </c>
      <c r="EJ32" s="58">
        <v>161.34700000000001</v>
      </c>
      <c r="EK32" s="58">
        <v>101.473</v>
      </c>
      <c r="EL32" s="58">
        <v>59.874000000000002</v>
      </c>
      <c r="EM32" s="58">
        <v>492.74299999999999</v>
      </c>
      <c r="EN32" s="58">
        <v>211.91</v>
      </c>
      <c r="EO32" s="58">
        <v>280.83300000000003</v>
      </c>
      <c r="EP32" s="58">
        <v>186.41499999999999</v>
      </c>
      <c r="EQ32" s="58">
        <v>93.444999999999993</v>
      </c>
      <c r="ER32" s="58">
        <v>92.97</v>
      </c>
      <c r="ES32" s="58">
        <v>30.15</v>
      </c>
      <c r="ET32" s="58">
        <v>16.073</v>
      </c>
      <c r="EU32" s="58">
        <v>14.077</v>
      </c>
      <c r="EV32" s="58">
        <v>3.2570000000000001</v>
      </c>
      <c r="EW32" s="58">
        <v>2.3370000000000002</v>
      </c>
      <c r="EX32" s="58">
        <v>0.92</v>
      </c>
      <c r="EY32" s="58">
        <v>2.581</v>
      </c>
      <c r="EZ32" s="58">
        <v>2.16</v>
      </c>
      <c r="FA32" s="58">
        <v>0.42199999999999999</v>
      </c>
      <c r="FB32" s="58">
        <v>0.67500000000000004</v>
      </c>
      <c r="FC32" s="58">
        <v>0.17699999999999999</v>
      </c>
      <c r="FD32" s="58">
        <v>0.498</v>
      </c>
      <c r="FE32" s="58">
        <v>26.893000000000001</v>
      </c>
      <c r="FF32" s="58">
        <v>13.737</v>
      </c>
      <c r="FG32" s="58">
        <v>13.157</v>
      </c>
      <c r="FH32" s="58">
        <v>170.721</v>
      </c>
      <c r="FI32" s="58">
        <v>85.95</v>
      </c>
      <c r="FJ32" s="58">
        <v>84.771000000000001</v>
      </c>
      <c r="FK32" s="58">
        <v>22.922000000000001</v>
      </c>
      <c r="FL32" s="58">
        <v>16.728999999999999</v>
      </c>
      <c r="FM32" s="58">
        <v>6.1929999999999996</v>
      </c>
      <c r="FN32" s="58">
        <v>147.79900000000001</v>
      </c>
      <c r="FO32" s="58">
        <v>69.221000000000004</v>
      </c>
      <c r="FP32" s="58">
        <v>78.578000000000003</v>
      </c>
      <c r="FQ32" s="58">
        <v>25.187000000000001</v>
      </c>
      <c r="FR32" s="58">
        <v>18.074000000000002</v>
      </c>
      <c r="FS32" s="58">
        <v>7.1130000000000004</v>
      </c>
      <c r="FT32" s="58">
        <v>161.22800000000001</v>
      </c>
      <c r="FU32" s="58">
        <v>75.370999999999995</v>
      </c>
      <c r="FV32" s="58">
        <v>85.856999999999999</v>
      </c>
      <c r="FW32" s="58">
        <v>150.38</v>
      </c>
      <c r="FX32" s="58">
        <v>71.381</v>
      </c>
      <c r="FY32" s="58">
        <v>78.998999999999995</v>
      </c>
      <c r="FZ32" s="58">
        <v>1209.309</v>
      </c>
      <c r="GA32" s="58">
        <v>626.74</v>
      </c>
      <c r="GB32" s="58">
        <v>582.56899999999996</v>
      </c>
      <c r="GC32" s="58">
        <v>701.80799999999999</v>
      </c>
      <c r="GD32" s="58">
        <v>387.41500000000002</v>
      </c>
      <c r="GE32" s="58">
        <v>314.39299999999997</v>
      </c>
      <c r="GF32" s="58">
        <v>507.50099999999998</v>
      </c>
      <c r="GG32" s="58">
        <v>239.32499999999999</v>
      </c>
      <c r="GH32" s="58">
        <v>268.17599999999999</v>
      </c>
      <c r="GI32" s="58">
        <v>270.964</v>
      </c>
      <c r="GJ32" s="58">
        <v>143.41900000000001</v>
      </c>
      <c r="GK32" s="58">
        <v>127.545</v>
      </c>
      <c r="GL32" s="58">
        <v>38.551000000000002</v>
      </c>
      <c r="GM32" s="58">
        <v>20.827999999999999</v>
      </c>
      <c r="GN32" s="58">
        <v>17.722999999999999</v>
      </c>
      <c r="GO32" s="58">
        <v>8.7409999999999997</v>
      </c>
      <c r="GP32" s="58">
        <v>6.8040000000000003</v>
      </c>
      <c r="GQ32" s="58">
        <v>1.9370000000000001</v>
      </c>
      <c r="GR32" s="58">
        <v>6.9740000000000002</v>
      </c>
      <c r="GS32" s="58">
        <v>5.3760000000000003</v>
      </c>
      <c r="GT32" s="58">
        <v>1.5980000000000001</v>
      </c>
      <c r="GU32" s="58">
        <v>1.7669999999999999</v>
      </c>
      <c r="GV32" s="58">
        <v>1.4279999999999999</v>
      </c>
      <c r="GW32" s="58">
        <v>0.33900000000000002</v>
      </c>
      <c r="GX32" s="58">
        <v>29.809000000000001</v>
      </c>
      <c r="GY32" s="58">
        <v>14.023999999999999</v>
      </c>
      <c r="GZ32" s="58">
        <v>15.785</v>
      </c>
      <c r="HA32" s="58">
        <v>251.43</v>
      </c>
      <c r="HB32" s="58">
        <v>134.286</v>
      </c>
      <c r="HC32" s="58">
        <v>117.143</v>
      </c>
      <c r="HD32" s="58">
        <v>70.043999999999997</v>
      </c>
      <c r="HE32" s="58">
        <v>49.247999999999998</v>
      </c>
      <c r="HF32" s="58">
        <v>20.795999999999999</v>
      </c>
      <c r="HG32" s="58">
        <v>181.386</v>
      </c>
      <c r="HH32" s="58">
        <v>85.039000000000001</v>
      </c>
      <c r="HI32" s="58">
        <v>96.346999999999994</v>
      </c>
      <c r="HJ32" s="58">
        <v>74.516999999999996</v>
      </c>
      <c r="HK32" s="58">
        <v>53.088000000000001</v>
      </c>
      <c r="HL32" s="58">
        <v>21.428000000000001</v>
      </c>
      <c r="HM32" s="58">
        <v>196.44800000000001</v>
      </c>
      <c r="HN32" s="58">
        <v>90.331000000000003</v>
      </c>
      <c r="HO32" s="58">
        <v>106.116</v>
      </c>
      <c r="HP32" s="58">
        <v>188.36</v>
      </c>
      <c r="HQ32" s="58">
        <v>90.414000000000001</v>
      </c>
      <c r="HR32" s="58">
        <v>97.944999999999993</v>
      </c>
      <c r="HS32" s="58">
        <v>2817.5</v>
      </c>
      <c r="HT32" s="58">
        <v>1545.251</v>
      </c>
      <c r="HU32" s="58">
        <v>1272.248</v>
      </c>
      <c r="HV32" s="58">
        <v>2163.2629999999999</v>
      </c>
      <c r="HW32" s="58">
        <v>1336.0309999999999</v>
      </c>
      <c r="HX32" s="58">
        <v>827.23199999999997</v>
      </c>
      <c r="HY32" s="58">
        <v>654.23699999999997</v>
      </c>
      <c r="HZ32" s="58">
        <v>209.221</v>
      </c>
      <c r="IA32" s="58">
        <v>445.01600000000002</v>
      </c>
      <c r="IB32" s="58">
        <v>402.23200000000003</v>
      </c>
      <c r="IC32" s="58">
        <v>245.72900000000001</v>
      </c>
      <c r="ID32" s="58">
        <v>156.50299999999999</v>
      </c>
      <c r="IE32" s="58">
        <v>67.64</v>
      </c>
      <c r="IF32" s="58">
        <v>44.509</v>
      </c>
      <c r="IG32" s="58">
        <v>23.131</v>
      </c>
      <c r="IH32" s="58">
        <v>29.381</v>
      </c>
      <c r="II32" s="58">
        <v>22.279</v>
      </c>
      <c r="IJ32" s="58">
        <v>7.1020000000000003</v>
      </c>
      <c r="IK32" s="58">
        <v>13.747</v>
      </c>
      <c r="IL32" s="58">
        <v>11.179</v>
      </c>
      <c r="IM32" s="58">
        <v>2.5680000000000001</v>
      </c>
      <c r="IN32" s="58">
        <v>15.635</v>
      </c>
      <c r="IO32" s="58">
        <v>11.101000000000001</v>
      </c>
      <c r="IP32" s="58">
        <v>4.5339999999999998</v>
      </c>
      <c r="IQ32" s="58">
        <v>38.259</v>
      </c>
    </row>
    <row r="33" spans="1:251">
      <c r="A33" s="5">
        <v>42491</v>
      </c>
      <c r="B33" s="58">
        <v>11999.949000000001</v>
      </c>
      <c r="C33" s="58">
        <v>6420.8029999999999</v>
      </c>
      <c r="D33" s="58">
        <v>5579.1459999999997</v>
      </c>
      <c r="E33" s="58">
        <v>8170.78</v>
      </c>
      <c r="F33" s="58">
        <v>5194.5870000000004</v>
      </c>
      <c r="G33" s="58">
        <v>2976.1930000000002</v>
      </c>
      <c r="H33" s="58">
        <v>3829.1689999999999</v>
      </c>
      <c r="I33" s="58">
        <v>1226.2170000000001</v>
      </c>
      <c r="J33" s="58">
        <v>2602.953</v>
      </c>
      <c r="K33" s="58">
        <v>1779.0219999999999</v>
      </c>
      <c r="L33" s="58">
        <v>970.76599999999996</v>
      </c>
      <c r="M33" s="58">
        <v>808.255</v>
      </c>
      <c r="N33" s="58">
        <v>340.988</v>
      </c>
      <c r="O33" s="58">
        <v>198.024</v>
      </c>
      <c r="P33" s="58">
        <v>142.964</v>
      </c>
      <c r="Q33" s="58">
        <v>136.32599999999999</v>
      </c>
      <c r="R33" s="58">
        <v>104.10299999999999</v>
      </c>
      <c r="S33" s="58">
        <v>32.223999999999997</v>
      </c>
      <c r="T33" s="58">
        <v>72.043999999999997</v>
      </c>
      <c r="U33" s="58">
        <v>53.366</v>
      </c>
      <c r="V33" s="58">
        <v>18.678000000000001</v>
      </c>
      <c r="W33" s="58">
        <v>64.281999999999996</v>
      </c>
      <c r="X33" s="58">
        <v>50.737000000000002</v>
      </c>
      <c r="Y33" s="58">
        <v>13.545</v>
      </c>
      <c r="Z33" s="58">
        <v>204.66200000000001</v>
      </c>
      <c r="AA33" s="58">
        <v>93.921999999999997</v>
      </c>
      <c r="AB33" s="58">
        <v>110.74</v>
      </c>
      <c r="AC33" s="58">
        <v>1577.9359999999999</v>
      </c>
      <c r="AD33" s="58">
        <v>855.10400000000004</v>
      </c>
      <c r="AE33" s="58">
        <v>722.83199999999999</v>
      </c>
      <c r="AF33" s="58">
        <v>607.13900000000001</v>
      </c>
      <c r="AG33" s="58">
        <v>458.97399999999999</v>
      </c>
      <c r="AH33" s="58">
        <v>148.16499999999999</v>
      </c>
      <c r="AI33" s="58">
        <v>970.79600000000005</v>
      </c>
      <c r="AJ33" s="58">
        <v>396.13</v>
      </c>
      <c r="AK33" s="58">
        <v>574.66600000000005</v>
      </c>
      <c r="AL33" s="58">
        <v>705.48800000000006</v>
      </c>
      <c r="AM33" s="58">
        <v>533.44299999999998</v>
      </c>
      <c r="AN33" s="58">
        <v>172.04499999999999</v>
      </c>
      <c r="AO33" s="58">
        <v>1073.5329999999999</v>
      </c>
      <c r="AP33" s="58">
        <v>437.32400000000001</v>
      </c>
      <c r="AQ33" s="58">
        <v>636.21</v>
      </c>
      <c r="AR33" s="58">
        <v>1042.8409999999999</v>
      </c>
      <c r="AS33" s="58">
        <v>449.49599999999998</v>
      </c>
      <c r="AT33" s="58">
        <v>593.34500000000003</v>
      </c>
      <c r="AU33" s="58">
        <v>11541.137000000001</v>
      </c>
      <c r="AV33" s="58">
        <v>6138.4769999999999</v>
      </c>
      <c r="AW33" s="58">
        <v>5402.6589999999997</v>
      </c>
      <c r="AX33" s="58">
        <v>7983.2470000000003</v>
      </c>
      <c r="AY33" s="58">
        <v>5054.7070000000003</v>
      </c>
      <c r="AZ33" s="58">
        <v>2928.54</v>
      </c>
      <c r="BA33" s="58">
        <v>3557.89</v>
      </c>
      <c r="BB33" s="58">
        <v>1083.77</v>
      </c>
      <c r="BC33" s="58">
        <v>2474.1190000000001</v>
      </c>
      <c r="BD33" s="58">
        <v>1731.4110000000001</v>
      </c>
      <c r="BE33" s="58">
        <v>936.74599999999998</v>
      </c>
      <c r="BF33" s="58">
        <v>794.66499999999996</v>
      </c>
      <c r="BG33" s="58">
        <v>319.97699999999998</v>
      </c>
      <c r="BH33" s="58">
        <v>182.90799999999999</v>
      </c>
      <c r="BI33" s="58">
        <v>137.06800000000001</v>
      </c>
      <c r="BJ33" s="58">
        <v>131.55600000000001</v>
      </c>
      <c r="BK33" s="58">
        <v>99.938000000000002</v>
      </c>
      <c r="BL33" s="58">
        <v>31.617999999999999</v>
      </c>
      <c r="BM33" s="58">
        <v>68.503</v>
      </c>
      <c r="BN33" s="58">
        <v>50.430999999999997</v>
      </c>
      <c r="BO33" s="58">
        <v>18.073</v>
      </c>
      <c r="BP33" s="58">
        <v>63.052</v>
      </c>
      <c r="BQ33" s="58">
        <v>49.506999999999998</v>
      </c>
      <c r="BR33" s="58">
        <v>13.545</v>
      </c>
      <c r="BS33" s="58">
        <v>188.42099999999999</v>
      </c>
      <c r="BT33" s="58">
        <v>82.971000000000004</v>
      </c>
      <c r="BU33" s="58">
        <v>105.45</v>
      </c>
      <c r="BV33" s="58">
        <v>1545.0509999999999</v>
      </c>
      <c r="BW33" s="58">
        <v>831.41600000000005</v>
      </c>
      <c r="BX33" s="58">
        <v>713.63499999999999</v>
      </c>
      <c r="BY33" s="58">
        <v>599.346</v>
      </c>
      <c r="BZ33" s="58">
        <v>451.52499999999998</v>
      </c>
      <c r="CA33" s="58">
        <v>147.822</v>
      </c>
      <c r="CB33" s="58">
        <v>945.70500000000004</v>
      </c>
      <c r="CC33" s="58">
        <v>379.89100000000002</v>
      </c>
      <c r="CD33" s="58">
        <v>565.81299999999999</v>
      </c>
      <c r="CE33" s="58">
        <v>693.13900000000001</v>
      </c>
      <c r="CF33" s="58">
        <v>521.82899999999995</v>
      </c>
      <c r="CG33" s="58">
        <v>171.31100000000001</v>
      </c>
      <c r="CH33" s="58">
        <v>1038.2719999999999</v>
      </c>
      <c r="CI33" s="58">
        <v>414.91800000000001</v>
      </c>
      <c r="CJ33" s="58">
        <v>623.35400000000004</v>
      </c>
      <c r="CK33" s="58">
        <v>1014.208</v>
      </c>
      <c r="CL33" s="58">
        <v>430.322</v>
      </c>
      <c r="CM33" s="58">
        <v>583.88599999999997</v>
      </c>
      <c r="CN33" s="58">
        <v>1864.3150000000001</v>
      </c>
      <c r="CO33" s="58">
        <v>949.33500000000004</v>
      </c>
      <c r="CP33" s="58">
        <v>914.98</v>
      </c>
      <c r="CQ33" s="58">
        <v>840.755</v>
      </c>
      <c r="CR33" s="58">
        <v>488.911</v>
      </c>
      <c r="CS33" s="58">
        <v>351.84399999999999</v>
      </c>
      <c r="CT33" s="58">
        <v>1023.559</v>
      </c>
      <c r="CU33" s="58">
        <v>460.42399999999998</v>
      </c>
      <c r="CV33" s="58">
        <v>563.13499999999999</v>
      </c>
      <c r="CW33" s="58">
        <v>459.03899999999999</v>
      </c>
      <c r="CX33" s="58">
        <v>235.96100000000001</v>
      </c>
      <c r="CY33" s="58">
        <v>223.078</v>
      </c>
      <c r="CZ33" s="58">
        <v>71.064999999999998</v>
      </c>
      <c r="DA33" s="58">
        <v>35.518999999999998</v>
      </c>
      <c r="DB33" s="58">
        <v>35.545000000000002</v>
      </c>
      <c r="DC33" s="58">
        <v>15.427</v>
      </c>
      <c r="DD33" s="58">
        <v>11.092000000000001</v>
      </c>
      <c r="DE33" s="58">
        <v>4.3360000000000003</v>
      </c>
      <c r="DF33" s="58">
        <v>11.255000000000001</v>
      </c>
      <c r="DG33" s="58">
        <v>8.7070000000000007</v>
      </c>
      <c r="DH33" s="58">
        <v>2.548</v>
      </c>
      <c r="DI33" s="58">
        <v>4.1719999999999997</v>
      </c>
      <c r="DJ33" s="58">
        <v>2.3849999999999998</v>
      </c>
      <c r="DK33" s="58">
        <v>1.788</v>
      </c>
      <c r="DL33" s="58">
        <v>55.637999999999998</v>
      </c>
      <c r="DM33" s="58">
        <v>24.428000000000001</v>
      </c>
      <c r="DN33" s="58">
        <v>31.21</v>
      </c>
      <c r="DO33" s="58">
        <v>421.69200000000001</v>
      </c>
      <c r="DP33" s="58">
        <v>219.36600000000001</v>
      </c>
      <c r="DQ33" s="58">
        <v>202.327</v>
      </c>
      <c r="DR33" s="58">
        <v>99.867999999999995</v>
      </c>
      <c r="DS33" s="58">
        <v>70.048000000000002</v>
      </c>
      <c r="DT33" s="58">
        <v>29.818999999999999</v>
      </c>
      <c r="DU33" s="58">
        <v>321.82499999999999</v>
      </c>
      <c r="DV33" s="58">
        <v>149.31700000000001</v>
      </c>
      <c r="DW33" s="58">
        <v>172.50800000000001</v>
      </c>
      <c r="DX33" s="58">
        <v>108.999</v>
      </c>
      <c r="DY33" s="58">
        <v>75.703000000000003</v>
      </c>
      <c r="DZ33" s="58">
        <v>33.295999999999999</v>
      </c>
      <c r="EA33" s="58">
        <v>350.04</v>
      </c>
      <c r="EB33" s="58">
        <v>160.25800000000001</v>
      </c>
      <c r="EC33" s="58">
        <v>189.78200000000001</v>
      </c>
      <c r="ED33" s="58">
        <v>333.07900000000001</v>
      </c>
      <c r="EE33" s="58">
        <v>158.024</v>
      </c>
      <c r="EF33" s="58">
        <v>175.05500000000001</v>
      </c>
      <c r="EG33" s="58">
        <v>660.61800000000005</v>
      </c>
      <c r="EH33" s="58">
        <v>318.642</v>
      </c>
      <c r="EI33" s="58">
        <v>341.97699999999998</v>
      </c>
      <c r="EJ33" s="58">
        <v>146.87100000000001</v>
      </c>
      <c r="EK33" s="58">
        <v>92.930999999999997</v>
      </c>
      <c r="EL33" s="58">
        <v>53.941000000000003</v>
      </c>
      <c r="EM33" s="58">
        <v>513.74699999999996</v>
      </c>
      <c r="EN33" s="58">
        <v>225.71100000000001</v>
      </c>
      <c r="EO33" s="58">
        <v>288.036</v>
      </c>
      <c r="EP33" s="58">
        <v>195.90100000000001</v>
      </c>
      <c r="EQ33" s="58">
        <v>97.432000000000002</v>
      </c>
      <c r="ER33" s="58">
        <v>98.468999999999994</v>
      </c>
      <c r="ES33" s="58">
        <v>36.225000000000001</v>
      </c>
      <c r="ET33" s="58">
        <v>17.154</v>
      </c>
      <c r="EU33" s="58">
        <v>19.071000000000002</v>
      </c>
      <c r="EV33" s="58">
        <v>2.5880000000000001</v>
      </c>
      <c r="EW33" s="58">
        <v>2.23</v>
      </c>
      <c r="EX33" s="58">
        <v>0.35799999999999998</v>
      </c>
      <c r="EY33" s="58">
        <v>2.0659999999999998</v>
      </c>
      <c r="EZ33" s="58">
        <v>1.708</v>
      </c>
      <c r="FA33" s="58">
        <v>0.35799999999999998</v>
      </c>
      <c r="FB33" s="58">
        <v>0.52200000000000002</v>
      </c>
      <c r="FC33" s="58">
        <v>0.52200000000000002</v>
      </c>
      <c r="FD33" s="58">
        <v>0</v>
      </c>
      <c r="FE33" s="58">
        <v>33.637</v>
      </c>
      <c r="FF33" s="58">
        <v>14.923999999999999</v>
      </c>
      <c r="FG33" s="58">
        <v>18.713000000000001</v>
      </c>
      <c r="FH33" s="58">
        <v>175.32400000000001</v>
      </c>
      <c r="FI33" s="58">
        <v>89.012</v>
      </c>
      <c r="FJ33" s="58">
        <v>86.311999999999998</v>
      </c>
      <c r="FK33" s="58">
        <v>19.619</v>
      </c>
      <c r="FL33" s="58">
        <v>15.382</v>
      </c>
      <c r="FM33" s="58">
        <v>4.2370000000000001</v>
      </c>
      <c r="FN33" s="58">
        <v>155.70500000000001</v>
      </c>
      <c r="FO33" s="58">
        <v>73.629000000000005</v>
      </c>
      <c r="FP33" s="58">
        <v>82.075000000000003</v>
      </c>
      <c r="FQ33" s="58">
        <v>20.75</v>
      </c>
      <c r="FR33" s="58">
        <v>16.513000000000002</v>
      </c>
      <c r="FS33" s="58">
        <v>4.2370000000000001</v>
      </c>
      <c r="FT33" s="58">
        <v>175.15100000000001</v>
      </c>
      <c r="FU33" s="58">
        <v>80.918999999999997</v>
      </c>
      <c r="FV33" s="58">
        <v>94.231999999999999</v>
      </c>
      <c r="FW33" s="58">
        <v>157.77099999999999</v>
      </c>
      <c r="FX33" s="58">
        <v>75.337999999999994</v>
      </c>
      <c r="FY33" s="58">
        <v>82.433000000000007</v>
      </c>
      <c r="FZ33" s="58">
        <v>1203.6959999999999</v>
      </c>
      <c r="GA33" s="58">
        <v>630.69299999999998</v>
      </c>
      <c r="GB33" s="58">
        <v>573.00300000000004</v>
      </c>
      <c r="GC33" s="58">
        <v>693.88400000000001</v>
      </c>
      <c r="GD33" s="58">
        <v>395.98</v>
      </c>
      <c r="GE33" s="58">
        <v>297.904</v>
      </c>
      <c r="GF33" s="58">
        <v>509.81200000000001</v>
      </c>
      <c r="GG33" s="58">
        <v>234.71299999999999</v>
      </c>
      <c r="GH33" s="58">
        <v>275.09899999999999</v>
      </c>
      <c r="GI33" s="58">
        <v>263.13799999999998</v>
      </c>
      <c r="GJ33" s="58">
        <v>138.529</v>
      </c>
      <c r="GK33" s="58">
        <v>124.60899999999999</v>
      </c>
      <c r="GL33" s="58">
        <v>34.840000000000003</v>
      </c>
      <c r="GM33" s="58">
        <v>18.366</v>
      </c>
      <c r="GN33" s="58">
        <v>16.474</v>
      </c>
      <c r="GO33" s="58">
        <v>12.839</v>
      </c>
      <c r="GP33" s="58">
        <v>8.8620000000000001</v>
      </c>
      <c r="GQ33" s="58">
        <v>3.9780000000000002</v>
      </c>
      <c r="GR33" s="58">
        <v>9.1890000000000001</v>
      </c>
      <c r="GS33" s="58">
        <v>6.9989999999999997</v>
      </c>
      <c r="GT33" s="58">
        <v>2.19</v>
      </c>
      <c r="GU33" s="58">
        <v>3.6509999999999998</v>
      </c>
      <c r="GV33" s="58">
        <v>1.863</v>
      </c>
      <c r="GW33" s="58">
        <v>1.788</v>
      </c>
      <c r="GX33" s="58">
        <v>22.001000000000001</v>
      </c>
      <c r="GY33" s="58">
        <v>9.5039999999999996</v>
      </c>
      <c r="GZ33" s="58">
        <v>12.497</v>
      </c>
      <c r="HA33" s="58">
        <v>246.369</v>
      </c>
      <c r="HB33" s="58">
        <v>130.35400000000001</v>
      </c>
      <c r="HC33" s="58">
        <v>116.015</v>
      </c>
      <c r="HD33" s="58">
        <v>80.248000000000005</v>
      </c>
      <c r="HE33" s="58">
        <v>54.665999999999997</v>
      </c>
      <c r="HF33" s="58">
        <v>25.582000000000001</v>
      </c>
      <c r="HG33" s="58">
        <v>166.12</v>
      </c>
      <c r="HH33" s="58">
        <v>75.688000000000002</v>
      </c>
      <c r="HI33" s="58">
        <v>90.432000000000002</v>
      </c>
      <c r="HJ33" s="58">
        <v>88.248999999999995</v>
      </c>
      <c r="HK33" s="58">
        <v>59.19</v>
      </c>
      <c r="HL33" s="58">
        <v>29.059000000000001</v>
      </c>
      <c r="HM33" s="58">
        <v>174.88900000000001</v>
      </c>
      <c r="HN33" s="58">
        <v>79.338999999999999</v>
      </c>
      <c r="HO33" s="58">
        <v>95.55</v>
      </c>
      <c r="HP33" s="58">
        <v>175.309</v>
      </c>
      <c r="HQ33" s="58">
        <v>82.686999999999998</v>
      </c>
      <c r="HR33" s="58">
        <v>92.622</v>
      </c>
      <c r="HS33" s="58">
        <v>2812.7869999999998</v>
      </c>
      <c r="HT33" s="58">
        <v>1537.146</v>
      </c>
      <c r="HU33" s="58">
        <v>1275.6410000000001</v>
      </c>
      <c r="HV33" s="58">
        <v>2177.6280000000002</v>
      </c>
      <c r="HW33" s="58">
        <v>1348.3530000000001</v>
      </c>
      <c r="HX33" s="58">
        <v>829.27499999999998</v>
      </c>
      <c r="HY33" s="58">
        <v>635.15899999999999</v>
      </c>
      <c r="HZ33" s="58">
        <v>188.79300000000001</v>
      </c>
      <c r="IA33" s="58">
        <v>446.36599999999999</v>
      </c>
      <c r="IB33" s="58">
        <v>407.61900000000003</v>
      </c>
      <c r="IC33" s="58">
        <v>251.685</v>
      </c>
      <c r="ID33" s="58">
        <v>155.934</v>
      </c>
      <c r="IE33" s="58">
        <v>67.397000000000006</v>
      </c>
      <c r="IF33" s="58">
        <v>43.472000000000001</v>
      </c>
      <c r="IG33" s="58">
        <v>23.925000000000001</v>
      </c>
      <c r="IH33" s="58">
        <v>33.378</v>
      </c>
      <c r="II33" s="58">
        <v>26.63</v>
      </c>
      <c r="IJ33" s="58">
        <v>6.7480000000000002</v>
      </c>
      <c r="IK33" s="58">
        <v>14.191000000000001</v>
      </c>
      <c r="IL33" s="58">
        <v>11.029</v>
      </c>
      <c r="IM33" s="58">
        <v>3.1629999999999998</v>
      </c>
      <c r="IN33" s="58">
        <v>19.187000000000001</v>
      </c>
      <c r="IO33" s="58">
        <v>15.601000000000001</v>
      </c>
      <c r="IP33" s="58">
        <v>3.5859999999999999</v>
      </c>
      <c r="IQ33" s="58">
        <v>34.018999999999998</v>
      </c>
    </row>
    <row r="34" spans="1:251">
      <c r="A34" s="5">
        <v>42522</v>
      </c>
      <c r="B34" s="58">
        <v>11991.257</v>
      </c>
      <c r="C34" s="58">
        <v>6406.05</v>
      </c>
      <c r="D34" s="58">
        <v>5585.2070000000003</v>
      </c>
      <c r="E34" s="58">
        <v>8189.7650000000003</v>
      </c>
      <c r="F34" s="58">
        <v>5208.4120000000003</v>
      </c>
      <c r="G34" s="58">
        <v>2981.3530000000001</v>
      </c>
      <c r="H34" s="58">
        <v>3801.4920000000002</v>
      </c>
      <c r="I34" s="58">
        <v>1197.6379999999999</v>
      </c>
      <c r="J34" s="58">
        <v>2603.8539999999998</v>
      </c>
      <c r="K34" s="58">
        <v>1886.2619999999999</v>
      </c>
      <c r="L34" s="58">
        <v>1013.5839999999999</v>
      </c>
      <c r="M34" s="58">
        <v>872.678</v>
      </c>
      <c r="N34" s="58">
        <v>384.17099999999999</v>
      </c>
      <c r="O34" s="58">
        <v>225.78</v>
      </c>
      <c r="P34" s="58">
        <v>158.392</v>
      </c>
      <c r="Q34" s="58">
        <v>156.726</v>
      </c>
      <c r="R34" s="58">
        <v>117.66800000000001</v>
      </c>
      <c r="S34" s="58">
        <v>39.058</v>
      </c>
      <c r="T34" s="58">
        <v>79.31</v>
      </c>
      <c r="U34" s="58">
        <v>58.444000000000003</v>
      </c>
      <c r="V34" s="58">
        <v>20.866</v>
      </c>
      <c r="W34" s="58">
        <v>77.415999999999997</v>
      </c>
      <c r="X34" s="58">
        <v>59.223999999999997</v>
      </c>
      <c r="Y34" s="58">
        <v>18.192</v>
      </c>
      <c r="Z34" s="58">
        <v>227.446</v>
      </c>
      <c r="AA34" s="58">
        <v>108.11199999999999</v>
      </c>
      <c r="AB34" s="58">
        <v>119.334</v>
      </c>
      <c r="AC34" s="58">
        <v>1673.03</v>
      </c>
      <c r="AD34" s="58">
        <v>889.33100000000002</v>
      </c>
      <c r="AE34" s="58">
        <v>783.69899999999996</v>
      </c>
      <c r="AF34" s="58">
        <v>637.93399999999997</v>
      </c>
      <c r="AG34" s="58">
        <v>478.16800000000001</v>
      </c>
      <c r="AH34" s="58">
        <v>159.76599999999999</v>
      </c>
      <c r="AI34" s="58">
        <v>1035.096</v>
      </c>
      <c r="AJ34" s="58">
        <v>411.16300000000001</v>
      </c>
      <c r="AK34" s="58">
        <v>623.93399999999997</v>
      </c>
      <c r="AL34" s="58">
        <v>748.43399999999997</v>
      </c>
      <c r="AM34" s="58">
        <v>562.28599999999994</v>
      </c>
      <c r="AN34" s="58">
        <v>186.148</v>
      </c>
      <c r="AO34" s="58">
        <v>1137.828</v>
      </c>
      <c r="AP34" s="58">
        <v>451.298</v>
      </c>
      <c r="AQ34" s="58">
        <v>686.53</v>
      </c>
      <c r="AR34" s="58">
        <v>1114.4059999999999</v>
      </c>
      <c r="AS34" s="58">
        <v>469.60700000000003</v>
      </c>
      <c r="AT34" s="58">
        <v>644.79999999999995</v>
      </c>
      <c r="AU34" s="58">
        <v>11526.885</v>
      </c>
      <c r="AV34" s="58">
        <v>6119.652</v>
      </c>
      <c r="AW34" s="58">
        <v>5407.2330000000002</v>
      </c>
      <c r="AX34" s="58">
        <v>7997.7449999999999</v>
      </c>
      <c r="AY34" s="58">
        <v>5058.7820000000002</v>
      </c>
      <c r="AZ34" s="58">
        <v>2938.9630000000002</v>
      </c>
      <c r="BA34" s="58">
        <v>3529.1390000000001</v>
      </c>
      <c r="BB34" s="58">
        <v>1060.8699999999999</v>
      </c>
      <c r="BC34" s="58">
        <v>2468.2689999999998</v>
      </c>
      <c r="BD34" s="58">
        <v>1837.588</v>
      </c>
      <c r="BE34" s="58">
        <v>983.21199999999999</v>
      </c>
      <c r="BF34" s="58">
        <v>854.37699999999995</v>
      </c>
      <c r="BG34" s="58">
        <v>365.64</v>
      </c>
      <c r="BH34" s="58">
        <v>212.84899999999999</v>
      </c>
      <c r="BI34" s="58">
        <v>152.791</v>
      </c>
      <c r="BJ34" s="58">
        <v>154.06100000000001</v>
      </c>
      <c r="BK34" s="58">
        <v>115.363</v>
      </c>
      <c r="BL34" s="58">
        <v>38.698</v>
      </c>
      <c r="BM34" s="58">
        <v>77.418999999999997</v>
      </c>
      <c r="BN34" s="58">
        <v>56.774000000000001</v>
      </c>
      <c r="BO34" s="58">
        <v>20.645</v>
      </c>
      <c r="BP34" s="58">
        <v>76.641999999999996</v>
      </c>
      <c r="BQ34" s="58">
        <v>58.588999999999999</v>
      </c>
      <c r="BR34" s="58">
        <v>18.053000000000001</v>
      </c>
      <c r="BS34" s="58">
        <v>211.57900000000001</v>
      </c>
      <c r="BT34" s="58">
        <v>97.486000000000004</v>
      </c>
      <c r="BU34" s="58">
        <v>114.093</v>
      </c>
      <c r="BV34" s="58">
        <v>1639.229</v>
      </c>
      <c r="BW34" s="58">
        <v>868.81500000000005</v>
      </c>
      <c r="BX34" s="58">
        <v>770.41399999999999</v>
      </c>
      <c r="BY34" s="58">
        <v>632.56600000000003</v>
      </c>
      <c r="BZ34" s="58">
        <v>473.40499999999997</v>
      </c>
      <c r="CA34" s="58">
        <v>159.16200000000001</v>
      </c>
      <c r="CB34" s="58">
        <v>1006.663</v>
      </c>
      <c r="CC34" s="58">
        <v>395.411</v>
      </c>
      <c r="CD34" s="58">
        <v>611.25199999999995</v>
      </c>
      <c r="CE34" s="58">
        <v>741.154</v>
      </c>
      <c r="CF34" s="58">
        <v>555.74900000000002</v>
      </c>
      <c r="CG34" s="58">
        <v>185.405</v>
      </c>
      <c r="CH34" s="58">
        <v>1096.4349999999999</v>
      </c>
      <c r="CI34" s="58">
        <v>427.46300000000002</v>
      </c>
      <c r="CJ34" s="58">
        <v>668.97199999999998</v>
      </c>
      <c r="CK34" s="58">
        <v>1084.0820000000001</v>
      </c>
      <c r="CL34" s="58">
        <v>452.185</v>
      </c>
      <c r="CM34" s="58">
        <v>631.89700000000005</v>
      </c>
      <c r="CN34" s="58">
        <v>1841.2860000000001</v>
      </c>
      <c r="CO34" s="58">
        <v>924.91</v>
      </c>
      <c r="CP34" s="58">
        <v>916.37599999999998</v>
      </c>
      <c r="CQ34" s="58">
        <v>845.34199999999998</v>
      </c>
      <c r="CR34" s="58">
        <v>490.67200000000003</v>
      </c>
      <c r="CS34" s="58">
        <v>354.67</v>
      </c>
      <c r="CT34" s="58">
        <v>995.94399999999996</v>
      </c>
      <c r="CU34" s="58">
        <v>434.238</v>
      </c>
      <c r="CV34" s="58">
        <v>561.70600000000002</v>
      </c>
      <c r="CW34" s="58">
        <v>489.87</v>
      </c>
      <c r="CX34" s="58">
        <v>248.22200000000001</v>
      </c>
      <c r="CY34" s="58">
        <v>241.64699999999999</v>
      </c>
      <c r="CZ34" s="58">
        <v>98.394999999999996</v>
      </c>
      <c r="DA34" s="58">
        <v>53.648000000000003</v>
      </c>
      <c r="DB34" s="58">
        <v>44.746000000000002</v>
      </c>
      <c r="DC34" s="58">
        <v>22.593</v>
      </c>
      <c r="DD34" s="58">
        <v>16.341999999999999</v>
      </c>
      <c r="DE34" s="58">
        <v>6.2510000000000003</v>
      </c>
      <c r="DF34" s="58">
        <v>14.372999999999999</v>
      </c>
      <c r="DG34" s="58">
        <v>10.055</v>
      </c>
      <c r="DH34" s="58">
        <v>4.319</v>
      </c>
      <c r="DI34" s="58">
        <v>8.2200000000000006</v>
      </c>
      <c r="DJ34" s="58">
        <v>6.2869999999999999</v>
      </c>
      <c r="DK34" s="58">
        <v>1.9330000000000001</v>
      </c>
      <c r="DL34" s="58">
        <v>75.802000000000007</v>
      </c>
      <c r="DM34" s="58">
        <v>37.307000000000002</v>
      </c>
      <c r="DN34" s="58">
        <v>38.494999999999997</v>
      </c>
      <c r="DO34" s="58">
        <v>449.65199999999999</v>
      </c>
      <c r="DP34" s="58">
        <v>229.239</v>
      </c>
      <c r="DQ34" s="58">
        <v>220.41200000000001</v>
      </c>
      <c r="DR34" s="58">
        <v>104.898</v>
      </c>
      <c r="DS34" s="58">
        <v>67.382999999999996</v>
      </c>
      <c r="DT34" s="58">
        <v>37.515000000000001</v>
      </c>
      <c r="DU34" s="58">
        <v>344.75400000000002</v>
      </c>
      <c r="DV34" s="58">
        <v>161.85599999999999</v>
      </c>
      <c r="DW34" s="58">
        <v>182.89699999999999</v>
      </c>
      <c r="DX34" s="58">
        <v>116.167</v>
      </c>
      <c r="DY34" s="58">
        <v>75.555000000000007</v>
      </c>
      <c r="DZ34" s="58">
        <v>40.612000000000002</v>
      </c>
      <c r="EA34" s="58">
        <v>373.702</v>
      </c>
      <c r="EB34" s="58">
        <v>172.66800000000001</v>
      </c>
      <c r="EC34" s="58">
        <v>201.035</v>
      </c>
      <c r="ED34" s="58">
        <v>359.12700000000001</v>
      </c>
      <c r="EE34" s="58">
        <v>171.911</v>
      </c>
      <c r="EF34" s="58">
        <v>187.21600000000001</v>
      </c>
      <c r="EG34" s="58">
        <v>646.64599999999996</v>
      </c>
      <c r="EH34" s="58">
        <v>307.233</v>
      </c>
      <c r="EI34" s="58">
        <v>339.41300000000001</v>
      </c>
      <c r="EJ34" s="58">
        <v>138.16399999999999</v>
      </c>
      <c r="EK34" s="58">
        <v>88.572999999999993</v>
      </c>
      <c r="EL34" s="58">
        <v>49.591000000000001</v>
      </c>
      <c r="EM34" s="58">
        <v>508.48200000000003</v>
      </c>
      <c r="EN34" s="58">
        <v>218.66</v>
      </c>
      <c r="EO34" s="58">
        <v>289.822</v>
      </c>
      <c r="EP34" s="58">
        <v>202.31100000000001</v>
      </c>
      <c r="EQ34" s="58">
        <v>98.933000000000007</v>
      </c>
      <c r="ER34" s="58">
        <v>103.379</v>
      </c>
      <c r="ES34" s="58">
        <v>51.44</v>
      </c>
      <c r="ET34" s="58">
        <v>24.385000000000002</v>
      </c>
      <c r="EU34" s="58">
        <v>27.055</v>
      </c>
      <c r="EV34" s="58">
        <v>6.8620000000000001</v>
      </c>
      <c r="EW34" s="58">
        <v>3.97</v>
      </c>
      <c r="EX34" s="58">
        <v>2.8919999999999999</v>
      </c>
      <c r="EY34" s="58">
        <v>5.1050000000000004</v>
      </c>
      <c r="EZ34" s="58">
        <v>2.702</v>
      </c>
      <c r="FA34" s="58">
        <v>2.4039999999999999</v>
      </c>
      <c r="FB34" s="58">
        <v>1.756</v>
      </c>
      <c r="FC34" s="58">
        <v>1.268</v>
      </c>
      <c r="FD34" s="58">
        <v>0.48799999999999999</v>
      </c>
      <c r="FE34" s="58">
        <v>44.578000000000003</v>
      </c>
      <c r="FF34" s="58">
        <v>20.414999999999999</v>
      </c>
      <c r="FG34" s="58">
        <v>24.163</v>
      </c>
      <c r="FH34" s="58">
        <v>179.99100000000001</v>
      </c>
      <c r="FI34" s="58">
        <v>89.813000000000002</v>
      </c>
      <c r="FJ34" s="58">
        <v>90.177000000000007</v>
      </c>
      <c r="FK34" s="58">
        <v>17.452000000000002</v>
      </c>
      <c r="FL34" s="58">
        <v>14.132999999999999</v>
      </c>
      <c r="FM34" s="58">
        <v>3.319</v>
      </c>
      <c r="FN34" s="58">
        <v>162.53899999999999</v>
      </c>
      <c r="FO34" s="58">
        <v>75.680000000000007</v>
      </c>
      <c r="FP34" s="58">
        <v>86.858000000000004</v>
      </c>
      <c r="FQ34" s="58">
        <v>21.018000000000001</v>
      </c>
      <c r="FR34" s="58">
        <v>15.282999999999999</v>
      </c>
      <c r="FS34" s="58">
        <v>5.734</v>
      </c>
      <c r="FT34" s="58">
        <v>181.29400000000001</v>
      </c>
      <c r="FU34" s="58">
        <v>83.649000000000001</v>
      </c>
      <c r="FV34" s="58">
        <v>97.644000000000005</v>
      </c>
      <c r="FW34" s="58">
        <v>167.64400000000001</v>
      </c>
      <c r="FX34" s="58">
        <v>78.382000000000005</v>
      </c>
      <c r="FY34" s="58">
        <v>89.262</v>
      </c>
      <c r="FZ34" s="58">
        <v>1194.6400000000001</v>
      </c>
      <c r="GA34" s="58">
        <v>617.67700000000002</v>
      </c>
      <c r="GB34" s="58">
        <v>576.96299999999997</v>
      </c>
      <c r="GC34" s="58">
        <v>707.178</v>
      </c>
      <c r="GD34" s="58">
        <v>402.09899999999999</v>
      </c>
      <c r="GE34" s="58">
        <v>305.07900000000001</v>
      </c>
      <c r="GF34" s="58">
        <v>487.46199999999999</v>
      </c>
      <c r="GG34" s="58">
        <v>215.578</v>
      </c>
      <c r="GH34" s="58">
        <v>271.88400000000001</v>
      </c>
      <c r="GI34" s="58">
        <v>287.55799999999999</v>
      </c>
      <c r="GJ34" s="58">
        <v>149.29</v>
      </c>
      <c r="GK34" s="58">
        <v>138.268</v>
      </c>
      <c r="GL34" s="58">
        <v>46.954999999999998</v>
      </c>
      <c r="GM34" s="58">
        <v>29.263999999999999</v>
      </c>
      <c r="GN34" s="58">
        <v>17.690999999999999</v>
      </c>
      <c r="GO34" s="58">
        <v>15.731999999999999</v>
      </c>
      <c r="GP34" s="58">
        <v>12.372</v>
      </c>
      <c r="GQ34" s="58">
        <v>3.359</v>
      </c>
      <c r="GR34" s="58">
        <v>9.2680000000000007</v>
      </c>
      <c r="GS34" s="58">
        <v>7.3529999999999998</v>
      </c>
      <c r="GT34" s="58">
        <v>1.915</v>
      </c>
      <c r="GU34" s="58">
        <v>6.4640000000000004</v>
      </c>
      <c r="GV34" s="58">
        <v>5.0190000000000001</v>
      </c>
      <c r="GW34" s="58">
        <v>1.4450000000000001</v>
      </c>
      <c r="GX34" s="58">
        <v>31.222999999999999</v>
      </c>
      <c r="GY34" s="58">
        <v>16.891999999999999</v>
      </c>
      <c r="GZ34" s="58">
        <v>14.332000000000001</v>
      </c>
      <c r="HA34" s="58">
        <v>269.661</v>
      </c>
      <c r="HB34" s="58">
        <v>139.42599999999999</v>
      </c>
      <c r="HC34" s="58">
        <v>130.23500000000001</v>
      </c>
      <c r="HD34" s="58">
        <v>87.445999999999998</v>
      </c>
      <c r="HE34" s="58">
        <v>53.25</v>
      </c>
      <c r="HF34" s="58">
        <v>34.195999999999998</v>
      </c>
      <c r="HG34" s="58">
        <v>182.215</v>
      </c>
      <c r="HH34" s="58">
        <v>86.176000000000002</v>
      </c>
      <c r="HI34" s="58">
        <v>96.039000000000001</v>
      </c>
      <c r="HJ34" s="58">
        <v>95.15</v>
      </c>
      <c r="HK34" s="58">
        <v>60.271999999999998</v>
      </c>
      <c r="HL34" s="58">
        <v>34.878</v>
      </c>
      <c r="HM34" s="58">
        <v>192.40799999999999</v>
      </c>
      <c r="HN34" s="58">
        <v>89.018000000000001</v>
      </c>
      <c r="HO34" s="58">
        <v>103.39</v>
      </c>
      <c r="HP34" s="58">
        <v>191.483</v>
      </c>
      <c r="HQ34" s="58">
        <v>93.528999999999996</v>
      </c>
      <c r="HR34" s="58">
        <v>97.953999999999994</v>
      </c>
      <c r="HS34" s="58">
        <v>2840.6390000000001</v>
      </c>
      <c r="HT34" s="58">
        <v>1554.866</v>
      </c>
      <c r="HU34" s="58">
        <v>1285.7729999999999</v>
      </c>
      <c r="HV34" s="58">
        <v>2198.252</v>
      </c>
      <c r="HW34" s="58">
        <v>1363.463</v>
      </c>
      <c r="HX34" s="58">
        <v>834.78899999999999</v>
      </c>
      <c r="HY34" s="58">
        <v>642.38699999999994</v>
      </c>
      <c r="HZ34" s="58">
        <v>191.404</v>
      </c>
      <c r="IA34" s="58">
        <v>450.98399999999998</v>
      </c>
      <c r="IB34" s="58">
        <v>446.89699999999999</v>
      </c>
      <c r="IC34" s="58">
        <v>273.447</v>
      </c>
      <c r="ID34" s="58">
        <v>173.45</v>
      </c>
      <c r="IE34" s="58">
        <v>68.738</v>
      </c>
      <c r="IF34" s="58">
        <v>44.802999999999997</v>
      </c>
      <c r="IG34" s="58">
        <v>23.934000000000001</v>
      </c>
      <c r="IH34" s="58">
        <v>35.457000000000001</v>
      </c>
      <c r="II34" s="58">
        <v>25.561</v>
      </c>
      <c r="IJ34" s="58">
        <v>9.8960000000000008</v>
      </c>
      <c r="IK34" s="58">
        <v>20.111000000000001</v>
      </c>
      <c r="IL34" s="58">
        <v>13.778</v>
      </c>
      <c r="IM34" s="58">
        <v>6.3319999999999999</v>
      </c>
      <c r="IN34" s="58">
        <v>15.347</v>
      </c>
      <c r="IO34" s="58">
        <v>11.782999999999999</v>
      </c>
      <c r="IP34" s="58">
        <v>3.5640000000000001</v>
      </c>
      <c r="IQ34" s="58">
        <v>33.28</v>
      </c>
    </row>
    <row r="35" spans="1:251">
      <c r="A35" s="5">
        <v>42552</v>
      </c>
      <c r="B35" s="58">
        <v>11995.289000000001</v>
      </c>
      <c r="C35" s="58">
        <v>6412.34</v>
      </c>
      <c r="D35" s="58">
        <v>5582.9489999999996</v>
      </c>
      <c r="E35" s="58">
        <v>8192.8799999999992</v>
      </c>
      <c r="F35" s="58">
        <v>5203.7619999999997</v>
      </c>
      <c r="G35" s="58">
        <v>2989.1179999999999</v>
      </c>
      <c r="H35" s="58">
        <v>3802.4090000000001</v>
      </c>
      <c r="I35" s="58">
        <v>1208.578</v>
      </c>
      <c r="J35" s="58">
        <v>2593.8310000000001</v>
      </c>
      <c r="K35" s="58">
        <v>1895.8050000000001</v>
      </c>
      <c r="L35" s="58">
        <v>1009.4640000000001</v>
      </c>
      <c r="M35" s="58">
        <v>886.34199999999998</v>
      </c>
      <c r="N35" s="58">
        <v>370.32299999999998</v>
      </c>
      <c r="O35" s="58">
        <v>218.148</v>
      </c>
      <c r="P35" s="58">
        <v>152.17500000000001</v>
      </c>
      <c r="Q35" s="58">
        <v>159.517</v>
      </c>
      <c r="R35" s="58">
        <v>122.059</v>
      </c>
      <c r="S35" s="58">
        <v>37.457999999999998</v>
      </c>
      <c r="T35" s="58">
        <v>84.959000000000003</v>
      </c>
      <c r="U35" s="58">
        <v>63.814999999999998</v>
      </c>
      <c r="V35" s="58">
        <v>21.143999999999998</v>
      </c>
      <c r="W35" s="58">
        <v>74.558000000000007</v>
      </c>
      <c r="X35" s="58">
        <v>58.244</v>
      </c>
      <c r="Y35" s="58">
        <v>16.314</v>
      </c>
      <c r="Z35" s="58">
        <v>210.80600000000001</v>
      </c>
      <c r="AA35" s="58">
        <v>96.088999999999999</v>
      </c>
      <c r="AB35" s="58">
        <v>114.717</v>
      </c>
      <c r="AC35" s="58">
        <v>1685.325</v>
      </c>
      <c r="AD35" s="58">
        <v>879.92899999999997</v>
      </c>
      <c r="AE35" s="58">
        <v>805.39599999999996</v>
      </c>
      <c r="AF35" s="58">
        <v>634.779</v>
      </c>
      <c r="AG35" s="58">
        <v>467.81799999999998</v>
      </c>
      <c r="AH35" s="58">
        <v>166.96199999999999</v>
      </c>
      <c r="AI35" s="58">
        <v>1050.546</v>
      </c>
      <c r="AJ35" s="58">
        <v>412.11099999999999</v>
      </c>
      <c r="AK35" s="58">
        <v>638.43399999999997</v>
      </c>
      <c r="AL35" s="58">
        <v>752.803</v>
      </c>
      <c r="AM35" s="58">
        <v>557.48400000000004</v>
      </c>
      <c r="AN35" s="58">
        <v>195.32</v>
      </c>
      <c r="AO35" s="58">
        <v>1143.002</v>
      </c>
      <c r="AP35" s="58">
        <v>451.98</v>
      </c>
      <c r="AQ35" s="58">
        <v>691.02200000000005</v>
      </c>
      <c r="AR35" s="58">
        <v>1135.5050000000001</v>
      </c>
      <c r="AS35" s="58">
        <v>475.92700000000002</v>
      </c>
      <c r="AT35" s="58">
        <v>659.57799999999997</v>
      </c>
      <c r="AU35" s="58">
        <v>11524.12</v>
      </c>
      <c r="AV35" s="58">
        <v>6124.7120000000004</v>
      </c>
      <c r="AW35" s="58">
        <v>5399.4080000000004</v>
      </c>
      <c r="AX35" s="58">
        <v>7993.8630000000003</v>
      </c>
      <c r="AY35" s="58">
        <v>5052.4840000000004</v>
      </c>
      <c r="AZ35" s="58">
        <v>2941.38</v>
      </c>
      <c r="BA35" s="58">
        <v>3530.2570000000001</v>
      </c>
      <c r="BB35" s="58">
        <v>1072.2280000000001</v>
      </c>
      <c r="BC35" s="58">
        <v>2458.0279999999998</v>
      </c>
      <c r="BD35" s="58">
        <v>1843.104</v>
      </c>
      <c r="BE35" s="58">
        <v>972.03800000000001</v>
      </c>
      <c r="BF35" s="58">
        <v>871.06600000000003</v>
      </c>
      <c r="BG35" s="58">
        <v>346.58699999999999</v>
      </c>
      <c r="BH35" s="58">
        <v>202.49199999999999</v>
      </c>
      <c r="BI35" s="58">
        <v>144.095</v>
      </c>
      <c r="BJ35" s="58">
        <v>153.49299999999999</v>
      </c>
      <c r="BK35" s="58">
        <v>118.066</v>
      </c>
      <c r="BL35" s="58">
        <v>35.426000000000002</v>
      </c>
      <c r="BM35" s="58">
        <v>81.043999999999997</v>
      </c>
      <c r="BN35" s="58">
        <v>60.777999999999999</v>
      </c>
      <c r="BO35" s="58">
        <v>20.265999999999998</v>
      </c>
      <c r="BP35" s="58">
        <v>72.447999999999993</v>
      </c>
      <c r="BQ35" s="58">
        <v>57.287999999999997</v>
      </c>
      <c r="BR35" s="58">
        <v>15.16</v>
      </c>
      <c r="BS35" s="58">
        <v>193.095</v>
      </c>
      <c r="BT35" s="58">
        <v>84.426000000000002</v>
      </c>
      <c r="BU35" s="58">
        <v>108.669</v>
      </c>
      <c r="BV35" s="58">
        <v>1650.4559999999999</v>
      </c>
      <c r="BW35" s="58">
        <v>853.62900000000002</v>
      </c>
      <c r="BX35" s="58">
        <v>796.827</v>
      </c>
      <c r="BY35" s="58">
        <v>626.971</v>
      </c>
      <c r="BZ35" s="58">
        <v>460.66800000000001</v>
      </c>
      <c r="CA35" s="58">
        <v>166.303</v>
      </c>
      <c r="CB35" s="58">
        <v>1023.485</v>
      </c>
      <c r="CC35" s="58">
        <v>392.96100000000001</v>
      </c>
      <c r="CD35" s="58">
        <v>630.524</v>
      </c>
      <c r="CE35" s="58">
        <v>740.18600000000004</v>
      </c>
      <c r="CF35" s="58">
        <v>547.55600000000004</v>
      </c>
      <c r="CG35" s="58">
        <v>192.63</v>
      </c>
      <c r="CH35" s="58">
        <v>1102.9179999999999</v>
      </c>
      <c r="CI35" s="58">
        <v>424.48200000000003</v>
      </c>
      <c r="CJ35" s="58">
        <v>678.43700000000001</v>
      </c>
      <c r="CK35" s="58">
        <v>1104.529</v>
      </c>
      <c r="CL35" s="58">
        <v>453.73899999999998</v>
      </c>
      <c r="CM35" s="58">
        <v>650.79</v>
      </c>
      <c r="CN35" s="58">
        <v>1841.482</v>
      </c>
      <c r="CO35" s="58">
        <v>937.56600000000003</v>
      </c>
      <c r="CP35" s="58">
        <v>903.91600000000005</v>
      </c>
      <c r="CQ35" s="58">
        <v>852.68600000000004</v>
      </c>
      <c r="CR35" s="58">
        <v>496.61900000000003</v>
      </c>
      <c r="CS35" s="58">
        <v>356.06700000000001</v>
      </c>
      <c r="CT35" s="58">
        <v>988.79600000000005</v>
      </c>
      <c r="CU35" s="58">
        <v>440.947</v>
      </c>
      <c r="CV35" s="58">
        <v>547.84900000000005</v>
      </c>
      <c r="CW35" s="58">
        <v>489.06700000000001</v>
      </c>
      <c r="CX35" s="58">
        <v>245.93</v>
      </c>
      <c r="CY35" s="58">
        <v>243.136</v>
      </c>
      <c r="CZ35" s="58">
        <v>80.11</v>
      </c>
      <c r="DA35" s="58">
        <v>41.482999999999997</v>
      </c>
      <c r="DB35" s="58">
        <v>38.627000000000002</v>
      </c>
      <c r="DC35" s="58">
        <v>17.501999999999999</v>
      </c>
      <c r="DD35" s="58">
        <v>13.837999999999999</v>
      </c>
      <c r="DE35" s="58">
        <v>3.6640000000000001</v>
      </c>
      <c r="DF35" s="58">
        <v>10.798</v>
      </c>
      <c r="DG35" s="58">
        <v>8.7829999999999995</v>
      </c>
      <c r="DH35" s="58">
        <v>2.0150000000000001</v>
      </c>
      <c r="DI35" s="58">
        <v>6.7039999999999997</v>
      </c>
      <c r="DJ35" s="58">
        <v>5.0549999999999997</v>
      </c>
      <c r="DK35" s="58">
        <v>1.649</v>
      </c>
      <c r="DL35" s="58">
        <v>62.607999999999997</v>
      </c>
      <c r="DM35" s="58">
        <v>27.645</v>
      </c>
      <c r="DN35" s="58">
        <v>34.963000000000001</v>
      </c>
      <c r="DO35" s="58">
        <v>455.64100000000002</v>
      </c>
      <c r="DP35" s="58">
        <v>226.46799999999999</v>
      </c>
      <c r="DQ35" s="58">
        <v>229.17400000000001</v>
      </c>
      <c r="DR35" s="58">
        <v>103.223</v>
      </c>
      <c r="DS35" s="58">
        <v>69.228999999999999</v>
      </c>
      <c r="DT35" s="58">
        <v>33.994</v>
      </c>
      <c r="DU35" s="58">
        <v>352.41899999999998</v>
      </c>
      <c r="DV35" s="58">
        <v>157.239</v>
      </c>
      <c r="DW35" s="58">
        <v>195.18</v>
      </c>
      <c r="DX35" s="58">
        <v>116.262</v>
      </c>
      <c r="DY35" s="58">
        <v>78.734999999999999</v>
      </c>
      <c r="DZ35" s="58">
        <v>37.527000000000001</v>
      </c>
      <c r="EA35" s="58">
        <v>372.80399999999997</v>
      </c>
      <c r="EB35" s="58">
        <v>167.19499999999999</v>
      </c>
      <c r="EC35" s="58">
        <v>205.60900000000001</v>
      </c>
      <c r="ED35" s="58">
        <v>363.21699999999998</v>
      </c>
      <c r="EE35" s="58">
        <v>166.02099999999999</v>
      </c>
      <c r="EF35" s="58">
        <v>197.19499999999999</v>
      </c>
      <c r="EG35" s="58">
        <v>649.53</v>
      </c>
      <c r="EH35" s="58">
        <v>313.09899999999999</v>
      </c>
      <c r="EI35" s="58">
        <v>336.43099999999998</v>
      </c>
      <c r="EJ35" s="58">
        <v>148.16399999999999</v>
      </c>
      <c r="EK35" s="58">
        <v>97.308999999999997</v>
      </c>
      <c r="EL35" s="58">
        <v>50.854999999999997</v>
      </c>
      <c r="EM35" s="58">
        <v>501.36599999999999</v>
      </c>
      <c r="EN35" s="58">
        <v>215.79</v>
      </c>
      <c r="EO35" s="58">
        <v>285.57600000000002</v>
      </c>
      <c r="EP35" s="58">
        <v>211.78200000000001</v>
      </c>
      <c r="EQ35" s="58">
        <v>97.361999999999995</v>
      </c>
      <c r="ER35" s="58">
        <v>114.42</v>
      </c>
      <c r="ES35" s="58">
        <v>37.109000000000002</v>
      </c>
      <c r="ET35" s="58">
        <v>18.712</v>
      </c>
      <c r="EU35" s="58">
        <v>18.396999999999998</v>
      </c>
      <c r="EV35" s="58">
        <v>3.9489999999999998</v>
      </c>
      <c r="EW35" s="58">
        <v>2.6320000000000001</v>
      </c>
      <c r="EX35" s="58">
        <v>1.3169999999999999</v>
      </c>
      <c r="EY35" s="58">
        <v>1.7929999999999999</v>
      </c>
      <c r="EZ35" s="58">
        <v>1.028</v>
      </c>
      <c r="FA35" s="58">
        <v>0.76500000000000001</v>
      </c>
      <c r="FB35" s="58">
        <v>2.1560000000000001</v>
      </c>
      <c r="FC35" s="58">
        <v>1.6040000000000001</v>
      </c>
      <c r="FD35" s="58">
        <v>0.55200000000000005</v>
      </c>
      <c r="FE35" s="58">
        <v>33.159999999999997</v>
      </c>
      <c r="FF35" s="58">
        <v>16.079999999999998</v>
      </c>
      <c r="FG35" s="58">
        <v>17.079999999999998</v>
      </c>
      <c r="FH35" s="58">
        <v>197.98099999999999</v>
      </c>
      <c r="FI35" s="58">
        <v>89.6</v>
      </c>
      <c r="FJ35" s="58">
        <v>108.381</v>
      </c>
      <c r="FK35" s="58">
        <v>25.093</v>
      </c>
      <c r="FL35" s="58">
        <v>16.145</v>
      </c>
      <c r="FM35" s="58">
        <v>8.9480000000000004</v>
      </c>
      <c r="FN35" s="58">
        <v>172.88800000000001</v>
      </c>
      <c r="FO35" s="58">
        <v>73.454999999999998</v>
      </c>
      <c r="FP35" s="58">
        <v>99.433000000000007</v>
      </c>
      <c r="FQ35" s="58">
        <v>28.318999999999999</v>
      </c>
      <c r="FR35" s="58">
        <v>18.053000000000001</v>
      </c>
      <c r="FS35" s="58">
        <v>10.265000000000001</v>
      </c>
      <c r="FT35" s="58">
        <v>183.46299999999999</v>
      </c>
      <c r="FU35" s="58">
        <v>79.308000000000007</v>
      </c>
      <c r="FV35" s="58">
        <v>104.155</v>
      </c>
      <c r="FW35" s="58">
        <v>174.68100000000001</v>
      </c>
      <c r="FX35" s="58">
        <v>74.483000000000004</v>
      </c>
      <c r="FY35" s="58">
        <v>100.19799999999999</v>
      </c>
      <c r="FZ35" s="58">
        <v>1191.952</v>
      </c>
      <c r="GA35" s="58">
        <v>624.46699999999998</v>
      </c>
      <c r="GB35" s="58">
        <v>567.48500000000001</v>
      </c>
      <c r="GC35" s="58">
        <v>704.52200000000005</v>
      </c>
      <c r="GD35" s="58">
        <v>399.30900000000003</v>
      </c>
      <c r="GE35" s="58">
        <v>305.21199999999999</v>
      </c>
      <c r="GF35" s="58">
        <v>487.43</v>
      </c>
      <c r="GG35" s="58">
        <v>225.15700000000001</v>
      </c>
      <c r="GH35" s="58">
        <v>262.27300000000002</v>
      </c>
      <c r="GI35" s="58">
        <v>277.28500000000003</v>
      </c>
      <c r="GJ35" s="58">
        <v>148.56899999999999</v>
      </c>
      <c r="GK35" s="58">
        <v>128.71600000000001</v>
      </c>
      <c r="GL35" s="58">
        <v>43.000999999999998</v>
      </c>
      <c r="GM35" s="58">
        <v>22.771000000000001</v>
      </c>
      <c r="GN35" s="58">
        <v>20.23</v>
      </c>
      <c r="GO35" s="58">
        <v>13.553000000000001</v>
      </c>
      <c r="GP35" s="58">
        <v>11.206</v>
      </c>
      <c r="GQ35" s="58">
        <v>2.347</v>
      </c>
      <c r="GR35" s="58">
        <v>9.0050000000000008</v>
      </c>
      <c r="GS35" s="58">
        <v>7.7549999999999999</v>
      </c>
      <c r="GT35" s="58">
        <v>1.2509999999999999</v>
      </c>
      <c r="GU35" s="58">
        <v>4.548</v>
      </c>
      <c r="GV35" s="58">
        <v>3.4510000000000001</v>
      </c>
      <c r="GW35" s="58">
        <v>1.097</v>
      </c>
      <c r="GX35" s="58">
        <v>29.448</v>
      </c>
      <c r="GY35" s="58">
        <v>11.565</v>
      </c>
      <c r="GZ35" s="58">
        <v>17.882999999999999</v>
      </c>
      <c r="HA35" s="58">
        <v>257.66000000000003</v>
      </c>
      <c r="HB35" s="58">
        <v>136.86799999999999</v>
      </c>
      <c r="HC35" s="58">
        <v>120.792</v>
      </c>
      <c r="HD35" s="58">
        <v>78.13</v>
      </c>
      <c r="HE35" s="58">
        <v>53.084000000000003</v>
      </c>
      <c r="HF35" s="58">
        <v>25.045000000000002</v>
      </c>
      <c r="HG35" s="58">
        <v>179.53100000000001</v>
      </c>
      <c r="HH35" s="58">
        <v>83.784000000000006</v>
      </c>
      <c r="HI35" s="58">
        <v>95.747</v>
      </c>
      <c r="HJ35" s="58">
        <v>87.944000000000003</v>
      </c>
      <c r="HK35" s="58">
        <v>60.682000000000002</v>
      </c>
      <c r="HL35" s="58">
        <v>27.262</v>
      </c>
      <c r="HM35" s="58">
        <v>189.34100000000001</v>
      </c>
      <c r="HN35" s="58">
        <v>87.887</v>
      </c>
      <c r="HO35" s="58">
        <v>101.455</v>
      </c>
      <c r="HP35" s="58">
        <v>188.536</v>
      </c>
      <c r="HQ35" s="58">
        <v>91.539000000000001</v>
      </c>
      <c r="HR35" s="58">
        <v>96.997</v>
      </c>
      <c r="HS35" s="58">
        <v>2860.9940000000001</v>
      </c>
      <c r="HT35" s="58">
        <v>1558.9349999999999</v>
      </c>
      <c r="HU35" s="58">
        <v>1302.059</v>
      </c>
      <c r="HV35" s="58">
        <v>2217.2829999999999</v>
      </c>
      <c r="HW35" s="58">
        <v>1364.492</v>
      </c>
      <c r="HX35" s="58">
        <v>852.79</v>
      </c>
      <c r="HY35" s="58">
        <v>643.71199999999999</v>
      </c>
      <c r="HZ35" s="58">
        <v>194.44300000000001</v>
      </c>
      <c r="IA35" s="58">
        <v>449.26900000000001</v>
      </c>
      <c r="IB35" s="58">
        <v>442.23899999999998</v>
      </c>
      <c r="IC35" s="58">
        <v>249.892</v>
      </c>
      <c r="ID35" s="58">
        <v>192.34700000000001</v>
      </c>
      <c r="IE35" s="58">
        <v>69.084000000000003</v>
      </c>
      <c r="IF35" s="58">
        <v>43.100999999999999</v>
      </c>
      <c r="IG35" s="58">
        <v>25.983000000000001</v>
      </c>
      <c r="IH35" s="58">
        <v>34.853999999999999</v>
      </c>
      <c r="II35" s="58">
        <v>25.547999999999998</v>
      </c>
      <c r="IJ35" s="58">
        <v>9.3049999999999997</v>
      </c>
      <c r="IK35" s="58">
        <v>17.431999999999999</v>
      </c>
      <c r="IL35" s="58">
        <v>11.757999999999999</v>
      </c>
      <c r="IM35" s="58">
        <v>5.6740000000000004</v>
      </c>
      <c r="IN35" s="58">
        <v>17.422000000000001</v>
      </c>
      <c r="IO35" s="58">
        <v>13.79</v>
      </c>
      <c r="IP35" s="58">
        <v>3.6309999999999998</v>
      </c>
      <c r="IQ35" s="58">
        <v>34.229999999999997</v>
      </c>
    </row>
    <row r="36" spans="1:251">
      <c r="A36" s="5">
        <v>42583</v>
      </c>
      <c r="B36" s="58">
        <v>11904.709000000001</v>
      </c>
      <c r="C36" s="58">
        <v>6365.5050000000001</v>
      </c>
      <c r="D36" s="58">
        <v>5539.2039999999997</v>
      </c>
      <c r="E36" s="58">
        <v>8104.7719999999999</v>
      </c>
      <c r="F36" s="58">
        <v>5164.6120000000001</v>
      </c>
      <c r="G36" s="58">
        <v>2940.16</v>
      </c>
      <c r="H36" s="58">
        <v>3799.9369999999999</v>
      </c>
      <c r="I36" s="58">
        <v>1200.893</v>
      </c>
      <c r="J36" s="58">
        <v>2599.0439999999999</v>
      </c>
      <c r="K36" s="58">
        <v>1824.826</v>
      </c>
      <c r="L36" s="58">
        <v>993.2</v>
      </c>
      <c r="M36" s="58">
        <v>831.62599999999998</v>
      </c>
      <c r="N36" s="58">
        <v>343.82600000000002</v>
      </c>
      <c r="O36" s="58">
        <v>204.667</v>
      </c>
      <c r="P36" s="58">
        <v>139.15899999999999</v>
      </c>
      <c r="Q36" s="58">
        <v>136.04499999999999</v>
      </c>
      <c r="R36" s="58">
        <v>107.006</v>
      </c>
      <c r="S36" s="58">
        <v>29.04</v>
      </c>
      <c r="T36" s="58">
        <v>71.715000000000003</v>
      </c>
      <c r="U36" s="58">
        <v>57.173000000000002</v>
      </c>
      <c r="V36" s="58">
        <v>14.542</v>
      </c>
      <c r="W36" s="58">
        <v>64.33</v>
      </c>
      <c r="X36" s="58">
        <v>49.832000000000001</v>
      </c>
      <c r="Y36" s="58">
        <v>14.497999999999999</v>
      </c>
      <c r="Z36" s="58">
        <v>207.78100000000001</v>
      </c>
      <c r="AA36" s="58">
        <v>97.662000000000006</v>
      </c>
      <c r="AB36" s="58">
        <v>110.119</v>
      </c>
      <c r="AC36" s="58">
        <v>1631.999</v>
      </c>
      <c r="AD36" s="58">
        <v>878.40700000000004</v>
      </c>
      <c r="AE36" s="58">
        <v>753.59199999999998</v>
      </c>
      <c r="AF36" s="58">
        <v>620.50300000000004</v>
      </c>
      <c r="AG36" s="58">
        <v>469.505</v>
      </c>
      <c r="AH36" s="58">
        <v>150.999</v>
      </c>
      <c r="AI36" s="58">
        <v>1011.496</v>
      </c>
      <c r="AJ36" s="58">
        <v>408.90199999999999</v>
      </c>
      <c r="AK36" s="58">
        <v>602.59299999999996</v>
      </c>
      <c r="AL36" s="58">
        <v>720.67200000000003</v>
      </c>
      <c r="AM36" s="58">
        <v>546.64499999999998</v>
      </c>
      <c r="AN36" s="58">
        <v>174.02699999999999</v>
      </c>
      <c r="AO36" s="58">
        <v>1104.155</v>
      </c>
      <c r="AP36" s="58">
        <v>446.55599999999998</v>
      </c>
      <c r="AQ36" s="58">
        <v>657.59900000000005</v>
      </c>
      <c r="AR36" s="58">
        <v>1083.211</v>
      </c>
      <c r="AS36" s="58">
        <v>466.07600000000002</v>
      </c>
      <c r="AT36" s="58">
        <v>617.13499999999999</v>
      </c>
      <c r="AU36" s="58">
        <v>11447.852999999999</v>
      </c>
      <c r="AV36" s="58">
        <v>6084.3950000000004</v>
      </c>
      <c r="AW36" s="58">
        <v>5363.4570000000003</v>
      </c>
      <c r="AX36" s="58">
        <v>7907.1139999999996</v>
      </c>
      <c r="AY36" s="58">
        <v>5013.3019999999997</v>
      </c>
      <c r="AZ36" s="58">
        <v>2893.8119999999999</v>
      </c>
      <c r="BA36" s="58">
        <v>3540.739</v>
      </c>
      <c r="BB36" s="58">
        <v>1071.0940000000001</v>
      </c>
      <c r="BC36" s="58">
        <v>2469.6460000000002</v>
      </c>
      <c r="BD36" s="58">
        <v>1784.8230000000001</v>
      </c>
      <c r="BE36" s="58">
        <v>968.24199999999996</v>
      </c>
      <c r="BF36" s="58">
        <v>816.58100000000002</v>
      </c>
      <c r="BG36" s="58">
        <v>325.90699999999998</v>
      </c>
      <c r="BH36" s="58">
        <v>191.673</v>
      </c>
      <c r="BI36" s="58">
        <v>134.23400000000001</v>
      </c>
      <c r="BJ36" s="58">
        <v>132.315</v>
      </c>
      <c r="BK36" s="58">
        <v>103.422</v>
      </c>
      <c r="BL36" s="58">
        <v>28.891999999999999</v>
      </c>
      <c r="BM36" s="58">
        <v>69.391000000000005</v>
      </c>
      <c r="BN36" s="58">
        <v>54.996000000000002</v>
      </c>
      <c r="BO36" s="58">
        <v>14.395</v>
      </c>
      <c r="BP36" s="58">
        <v>62.923999999999999</v>
      </c>
      <c r="BQ36" s="58">
        <v>48.426000000000002</v>
      </c>
      <c r="BR36" s="58">
        <v>14.497999999999999</v>
      </c>
      <c r="BS36" s="58">
        <v>193.59200000000001</v>
      </c>
      <c r="BT36" s="58">
        <v>88.25</v>
      </c>
      <c r="BU36" s="58">
        <v>105.342</v>
      </c>
      <c r="BV36" s="58">
        <v>1603.8530000000001</v>
      </c>
      <c r="BW36" s="58">
        <v>861.40599999999995</v>
      </c>
      <c r="BX36" s="58">
        <v>742.447</v>
      </c>
      <c r="BY36" s="58">
        <v>614.43100000000004</v>
      </c>
      <c r="BZ36" s="58">
        <v>464.51499999999999</v>
      </c>
      <c r="CA36" s="58">
        <v>149.916</v>
      </c>
      <c r="CB36" s="58">
        <v>989.42200000000003</v>
      </c>
      <c r="CC36" s="58">
        <v>396.89100000000002</v>
      </c>
      <c r="CD36" s="58">
        <v>592.53200000000004</v>
      </c>
      <c r="CE36" s="58">
        <v>711.68299999999999</v>
      </c>
      <c r="CF36" s="58">
        <v>538.88599999999997</v>
      </c>
      <c r="CG36" s="58">
        <v>172.797</v>
      </c>
      <c r="CH36" s="58">
        <v>1073.1400000000001</v>
      </c>
      <c r="CI36" s="58">
        <v>429.35599999999999</v>
      </c>
      <c r="CJ36" s="58">
        <v>643.78499999999997</v>
      </c>
      <c r="CK36" s="58">
        <v>1058.8130000000001</v>
      </c>
      <c r="CL36" s="58">
        <v>451.887</v>
      </c>
      <c r="CM36" s="58">
        <v>606.92600000000004</v>
      </c>
      <c r="CN36" s="58">
        <v>1790.1990000000001</v>
      </c>
      <c r="CO36" s="58">
        <v>908.43200000000002</v>
      </c>
      <c r="CP36" s="58">
        <v>881.76700000000005</v>
      </c>
      <c r="CQ36" s="58">
        <v>797.09799999999996</v>
      </c>
      <c r="CR36" s="58">
        <v>472.55700000000002</v>
      </c>
      <c r="CS36" s="58">
        <v>324.541</v>
      </c>
      <c r="CT36" s="58">
        <v>993.101</v>
      </c>
      <c r="CU36" s="58">
        <v>435.875</v>
      </c>
      <c r="CV36" s="58">
        <v>557.226</v>
      </c>
      <c r="CW36" s="58">
        <v>467.29399999999998</v>
      </c>
      <c r="CX36" s="58">
        <v>246.672</v>
      </c>
      <c r="CY36" s="58">
        <v>220.62200000000001</v>
      </c>
      <c r="CZ36" s="58">
        <v>77.045000000000002</v>
      </c>
      <c r="DA36" s="58">
        <v>42.076999999999998</v>
      </c>
      <c r="DB36" s="58">
        <v>34.968000000000004</v>
      </c>
      <c r="DC36" s="58">
        <v>14.744999999999999</v>
      </c>
      <c r="DD36" s="58">
        <v>12.256</v>
      </c>
      <c r="DE36" s="58">
        <v>2.4889999999999999</v>
      </c>
      <c r="DF36" s="58">
        <v>11.045999999999999</v>
      </c>
      <c r="DG36" s="58">
        <v>10.074999999999999</v>
      </c>
      <c r="DH36" s="58">
        <v>0.97</v>
      </c>
      <c r="DI36" s="58">
        <v>3.6989999999999998</v>
      </c>
      <c r="DJ36" s="58">
        <v>2.181</v>
      </c>
      <c r="DK36" s="58">
        <v>1.518</v>
      </c>
      <c r="DL36" s="58">
        <v>62.3</v>
      </c>
      <c r="DM36" s="58">
        <v>29.821000000000002</v>
      </c>
      <c r="DN36" s="58">
        <v>32.478999999999999</v>
      </c>
      <c r="DO36" s="58">
        <v>435.21899999999999</v>
      </c>
      <c r="DP36" s="58">
        <v>228.64099999999999</v>
      </c>
      <c r="DQ36" s="58">
        <v>206.578</v>
      </c>
      <c r="DR36" s="58">
        <v>104.223</v>
      </c>
      <c r="DS36" s="58">
        <v>68.305999999999997</v>
      </c>
      <c r="DT36" s="58">
        <v>35.917000000000002</v>
      </c>
      <c r="DU36" s="58">
        <v>330.99599999999998</v>
      </c>
      <c r="DV36" s="58">
        <v>160.33500000000001</v>
      </c>
      <c r="DW36" s="58">
        <v>170.661</v>
      </c>
      <c r="DX36" s="58">
        <v>114.379</v>
      </c>
      <c r="DY36" s="58">
        <v>76.721000000000004</v>
      </c>
      <c r="DZ36" s="58">
        <v>37.658000000000001</v>
      </c>
      <c r="EA36" s="58">
        <v>352.91500000000002</v>
      </c>
      <c r="EB36" s="58">
        <v>169.95099999999999</v>
      </c>
      <c r="EC36" s="58">
        <v>182.964</v>
      </c>
      <c r="ED36" s="58">
        <v>342.041</v>
      </c>
      <c r="EE36" s="58">
        <v>170.41</v>
      </c>
      <c r="EF36" s="58">
        <v>171.63200000000001</v>
      </c>
      <c r="EG36" s="58">
        <v>626.33199999999999</v>
      </c>
      <c r="EH36" s="58">
        <v>298.70600000000002</v>
      </c>
      <c r="EI36" s="58">
        <v>327.62700000000001</v>
      </c>
      <c r="EJ36" s="58">
        <v>124.61499999999999</v>
      </c>
      <c r="EK36" s="58">
        <v>82.944000000000003</v>
      </c>
      <c r="EL36" s="58">
        <v>41.671999999999997</v>
      </c>
      <c r="EM36" s="58">
        <v>501.71699999999998</v>
      </c>
      <c r="EN36" s="58">
        <v>215.762</v>
      </c>
      <c r="EO36" s="58">
        <v>285.95499999999998</v>
      </c>
      <c r="EP36" s="58">
        <v>188.20699999999999</v>
      </c>
      <c r="EQ36" s="58">
        <v>88.628</v>
      </c>
      <c r="ER36" s="58">
        <v>99.578000000000003</v>
      </c>
      <c r="ES36" s="58">
        <v>30.372</v>
      </c>
      <c r="ET36" s="58">
        <v>15.103999999999999</v>
      </c>
      <c r="EU36" s="58">
        <v>15.268000000000001</v>
      </c>
      <c r="EV36" s="58">
        <v>3.0350000000000001</v>
      </c>
      <c r="EW36" s="58">
        <v>2.2869999999999999</v>
      </c>
      <c r="EX36" s="58">
        <v>0.748</v>
      </c>
      <c r="EY36" s="58">
        <v>2.9009999999999998</v>
      </c>
      <c r="EZ36" s="58">
        <v>2.153</v>
      </c>
      <c r="FA36" s="58">
        <v>0.748</v>
      </c>
      <c r="FB36" s="58">
        <v>0.13500000000000001</v>
      </c>
      <c r="FC36" s="58">
        <v>0.13500000000000001</v>
      </c>
      <c r="FD36" s="58">
        <v>0</v>
      </c>
      <c r="FE36" s="58">
        <v>27.335999999999999</v>
      </c>
      <c r="FF36" s="58">
        <v>12.816000000000001</v>
      </c>
      <c r="FG36" s="58">
        <v>14.52</v>
      </c>
      <c r="FH36" s="58">
        <v>172.971</v>
      </c>
      <c r="FI36" s="58">
        <v>81.373999999999995</v>
      </c>
      <c r="FJ36" s="58">
        <v>91.596999999999994</v>
      </c>
      <c r="FK36" s="58">
        <v>16.727</v>
      </c>
      <c r="FL36" s="58">
        <v>11.163</v>
      </c>
      <c r="FM36" s="58">
        <v>5.5629999999999997</v>
      </c>
      <c r="FN36" s="58">
        <v>156.245</v>
      </c>
      <c r="FO36" s="58">
        <v>70.210999999999999</v>
      </c>
      <c r="FP36" s="58">
        <v>86.034000000000006</v>
      </c>
      <c r="FQ36" s="58">
        <v>18.928999999999998</v>
      </c>
      <c r="FR36" s="58">
        <v>13.365</v>
      </c>
      <c r="FS36" s="58">
        <v>5.5629999999999997</v>
      </c>
      <c r="FT36" s="58">
        <v>169.27799999999999</v>
      </c>
      <c r="FU36" s="58">
        <v>75.263000000000005</v>
      </c>
      <c r="FV36" s="58">
        <v>94.015000000000001</v>
      </c>
      <c r="FW36" s="58">
        <v>159.14500000000001</v>
      </c>
      <c r="FX36" s="58">
        <v>72.364000000000004</v>
      </c>
      <c r="FY36" s="58">
        <v>86.781999999999996</v>
      </c>
      <c r="FZ36" s="58">
        <v>1163.867</v>
      </c>
      <c r="GA36" s="58">
        <v>609.726</v>
      </c>
      <c r="GB36" s="58">
        <v>554.14099999999996</v>
      </c>
      <c r="GC36" s="58">
        <v>672.48299999999995</v>
      </c>
      <c r="GD36" s="58">
        <v>389.613</v>
      </c>
      <c r="GE36" s="58">
        <v>282.86900000000003</v>
      </c>
      <c r="GF36" s="58">
        <v>491.38400000000001</v>
      </c>
      <c r="GG36" s="58">
        <v>220.113</v>
      </c>
      <c r="GH36" s="58">
        <v>271.27100000000002</v>
      </c>
      <c r="GI36" s="58">
        <v>279.08699999999999</v>
      </c>
      <c r="GJ36" s="58">
        <v>158.04300000000001</v>
      </c>
      <c r="GK36" s="58">
        <v>121.044</v>
      </c>
      <c r="GL36" s="58">
        <v>46.673000000000002</v>
      </c>
      <c r="GM36" s="58">
        <v>26.974</v>
      </c>
      <c r="GN36" s="58">
        <v>19.699000000000002</v>
      </c>
      <c r="GO36" s="58">
        <v>11.71</v>
      </c>
      <c r="GP36" s="58">
        <v>9.9689999999999994</v>
      </c>
      <c r="GQ36" s="58">
        <v>1.7410000000000001</v>
      </c>
      <c r="GR36" s="58">
        <v>8.1449999999999996</v>
      </c>
      <c r="GS36" s="58">
        <v>7.923</v>
      </c>
      <c r="GT36" s="58">
        <v>0.222</v>
      </c>
      <c r="GU36" s="58">
        <v>3.5649999999999999</v>
      </c>
      <c r="GV36" s="58">
        <v>2.0459999999999998</v>
      </c>
      <c r="GW36" s="58">
        <v>1.518</v>
      </c>
      <c r="GX36" s="58">
        <v>34.963999999999999</v>
      </c>
      <c r="GY36" s="58">
        <v>17.004999999999999</v>
      </c>
      <c r="GZ36" s="58">
        <v>17.959</v>
      </c>
      <c r="HA36" s="58">
        <v>262.24799999999999</v>
      </c>
      <c r="HB36" s="58">
        <v>147.267</v>
      </c>
      <c r="HC36" s="58">
        <v>114.98099999999999</v>
      </c>
      <c r="HD36" s="58">
        <v>87.497</v>
      </c>
      <c r="HE36" s="58">
        <v>57.143000000000001</v>
      </c>
      <c r="HF36" s="58">
        <v>30.353999999999999</v>
      </c>
      <c r="HG36" s="58">
        <v>174.751</v>
      </c>
      <c r="HH36" s="58">
        <v>90.123999999999995</v>
      </c>
      <c r="HI36" s="58">
        <v>84.628</v>
      </c>
      <c r="HJ36" s="58">
        <v>95.45</v>
      </c>
      <c r="HK36" s="58">
        <v>63.354999999999997</v>
      </c>
      <c r="HL36" s="58">
        <v>32.094000000000001</v>
      </c>
      <c r="HM36" s="58">
        <v>183.637</v>
      </c>
      <c r="HN36" s="58">
        <v>94.688000000000002</v>
      </c>
      <c r="HO36" s="58">
        <v>88.948999999999998</v>
      </c>
      <c r="HP36" s="58">
        <v>182.89599999999999</v>
      </c>
      <c r="HQ36" s="58">
        <v>98.046000000000006</v>
      </c>
      <c r="HR36" s="58">
        <v>84.85</v>
      </c>
      <c r="HS36" s="58">
        <v>2826.3719999999998</v>
      </c>
      <c r="HT36" s="58">
        <v>1543.002</v>
      </c>
      <c r="HU36" s="58">
        <v>1283.3710000000001</v>
      </c>
      <c r="HV36" s="58">
        <v>2186.9229999999998</v>
      </c>
      <c r="HW36" s="58">
        <v>1354.0820000000001</v>
      </c>
      <c r="HX36" s="58">
        <v>832.84100000000001</v>
      </c>
      <c r="HY36" s="58">
        <v>639.44899999999996</v>
      </c>
      <c r="HZ36" s="58">
        <v>188.92</v>
      </c>
      <c r="IA36" s="58">
        <v>450.53</v>
      </c>
      <c r="IB36" s="58">
        <v>444.767</v>
      </c>
      <c r="IC36" s="58">
        <v>259.87400000000002</v>
      </c>
      <c r="ID36" s="58">
        <v>184.893</v>
      </c>
      <c r="IE36" s="58">
        <v>65.158000000000001</v>
      </c>
      <c r="IF36" s="58">
        <v>38.331000000000003</v>
      </c>
      <c r="IG36" s="58">
        <v>26.827000000000002</v>
      </c>
      <c r="IH36" s="58">
        <v>30.981000000000002</v>
      </c>
      <c r="II36" s="58">
        <v>24.21</v>
      </c>
      <c r="IJ36" s="58">
        <v>6.77</v>
      </c>
      <c r="IK36" s="58">
        <v>12.999000000000001</v>
      </c>
      <c r="IL36" s="58">
        <v>10.677</v>
      </c>
      <c r="IM36" s="58">
        <v>2.3220000000000001</v>
      </c>
      <c r="IN36" s="58">
        <v>17.981000000000002</v>
      </c>
      <c r="IO36" s="58">
        <v>13.532999999999999</v>
      </c>
      <c r="IP36" s="58">
        <v>4.4480000000000004</v>
      </c>
      <c r="IQ36" s="58">
        <v>34.177</v>
      </c>
    </row>
    <row r="37" spans="1:251">
      <c r="A37" s="5">
        <v>42614</v>
      </c>
      <c r="B37" s="58">
        <v>11944.424999999999</v>
      </c>
      <c r="C37" s="58">
        <v>6370.9179999999997</v>
      </c>
      <c r="D37" s="58">
        <v>5573.5069999999996</v>
      </c>
      <c r="E37" s="58">
        <v>8075.4449999999997</v>
      </c>
      <c r="F37" s="58">
        <v>5133.799</v>
      </c>
      <c r="G37" s="58">
        <v>2941.6469999999999</v>
      </c>
      <c r="H37" s="58">
        <v>3868.9789999999998</v>
      </c>
      <c r="I37" s="58">
        <v>1237.1189999999999</v>
      </c>
      <c r="J37" s="58">
        <v>2631.86</v>
      </c>
      <c r="K37" s="58">
        <v>1766.8810000000001</v>
      </c>
      <c r="L37" s="58">
        <v>938.37800000000004</v>
      </c>
      <c r="M37" s="58">
        <v>828.50300000000004</v>
      </c>
      <c r="N37" s="58">
        <v>361.05599999999998</v>
      </c>
      <c r="O37" s="58">
        <v>211.15100000000001</v>
      </c>
      <c r="P37" s="58">
        <v>149.905</v>
      </c>
      <c r="Q37" s="58">
        <v>146.02500000000001</v>
      </c>
      <c r="R37" s="58">
        <v>115.499</v>
      </c>
      <c r="S37" s="58">
        <v>30.526</v>
      </c>
      <c r="T37" s="58">
        <v>75.147000000000006</v>
      </c>
      <c r="U37" s="58">
        <v>60.314999999999998</v>
      </c>
      <c r="V37" s="58">
        <v>14.832000000000001</v>
      </c>
      <c r="W37" s="58">
        <v>70.878</v>
      </c>
      <c r="X37" s="58">
        <v>55.183999999999997</v>
      </c>
      <c r="Y37" s="58">
        <v>15.694000000000001</v>
      </c>
      <c r="Z37" s="58">
        <v>215.03</v>
      </c>
      <c r="AA37" s="58">
        <v>95.652000000000001</v>
      </c>
      <c r="AB37" s="58">
        <v>119.379</v>
      </c>
      <c r="AC37" s="58">
        <v>1569.7719999999999</v>
      </c>
      <c r="AD37" s="58">
        <v>819.85199999999998</v>
      </c>
      <c r="AE37" s="58">
        <v>749.92</v>
      </c>
      <c r="AF37" s="58">
        <v>585.79499999999996</v>
      </c>
      <c r="AG37" s="58">
        <v>438.38200000000001</v>
      </c>
      <c r="AH37" s="58">
        <v>147.41300000000001</v>
      </c>
      <c r="AI37" s="58">
        <v>983.97699999999998</v>
      </c>
      <c r="AJ37" s="58">
        <v>381.471</v>
      </c>
      <c r="AK37" s="58">
        <v>602.50599999999997</v>
      </c>
      <c r="AL37" s="58">
        <v>689.83799999999997</v>
      </c>
      <c r="AM37" s="58">
        <v>520.75</v>
      </c>
      <c r="AN37" s="58">
        <v>169.08799999999999</v>
      </c>
      <c r="AO37" s="58">
        <v>1077.0429999999999</v>
      </c>
      <c r="AP37" s="58">
        <v>417.62799999999999</v>
      </c>
      <c r="AQ37" s="58">
        <v>659.41499999999996</v>
      </c>
      <c r="AR37" s="58">
        <v>1059.124</v>
      </c>
      <c r="AS37" s="58">
        <v>441.78500000000003</v>
      </c>
      <c r="AT37" s="58">
        <v>617.33900000000006</v>
      </c>
      <c r="AU37" s="58">
        <v>11497.473</v>
      </c>
      <c r="AV37" s="58">
        <v>6093.3959999999997</v>
      </c>
      <c r="AW37" s="58">
        <v>5404.0770000000002</v>
      </c>
      <c r="AX37" s="58">
        <v>7888.143</v>
      </c>
      <c r="AY37" s="58">
        <v>4988.8860000000004</v>
      </c>
      <c r="AZ37" s="58">
        <v>2899.2579999999998</v>
      </c>
      <c r="BA37" s="58">
        <v>3609.33</v>
      </c>
      <c r="BB37" s="58">
        <v>1104.51</v>
      </c>
      <c r="BC37" s="58">
        <v>2504.819</v>
      </c>
      <c r="BD37" s="58">
        <v>1724.9649999999999</v>
      </c>
      <c r="BE37" s="58">
        <v>913.25900000000001</v>
      </c>
      <c r="BF37" s="58">
        <v>811.70600000000002</v>
      </c>
      <c r="BG37" s="58">
        <v>344.65</v>
      </c>
      <c r="BH37" s="58">
        <v>201.09899999999999</v>
      </c>
      <c r="BI37" s="58">
        <v>143.55099999999999</v>
      </c>
      <c r="BJ37" s="58">
        <v>143.46700000000001</v>
      </c>
      <c r="BK37" s="58">
        <v>112.94</v>
      </c>
      <c r="BL37" s="58">
        <v>30.526</v>
      </c>
      <c r="BM37" s="58">
        <v>72.864000000000004</v>
      </c>
      <c r="BN37" s="58">
        <v>58.031999999999996</v>
      </c>
      <c r="BO37" s="58">
        <v>14.832000000000001</v>
      </c>
      <c r="BP37" s="58">
        <v>70.602999999999994</v>
      </c>
      <c r="BQ37" s="58">
        <v>54.908999999999999</v>
      </c>
      <c r="BR37" s="58">
        <v>15.694000000000001</v>
      </c>
      <c r="BS37" s="58">
        <v>201.18299999999999</v>
      </c>
      <c r="BT37" s="58">
        <v>88.158000000000001</v>
      </c>
      <c r="BU37" s="58">
        <v>113.02500000000001</v>
      </c>
      <c r="BV37" s="58">
        <v>1539.896</v>
      </c>
      <c r="BW37" s="58">
        <v>801.55</v>
      </c>
      <c r="BX37" s="58">
        <v>738.346</v>
      </c>
      <c r="BY37" s="58">
        <v>580.34199999999998</v>
      </c>
      <c r="BZ37" s="58">
        <v>434.029</v>
      </c>
      <c r="CA37" s="58">
        <v>146.31299999999999</v>
      </c>
      <c r="CB37" s="58">
        <v>959.55399999999997</v>
      </c>
      <c r="CC37" s="58">
        <v>367.52199999999999</v>
      </c>
      <c r="CD37" s="58">
        <v>592.03300000000002</v>
      </c>
      <c r="CE37" s="58">
        <v>681.93499999999995</v>
      </c>
      <c r="CF37" s="58">
        <v>513.94799999999998</v>
      </c>
      <c r="CG37" s="58">
        <v>167.988</v>
      </c>
      <c r="CH37" s="58">
        <v>1043.029</v>
      </c>
      <c r="CI37" s="58">
        <v>399.31099999999998</v>
      </c>
      <c r="CJ37" s="58">
        <v>643.71799999999996</v>
      </c>
      <c r="CK37" s="58">
        <v>1032.4179999999999</v>
      </c>
      <c r="CL37" s="58">
        <v>425.553</v>
      </c>
      <c r="CM37" s="58">
        <v>606.86500000000001</v>
      </c>
      <c r="CN37" s="58">
        <v>1816.8910000000001</v>
      </c>
      <c r="CO37" s="58">
        <v>921.803</v>
      </c>
      <c r="CP37" s="58">
        <v>895.08699999999999</v>
      </c>
      <c r="CQ37" s="58">
        <v>784.91399999999999</v>
      </c>
      <c r="CR37" s="58">
        <v>467.70100000000002</v>
      </c>
      <c r="CS37" s="58">
        <v>317.21300000000002</v>
      </c>
      <c r="CT37" s="58">
        <v>1031.9770000000001</v>
      </c>
      <c r="CU37" s="58">
        <v>454.10300000000001</v>
      </c>
      <c r="CV37" s="58">
        <v>577.87400000000002</v>
      </c>
      <c r="CW37" s="58">
        <v>459.78300000000002</v>
      </c>
      <c r="CX37" s="58">
        <v>228.42400000000001</v>
      </c>
      <c r="CY37" s="58">
        <v>231.358</v>
      </c>
      <c r="CZ37" s="58">
        <v>82.266999999999996</v>
      </c>
      <c r="DA37" s="58">
        <v>42.088000000000001</v>
      </c>
      <c r="DB37" s="58">
        <v>40.177999999999997</v>
      </c>
      <c r="DC37" s="58">
        <v>19.523</v>
      </c>
      <c r="DD37" s="58">
        <v>14.323</v>
      </c>
      <c r="DE37" s="58">
        <v>5.2</v>
      </c>
      <c r="DF37" s="58">
        <v>14.252000000000001</v>
      </c>
      <c r="DG37" s="58">
        <v>10.561</v>
      </c>
      <c r="DH37" s="58">
        <v>3.6909999999999998</v>
      </c>
      <c r="DI37" s="58">
        <v>5.2709999999999999</v>
      </c>
      <c r="DJ37" s="58">
        <v>3.7629999999999999</v>
      </c>
      <c r="DK37" s="58">
        <v>1.5089999999999999</v>
      </c>
      <c r="DL37" s="58">
        <v>62.743000000000002</v>
      </c>
      <c r="DM37" s="58">
        <v>27.765000000000001</v>
      </c>
      <c r="DN37" s="58">
        <v>34.978000000000002</v>
      </c>
      <c r="DO37" s="58">
        <v>424.358</v>
      </c>
      <c r="DP37" s="58">
        <v>208.72399999999999</v>
      </c>
      <c r="DQ37" s="58">
        <v>215.63399999999999</v>
      </c>
      <c r="DR37" s="58">
        <v>95.896000000000001</v>
      </c>
      <c r="DS37" s="58">
        <v>65.873000000000005</v>
      </c>
      <c r="DT37" s="58">
        <v>30.023</v>
      </c>
      <c r="DU37" s="58">
        <v>328.46199999999999</v>
      </c>
      <c r="DV37" s="58">
        <v>142.85</v>
      </c>
      <c r="DW37" s="58">
        <v>185.61099999999999</v>
      </c>
      <c r="DX37" s="58">
        <v>108.05</v>
      </c>
      <c r="DY37" s="58">
        <v>75.105999999999995</v>
      </c>
      <c r="DZ37" s="58">
        <v>32.944000000000003</v>
      </c>
      <c r="EA37" s="58">
        <v>351.73200000000003</v>
      </c>
      <c r="EB37" s="58">
        <v>153.31800000000001</v>
      </c>
      <c r="EC37" s="58">
        <v>198.41399999999999</v>
      </c>
      <c r="ED37" s="58">
        <v>342.714</v>
      </c>
      <c r="EE37" s="58">
        <v>153.411</v>
      </c>
      <c r="EF37" s="58">
        <v>189.303</v>
      </c>
      <c r="EG37" s="58">
        <v>642.16499999999996</v>
      </c>
      <c r="EH37" s="58">
        <v>306.11099999999999</v>
      </c>
      <c r="EI37" s="58">
        <v>336.05399999999997</v>
      </c>
      <c r="EJ37" s="58">
        <v>129.904</v>
      </c>
      <c r="EK37" s="58">
        <v>86.126999999999995</v>
      </c>
      <c r="EL37" s="58">
        <v>43.777000000000001</v>
      </c>
      <c r="EM37" s="58">
        <v>512.26099999999997</v>
      </c>
      <c r="EN37" s="58">
        <v>219.98400000000001</v>
      </c>
      <c r="EO37" s="58">
        <v>292.27699999999999</v>
      </c>
      <c r="EP37" s="58">
        <v>190.637</v>
      </c>
      <c r="EQ37" s="58">
        <v>87.203999999999994</v>
      </c>
      <c r="ER37" s="58">
        <v>103.43300000000001</v>
      </c>
      <c r="ES37" s="58">
        <v>37.036000000000001</v>
      </c>
      <c r="ET37" s="58">
        <v>17.619</v>
      </c>
      <c r="EU37" s="58">
        <v>19.417000000000002</v>
      </c>
      <c r="EV37" s="58">
        <v>3.7530000000000001</v>
      </c>
      <c r="EW37" s="58">
        <v>3.4660000000000002</v>
      </c>
      <c r="EX37" s="58">
        <v>0.28699999999999998</v>
      </c>
      <c r="EY37" s="58">
        <v>3.1989999999999998</v>
      </c>
      <c r="EZ37" s="58">
        <v>2.911</v>
      </c>
      <c r="FA37" s="58">
        <v>0.28699999999999998</v>
      </c>
      <c r="FB37" s="58">
        <v>0.55500000000000005</v>
      </c>
      <c r="FC37" s="58">
        <v>0.55500000000000005</v>
      </c>
      <c r="FD37" s="58">
        <v>0</v>
      </c>
      <c r="FE37" s="58">
        <v>33.283000000000001</v>
      </c>
      <c r="FF37" s="58">
        <v>14.153</v>
      </c>
      <c r="FG37" s="58">
        <v>19.129000000000001</v>
      </c>
      <c r="FH37" s="58">
        <v>175.63</v>
      </c>
      <c r="FI37" s="58">
        <v>78.75</v>
      </c>
      <c r="FJ37" s="58">
        <v>96.88</v>
      </c>
      <c r="FK37" s="58">
        <v>17.960999999999999</v>
      </c>
      <c r="FL37" s="58">
        <v>12.44</v>
      </c>
      <c r="FM37" s="58">
        <v>5.5209999999999999</v>
      </c>
      <c r="FN37" s="58">
        <v>157.66900000000001</v>
      </c>
      <c r="FO37" s="58">
        <v>66.31</v>
      </c>
      <c r="FP37" s="58">
        <v>91.358999999999995</v>
      </c>
      <c r="FQ37" s="58">
        <v>20.635999999999999</v>
      </c>
      <c r="FR37" s="58">
        <v>15.114000000000001</v>
      </c>
      <c r="FS37" s="58">
        <v>5.5209999999999999</v>
      </c>
      <c r="FT37" s="58">
        <v>170.001</v>
      </c>
      <c r="FU37" s="58">
        <v>72.088999999999999</v>
      </c>
      <c r="FV37" s="58">
        <v>97.912000000000006</v>
      </c>
      <c r="FW37" s="58">
        <v>160.86799999999999</v>
      </c>
      <c r="FX37" s="58">
        <v>69.221000000000004</v>
      </c>
      <c r="FY37" s="58">
        <v>91.646000000000001</v>
      </c>
      <c r="FZ37" s="58">
        <v>1174.7260000000001</v>
      </c>
      <c r="GA37" s="58">
        <v>615.69299999999998</v>
      </c>
      <c r="GB37" s="58">
        <v>559.03399999999999</v>
      </c>
      <c r="GC37" s="58">
        <v>655.01</v>
      </c>
      <c r="GD37" s="58">
        <v>381.57400000000001</v>
      </c>
      <c r="GE37" s="58">
        <v>273.43599999999998</v>
      </c>
      <c r="GF37" s="58">
        <v>519.71600000000001</v>
      </c>
      <c r="GG37" s="58">
        <v>234.119</v>
      </c>
      <c r="GH37" s="58">
        <v>285.59699999999998</v>
      </c>
      <c r="GI37" s="58">
        <v>269.14600000000002</v>
      </c>
      <c r="GJ37" s="58">
        <v>141.221</v>
      </c>
      <c r="GK37" s="58">
        <v>127.925</v>
      </c>
      <c r="GL37" s="58">
        <v>45.231000000000002</v>
      </c>
      <c r="GM37" s="58">
        <v>24.469000000000001</v>
      </c>
      <c r="GN37" s="58">
        <v>20.762</v>
      </c>
      <c r="GO37" s="58">
        <v>15.77</v>
      </c>
      <c r="GP37" s="58">
        <v>10.856999999999999</v>
      </c>
      <c r="GQ37" s="58">
        <v>4.9130000000000003</v>
      </c>
      <c r="GR37" s="58">
        <v>11.053000000000001</v>
      </c>
      <c r="GS37" s="58">
        <v>7.649</v>
      </c>
      <c r="GT37" s="58">
        <v>3.4039999999999999</v>
      </c>
      <c r="GU37" s="58">
        <v>4.7169999999999996</v>
      </c>
      <c r="GV37" s="58">
        <v>3.2080000000000002</v>
      </c>
      <c r="GW37" s="58">
        <v>1.5089999999999999</v>
      </c>
      <c r="GX37" s="58">
        <v>29.460999999999999</v>
      </c>
      <c r="GY37" s="58">
        <v>13.611000000000001</v>
      </c>
      <c r="GZ37" s="58">
        <v>15.849</v>
      </c>
      <c r="HA37" s="58">
        <v>248.72800000000001</v>
      </c>
      <c r="HB37" s="58">
        <v>129.97300000000001</v>
      </c>
      <c r="HC37" s="58">
        <v>118.754</v>
      </c>
      <c r="HD37" s="58">
        <v>77.935000000000002</v>
      </c>
      <c r="HE37" s="58">
        <v>53.433</v>
      </c>
      <c r="HF37" s="58">
        <v>24.501999999999999</v>
      </c>
      <c r="HG37" s="58">
        <v>170.79300000000001</v>
      </c>
      <c r="HH37" s="58">
        <v>76.540000000000006</v>
      </c>
      <c r="HI37" s="58">
        <v>94.251999999999995</v>
      </c>
      <c r="HJ37" s="58">
        <v>87.415000000000006</v>
      </c>
      <c r="HK37" s="58">
        <v>59.991999999999997</v>
      </c>
      <c r="HL37" s="58">
        <v>27.422999999999998</v>
      </c>
      <c r="HM37" s="58">
        <v>181.73099999999999</v>
      </c>
      <c r="HN37" s="58">
        <v>81.228999999999999</v>
      </c>
      <c r="HO37" s="58">
        <v>100.502</v>
      </c>
      <c r="HP37" s="58">
        <v>181.846</v>
      </c>
      <c r="HQ37" s="58">
        <v>84.19</v>
      </c>
      <c r="HR37" s="58">
        <v>97.656000000000006</v>
      </c>
      <c r="HS37" s="58">
        <v>2831.0279999999998</v>
      </c>
      <c r="HT37" s="58">
        <v>1544.0160000000001</v>
      </c>
      <c r="HU37" s="58">
        <v>1287.011</v>
      </c>
      <c r="HV37" s="58">
        <v>2187.5590000000002</v>
      </c>
      <c r="HW37" s="58">
        <v>1346.2149999999999</v>
      </c>
      <c r="HX37" s="58">
        <v>841.34400000000005</v>
      </c>
      <c r="HY37" s="58">
        <v>643.46900000000005</v>
      </c>
      <c r="HZ37" s="58">
        <v>197.80199999999999</v>
      </c>
      <c r="IA37" s="58">
        <v>445.66699999999997</v>
      </c>
      <c r="IB37" s="58">
        <v>413.91199999999998</v>
      </c>
      <c r="IC37" s="58">
        <v>238.49100000000001</v>
      </c>
      <c r="ID37" s="58">
        <v>175.422</v>
      </c>
      <c r="IE37" s="58">
        <v>70.605000000000004</v>
      </c>
      <c r="IF37" s="58">
        <v>43.09</v>
      </c>
      <c r="IG37" s="58">
        <v>27.515000000000001</v>
      </c>
      <c r="IH37" s="58">
        <v>31.36</v>
      </c>
      <c r="II37" s="58">
        <v>26.885000000000002</v>
      </c>
      <c r="IJ37" s="58">
        <v>4.4749999999999996</v>
      </c>
      <c r="IK37" s="58">
        <v>12.74</v>
      </c>
      <c r="IL37" s="58">
        <v>11.092000000000001</v>
      </c>
      <c r="IM37" s="58">
        <v>1.6479999999999999</v>
      </c>
      <c r="IN37" s="58">
        <v>18.62</v>
      </c>
      <c r="IO37" s="58">
        <v>15.792999999999999</v>
      </c>
      <c r="IP37" s="58">
        <v>2.827</v>
      </c>
      <c r="IQ37" s="58">
        <v>39.244999999999997</v>
      </c>
    </row>
    <row r="38" spans="1:251">
      <c r="A38" s="5">
        <v>42644</v>
      </c>
      <c r="B38" s="58">
        <v>11988.687</v>
      </c>
      <c r="C38" s="58">
        <v>6406.6059999999998</v>
      </c>
      <c r="D38" s="58">
        <v>5582.0810000000001</v>
      </c>
      <c r="E38" s="58">
        <v>8127.3389999999999</v>
      </c>
      <c r="F38" s="58">
        <v>5184.09</v>
      </c>
      <c r="G38" s="58">
        <v>2943.2489999999998</v>
      </c>
      <c r="H38" s="58">
        <v>3861.348</v>
      </c>
      <c r="I38" s="58">
        <v>1222.5160000000001</v>
      </c>
      <c r="J38" s="58">
        <v>2638.8319999999999</v>
      </c>
      <c r="K38" s="58">
        <v>1729.482</v>
      </c>
      <c r="L38" s="58">
        <v>932.29399999999998</v>
      </c>
      <c r="M38" s="58">
        <v>797.18799999999999</v>
      </c>
      <c r="N38" s="58">
        <v>315.55099999999999</v>
      </c>
      <c r="O38" s="58">
        <v>183.06800000000001</v>
      </c>
      <c r="P38" s="58">
        <v>132.483</v>
      </c>
      <c r="Q38" s="58">
        <v>116.756</v>
      </c>
      <c r="R38" s="58">
        <v>89.754000000000005</v>
      </c>
      <c r="S38" s="58">
        <v>27.001999999999999</v>
      </c>
      <c r="T38" s="58">
        <v>61.201000000000001</v>
      </c>
      <c r="U38" s="58">
        <v>47.433999999999997</v>
      </c>
      <c r="V38" s="58">
        <v>13.766999999999999</v>
      </c>
      <c r="W38" s="58">
        <v>55.555</v>
      </c>
      <c r="X38" s="58">
        <v>42.32</v>
      </c>
      <c r="Y38" s="58">
        <v>13.234999999999999</v>
      </c>
      <c r="Z38" s="58">
        <v>198.79499999999999</v>
      </c>
      <c r="AA38" s="58">
        <v>93.313999999999993</v>
      </c>
      <c r="AB38" s="58">
        <v>105.48099999999999</v>
      </c>
      <c r="AC38" s="58">
        <v>1552.0609999999999</v>
      </c>
      <c r="AD38" s="58">
        <v>830.59799999999996</v>
      </c>
      <c r="AE38" s="58">
        <v>721.46299999999997</v>
      </c>
      <c r="AF38" s="58">
        <v>580.11</v>
      </c>
      <c r="AG38" s="58">
        <v>440.87799999999999</v>
      </c>
      <c r="AH38" s="58">
        <v>139.23099999999999</v>
      </c>
      <c r="AI38" s="58">
        <v>971.95100000000002</v>
      </c>
      <c r="AJ38" s="58">
        <v>389.71899999999999</v>
      </c>
      <c r="AK38" s="58">
        <v>582.23199999999997</v>
      </c>
      <c r="AL38" s="58">
        <v>665.81600000000003</v>
      </c>
      <c r="AM38" s="58">
        <v>507.06299999999999</v>
      </c>
      <c r="AN38" s="58">
        <v>158.75200000000001</v>
      </c>
      <c r="AO38" s="58">
        <v>1063.6669999999999</v>
      </c>
      <c r="AP38" s="58">
        <v>425.23099999999999</v>
      </c>
      <c r="AQ38" s="58">
        <v>638.43600000000004</v>
      </c>
      <c r="AR38" s="58">
        <v>1033.152</v>
      </c>
      <c r="AS38" s="58">
        <v>437.15300000000002</v>
      </c>
      <c r="AT38" s="58">
        <v>595.99900000000002</v>
      </c>
      <c r="AU38" s="58">
        <v>11531.653</v>
      </c>
      <c r="AV38" s="58">
        <v>6124.8270000000002</v>
      </c>
      <c r="AW38" s="58">
        <v>5406.826</v>
      </c>
      <c r="AX38" s="58">
        <v>7927.1</v>
      </c>
      <c r="AY38" s="58">
        <v>5030.2020000000002</v>
      </c>
      <c r="AZ38" s="58">
        <v>2896.8980000000001</v>
      </c>
      <c r="BA38" s="58">
        <v>3604.5529999999999</v>
      </c>
      <c r="BB38" s="58">
        <v>1094.625</v>
      </c>
      <c r="BC38" s="58">
        <v>2509.9279999999999</v>
      </c>
      <c r="BD38" s="58">
        <v>1682.9469999999999</v>
      </c>
      <c r="BE38" s="58">
        <v>901.346</v>
      </c>
      <c r="BF38" s="58">
        <v>781.60199999999998</v>
      </c>
      <c r="BG38" s="58">
        <v>291.30399999999997</v>
      </c>
      <c r="BH38" s="58">
        <v>167.124</v>
      </c>
      <c r="BI38" s="58">
        <v>124.18</v>
      </c>
      <c r="BJ38" s="58">
        <v>109.79300000000001</v>
      </c>
      <c r="BK38" s="58">
        <v>84.881</v>
      </c>
      <c r="BL38" s="58">
        <v>24.911999999999999</v>
      </c>
      <c r="BM38" s="58">
        <v>57.134999999999998</v>
      </c>
      <c r="BN38" s="58">
        <v>44.472999999999999</v>
      </c>
      <c r="BO38" s="58">
        <v>12.662000000000001</v>
      </c>
      <c r="BP38" s="58">
        <v>52.658000000000001</v>
      </c>
      <c r="BQ38" s="58">
        <v>40.408000000000001</v>
      </c>
      <c r="BR38" s="58">
        <v>12.25</v>
      </c>
      <c r="BS38" s="58">
        <v>181.511</v>
      </c>
      <c r="BT38" s="58">
        <v>82.242999999999995</v>
      </c>
      <c r="BU38" s="58">
        <v>99.268000000000001</v>
      </c>
      <c r="BV38" s="58">
        <v>1521.9639999999999</v>
      </c>
      <c r="BW38" s="58">
        <v>808.99099999999999</v>
      </c>
      <c r="BX38" s="58">
        <v>712.97299999999996</v>
      </c>
      <c r="BY38" s="58">
        <v>572.505</v>
      </c>
      <c r="BZ38" s="58">
        <v>434.947</v>
      </c>
      <c r="CA38" s="58">
        <v>137.55799999999999</v>
      </c>
      <c r="CB38" s="58">
        <v>949.45899999999995</v>
      </c>
      <c r="CC38" s="58">
        <v>374.04399999999998</v>
      </c>
      <c r="CD38" s="58">
        <v>575.41499999999996</v>
      </c>
      <c r="CE38" s="58">
        <v>652.32399999999996</v>
      </c>
      <c r="CF38" s="58">
        <v>497.33499999999998</v>
      </c>
      <c r="CG38" s="58">
        <v>154.989</v>
      </c>
      <c r="CH38" s="58">
        <v>1030.624</v>
      </c>
      <c r="CI38" s="58">
        <v>404.01100000000002</v>
      </c>
      <c r="CJ38" s="58">
        <v>626.61300000000006</v>
      </c>
      <c r="CK38" s="58">
        <v>1006.5940000000001</v>
      </c>
      <c r="CL38" s="58">
        <v>418.517</v>
      </c>
      <c r="CM38" s="58">
        <v>588.077</v>
      </c>
      <c r="CN38" s="58">
        <v>1813.125</v>
      </c>
      <c r="CO38" s="58">
        <v>909.23699999999997</v>
      </c>
      <c r="CP38" s="58">
        <v>903.88800000000003</v>
      </c>
      <c r="CQ38" s="58">
        <v>803.79</v>
      </c>
      <c r="CR38" s="58">
        <v>465.50799999999998</v>
      </c>
      <c r="CS38" s="58">
        <v>338.28199999999998</v>
      </c>
      <c r="CT38" s="58">
        <v>1009.335</v>
      </c>
      <c r="CU38" s="58">
        <v>443.72899999999998</v>
      </c>
      <c r="CV38" s="58">
        <v>565.60599999999999</v>
      </c>
      <c r="CW38" s="58">
        <v>451.084</v>
      </c>
      <c r="CX38" s="58">
        <v>229.999</v>
      </c>
      <c r="CY38" s="58">
        <v>221.08500000000001</v>
      </c>
      <c r="CZ38" s="58">
        <v>69.573999999999998</v>
      </c>
      <c r="DA38" s="58">
        <v>36.832999999999998</v>
      </c>
      <c r="DB38" s="58">
        <v>32.741</v>
      </c>
      <c r="DC38" s="58">
        <v>12.263999999999999</v>
      </c>
      <c r="DD38" s="58">
        <v>7.944</v>
      </c>
      <c r="DE38" s="58">
        <v>4.32</v>
      </c>
      <c r="DF38" s="58">
        <v>8.8390000000000004</v>
      </c>
      <c r="DG38" s="58">
        <v>6.2</v>
      </c>
      <c r="DH38" s="58">
        <v>2.6389999999999998</v>
      </c>
      <c r="DI38" s="58">
        <v>3.4249999999999998</v>
      </c>
      <c r="DJ38" s="58">
        <v>1.744</v>
      </c>
      <c r="DK38" s="58">
        <v>1.681</v>
      </c>
      <c r="DL38" s="58">
        <v>57.31</v>
      </c>
      <c r="DM38" s="58">
        <v>28.888000000000002</v>
      </c>
      <c r="DN38" s="58">
        <v>28.420999999999999</v>
      </c>
      <c r="DO38" s="58">
        <v>414.56599999999997</v>
      </c>
      <c r="DP38" s="58">
        <v>213.56700000000001</v>
      </c>
      <c r="DQ38" s="58">
        <v>200.999</v>
      </c>
      <c r="DR38" s="58">
        <v>99.091999999999999</v>
      </c>
      <c r="DS38" s="58">
        <v>70.159000000000006</v>
      </c>
      <c r="DT38" s="58">
        <v>28.933</v>
      </c>
      <c r="DU38" s="58">
        <v>315.47399999999999</v>
      </c>
      <c r="DV38" s="58">
        <v>143.40799999999999</v>
      </c>
      <c r="DW38" s="58">
        <v>172.066</v>
      </c>
      <c r="DX38" s="58">
        <v>107.221</v>
      </c>
      <c r="DY38" s="58">
        <v>75.632999999999996</v>
      </c>
      <c r="DZ38" s="58">
        <v>31.588000000000001</v>
      </c>
      <c r="EA38" s="58">
        <v>343.863</v>
      </c>
      <c r="EB38" s="58">
        <v>154.36600000000001</v>
      </c>
      <c r="EC38" s="58">
        <v>189.49700000000001</v>
      </c>
      <c r="ED38" s="58">
        <v>324.31299999999999</v>
      </c>
      <c r="EE38" s="58">
        <v>149.608</v>
      </c>
      <c r="EF38" s="58">
        <v>174.70500000000001</v>
      </c>
      <c r="EG38" s="58">
        <v>627.36400000000003</v>
      </c>
      <c r="EH38" s="58">
        <v>291.85199999999998</v>
      </c>
      <c r="EI38" s="58">
        <v>335.512</v>
      </c>
      <c r="EJ38" s="58">
        <v>127.203</v>
      </c>
      <c r="EK38" s="58">
        <v>82.662000000000006</v>
      </c>
      <c r="EL38" s="58">
        <v>44.542000000000002</v>
      </c>
      <c r="EM38" s="58">
        <v>500.161</v>
      </c>
      <c r="EN38" s="58">
        <v>209.19</v>
      </c>
      <c r="EO38" s="58">
        <v>290.971</v>
      </c>
      <c r="EP38" s="58">
        <v>182.08799999999999</v>
      </c>
      <c r="EQ38" s="58">
        <v>78.174999999999997</v>
      </c>
      <c r="ER38" s="58">
        <v>103.913</v>
      </c>
      <c r="ES38" s="58">
        <v>30.370999999999999</v>
      </c>
      <c r="ET38" s="58">
        <v>14.503</v>
      </c>
      <c r="EU38" s="58">
        <v>15.868</v>
      </c>
      <c r="EV38" s="58">
        <v>2.6120000000000001</v>
      </c>
      <c r="EW38" s="58">
        <v>2.1469999999999998</v>
      </c>
      <c r="EX38" s="58">
        <v>0.46500000000000002</v>
      </c>
      <c r="EY38" s="58">
        <v>2.2160000000000002</v>
      </c>
      <c r="EZ38" s="58">
        <v>1.7509999999999999</v>
      </c>
      <c r="FA38" s="58">
        <v>0.46500000000000002</v>
      </c>
      <c r="FB38" s="58">
        <v>0.39600000000000002</v>
      </c>
      <c r="FC38" s="58">
        <v>0.39600000000000002</v>
      </c>
      <c r="FD38" s="58">
        <v>0</v>
      </c>
      <c r="FE38" s="58">
        <v>27.76</v>
      </c>
      <c r="FF38" s="58">
        <v>12.356</v>
      </c>
      <c r="FG38" s="58">
        <v>15.404</v>
      </c>
      <c r="FH38" s="58">
        <v>164.75200000000001</v>
      </c>
      <c r="FI38" s="58">
        <v>71.632999999999996</v>
      </c>
      <c r="FJ38" s="58">
        <v>93.119</v>
      </c>
      <c r="FK38" s="58">
        <v>14.89</v>
      </c>
      <c r="FL38" s="58">
        <v>11.833</v>
      </c>
      <c r="FM38" s="58">
        <v>3.0569999999999999</v>
      </c>
      <c r="FN38" s="58">
        <v>149.86199999999999</v>
      </c>
      <c r="FO38" s="58">
        <v>59.798999999999999</v>
      </c>
      <c r="FP38" s="58">
        <v>90.061999999999998</v>
      </c>
      <c r="FQ38" s="58">
        <v>16.416</v>
      </c>
      <c r="FR38" s="58">
        <v>13.359</v>
      </c>
      <c r="FS38" s="58">
        <v>3.0569999999999999</v>
      </c>
      <c r="FT38" s="58">
        <v>165.672</v>
      </c>
      <c r="FU38" s="58">
        <v>64.816000000000003</v>
      </c>
      <c r="FV38" s="58">
        <v>100.85599999999999</v>
      </c>
      <c r="FW38" s="58">
        <v>152.078</v>
      </c>
      <c r="FX38" s="58">
        <v>61.551000000000002</v>
      </c>
      <c r="FY38" s="58">
        <v>90.527000000000001</v>
      </c>
      <c r="FZ38" s="58">
        <v>1185.761</v>
      </c>
      <c r="GA38" s="58">
        <v>617.38499999999999</v>
      </c>
      <c r="GB38" s="58">
        <v>568.375</v>
      </c>
      <c r="GC38" s="58">
        <v>676.58699999999999</v>
      </c>
      <c r="GD38" s="58">
        <v>382.84699999999998</v>
      </c>
      <c r="GE38" s="58">
        <v>293.74</v>
      </c>
      <c r="GF38" s="58">
        <v>509.17399999999998</v>
      </c>
      <c r="GG38" s="58">
        <v>234.53899999999999</v>
      </c>
      <c r="GH38" s="58">
        <v>274.63499999999999</v>
      </c>
      <c r="GI38" s="58">
        <v>268.995</v>
      </c>
      <c r="GJ38" s="58">
        <v>151.82300000000001</v>
      </c>
      <c r="GK38" s="58">
        <v>117.172</v>
      </c>
      <c r="GL38" s="58">
        <v>39.201999999999998</v>
      </c>
      <c r="GM38" s="58">
        <v>22.329000000000001</v>
      </c>
      <c r="GN38" s="58">
        <v>16.873000000000001</v>
      </c>
      <c r="GO38" s="58">
        <v>9.6519999999999992</v>
      </c>
      <c r="GP38" s="58">
        <v>5.7969999999999997</v>
      </c>
      <c r="GQ38" s="58">
        <v>3.855</v>
      </c>
      <c r="GR38" s="58">
        <v>6.6230000000000002</v>
      </c>
      <c r="GS38" s="58">
        <v>4.4489999999999998</v>
      </c>
      <c r="GT38" s="58">
        <v>2.1739999999999999</v>
      </c>
      <c r="GU38" s="58">
        <v>3.0289999999999999</v>
      </c>
      <c r="GV38" s="58">
        <v>1.3480000000000001</v>
      </c>
      <c r="GW38" s="58">
        <v>1.681</v>
      </c>
      <c r="GX38" s="58">
        <v>29.55</v>
      </c>
      <c r="GY38" s="58">
        <v>16.532</v>
      </c>
      <c r="GZ38" s="58">
        <v>13.018000000000001</v>
      </c>
      <c r="HA38" s="58">
        <v>249.81399999999999</v>
      </c>
      <c r="HB38" s="58">
        <v>141.934</v>
      </c>
      <c r="HC38" s="58">
        <v>107.88</v>
      </c>
      <c r="HD38" s="58">
        <v>84.200999999999993</v>
      </c>
      <c r="HE38" s="58">
        <v>58.326000000000001</v>
      </c>
      <c r="HF38" s="58">
        <v>25.876000000000001</v>
      </c>
      <c r="HG38" s="58">
        <v>165.613</v>
      </c>
      <c r="HH38" s="58">
        <v>83.608999999999995</v>
      </c>
      <c r="HI38" s="58">
        <v>82.004000000000005</v>
      </c>
      <c r="HJ38" s="58">
        <v>90.804000000000002</v>
      </c>
      <c r="HK38" s="58">
        <v>62.273000000000003</v>
      </c>
      <c r="HL38" s="58">
        <v>28.530999999999999</v>
      </c>
      <c r="HM38" s="58">
        <v>178.191</v>
      </c>
      <c r="HN38" s="58">
        <v>89.55</v>
      </c>
      <c r="HO38" s="58">
        <v>88.641000000000005</v>
      </c>
      <c r="HP38" s="58">
        <v>172.23599999999999</v>
      </c>
      <c r="HQ38" s="58">
        <v>88.058000000000007</v>
      </c>
      <c r="HR38" s="58">
        <v>84.177999999999997</v>
      </c>
      <c r="HS38" s="58">
        <v>2846.6219999999998</v>
      </c>
      <c r="HT38" s="58">
        <v>1550.1849999999999</v>
      </c>
      <c r="HU38" s="58">
        <v>1296.4369999999999</v>
      </c>
      <c r="HV38" s="58">
        <v>2189.3760000000002</v>
      </c>
      <c r="HW38" s="58">
        <v>1357.182</v>
      </c>
      <c r="HX38" s="58">
        <v>832.19399999999996</v>
      </c>
      <c r="HY38" s="58">
        <v>657.24699999999996</v>
      </c>
      <c r="HZ38" s="58">
        <v>193.00299999999999</v>
      </c>
      <c r="IA38" s="58">
        <v>464.24400000000003</v>
      </c>
      <c r="IB38" s="58">
        <v>408.245</v>
      </c>
      <c r="IC38" s="58">
        <v>234.78100000000001</v>
      </c>
      <c r="ID38" s="58">
        <v>173.46299999999999</v>
      </c>
      <c r="IE38" s="58">
        <v>59.655000000000001</v>
      </c>
      <c r="IF38" s="58">
        <v>35.371000000000002</v>
      </c>
      <c r="IG38" s="58">
        <v>24.283999999999999</v>
      </c>
      <c r="IH38" s="58">
        <v>27.974</v>
      </c>
      <c r="II38" s="58">
        <v>21.867000000000001</v>
      </c>
      <c r="IJ38" s="58">
        <v>6.1070000000000002</v>
      </c>
      <c r="IK38" s="58">
        <v>11.303000000000001</v>
      </c>
      <c r="IL38" s="58">
        <v>9.2669999999999995</v>
      </c>
      <c r="IM38" s="58">
        <v>2.036</v>
      </c>
      <c r="IN38" s="58">
        <v>16.670999999999999</v>
      </c>
      <c r="IO38" s="58">
        <v>12.6</v>
      </c>
      <c r="IP38" s="58">
        <v>4.0709999999999997</v>
      </c>
      <c r="IQ38" s="58">
        <v>31.681000000000001</v>
      </c>
    </row>
    <row r="39" spans="1:251">
      <c r="A39" s="5">
        <v>42675</v>
      </c>
      <c r="B39" s="58">
        <v>12054.007</v>
      </c>
      <c r="C39" s="58">
        <v>6426.1139999999996</v>
      </c>
      <c r="D39" s="58">
        <v>5627.8919999999998</v>
      </c>
      <c r="E39" s="58">
        <v>8226.0840000000007</v>
      </c>
      <c r="F39" s="58">
        <v>5235.8500000000004</v>
      </c>
      <c r="G39" s="58">
        <v>2990.2339999999999</v>
      </c>
      <c r="H39" s="58">
        <v>3827.9229999999998</v>
      </c>
      <c r="I39" s="58">
        <v>1190.2639999999999</v>
      </c>
      <c r="J39" s="58">
        <v>2637.6579999999999</v>
      </c>
      <c r="K39" s="58">
        <v>1786.1289999999999</v>
      </c>
      <c r="L39" s="58">
        <v>952.82500000000005</v>
      </c>
      <c r="M39" s="58">
        <v>833.30399999999997</v>
      </c>
      <c r="N39" s="58">
        <v>307.56799999999998</v>
      </c>
      <c r="O39" s="58">
        <v>182.63200000000001</v>
      </c>
      <c r="P39" s="58">
        <v>124.935</v>
      </c>
      <c r="Q39" s="58">
        <v>125.492</v>
      </c>
      <c r="R39" s="58">
        <v>96.748999999999995</v>
      </c>
      <c r="S39" s="58">
        <v>28.742999999999999</v>
      </c>
      <c r="T39" s="58">
        <v>72.832999999999998</v>
      </c>
      <c r="U39" s="58">
        <v>53.445999999999998</v>
      </c>
      <c r="V39" s="58">
        <v>19.387</v>
      </c>
      <c r="W39" s="58">
        <v>52.658000000000001</v>
      </c>
      <c r="X39" s="58">
        <v>43.302999999999997</v>
      </c>
      <c r="Y39" s="58">
        <v>9.3559999999999999</v>
      </c>
      <c r="Z39" s="58">
        <v>182.07599999999999</v>
      </c>
      <c r="AA39" s="58">
        <v>85.882999999999996</v>
      </c>
      <c r="AB39" s="58">
        <v>96.192999999999998</v>
      </c>
      <c r="AC39" s="58">
        <v>1610.836</v>
      </c>
      <c r="AD39" s="58">
        <v>844.33799999999997</v>
      </c>
      <c r="AE39" s="58">
        <v>766.49800000000005</v>
      </c>
      <c r="AF39" s="58">
        <v>592.79899999999998</v>
      </c>
      <c r="AG39" s="58">
        <v>442.25700000000001</v>
      </c>
      <c r="AH39" s="58">
        <v>150.541</v>
      </c>
      <c r="AI39" s="58">
        <v>1018.037</v>
      </c>
      <c r="AJ39" s="58">
        <v>402.08100000000002</v>
      </c>
      <c r="AK39" s="58">
        <v>615.95600000000002</v>
      </c>
      <c r="AL39" s="58">
        <v>688.28399999999999</v>
      </c>
      <c r="AM39" s="58">
        <v>516.76</v>
      </c>
      <c r="AN39" s="58">
        <v>171.524</v>
      </c>
      <c r="AO39" s="58">
        <v>1097.845</v>
      </c>
      <c r="AP39" s="58">
        <v>436.065</v>
      </c>
      <c r="AQ39" s="58">
        <v>661.78</v>
      </c>
      <c r="AR39" s="58">
        <v>1090.8699999999999</v>
      </c>
      <c r="AS39" s="58">
        <v>455.52699999999999</v>
      </c>
      <c r="AT39" s="58">
        <v>635.34400000000005</v>
      </c>
      <c r="AU39" s="58">
        <v>11588.531000000001</v>
      </c>
      <c r="AV39" s="58">
        <v>6140.62</v>
      </c>
      <c r="AW39" s="58">
        <v>5447.9110000000001</v>
      </c>
      <c r="AX39" s="58">
        <v>8027.5479999999998</v>
      </c>
      <c r="AY39" s="58">
        <v>5083.1090000000004</v>
      </c>
      <c r="AZ39" s="58">
        <v>2944.4389999999999</v>
      </c>
      <c r="BA39" s="58">
        <v>3560.9830000000002</v>
      </c>
      <c r="BB39" s="58">
        <v>1057.511</v>
      </c>
      <c r="BC39" s="58">
        <v>2503.4720000000002</v>
      </c>
      <c r="BD39" s="58">
        <v>1740.1089999999999</v>
      </c>
      <c r="BE39" s="58">
        <v>921.34299999999996</v>
      </c>
      <c r="BF39" s="58">
        <v>818.76700000000005</v>
      </c>
      <c r="BG39" s="58">
        <v>286.262</v>
      </c>
      <c r="BH39" s="58">
        <v>166.41499999999999</v>
      </c>
      <c r="BI39" s="58">
        <v>119.846</v>
      </c>
      <c r="BJ39" s="58">
        <v>119.209</v>
      </c>
      <c r="BK39" s="58">
        <v>90.891999999999996</v>
      </c>
      <c r="BL39" s="58">
        <v>28.317</v>
      </c>
      <c r="BM39" s="58">
        <v>69.863</v>
      </c>
      <c r="BN39" s="58">
        <v>50.902000000000001</v>
      </c>
      <c r="BO39" s="58">
        <v>18.960999999999999</v>
      </c>
      <c r="BP39" s="58">
        <v>49.345999999999997</v>
      </c>
      <c r="BQ39" s="58">
        <v>39.991</v>
      </c>
      <c r="BR39" s="58">
        <v>9.3559999999999999</v>
      </c>
      <c r="BS39" s="58">
        <v>167.05199999999999</v>
      </c>
      <c r="BT39" s="58">
        <v>75.522999999999996</v>
      </c>
      <c r="BU39" s="58">
        <v>91.528999999999996</v>
      </c>
      <c r="BV39" s="58">
        <v>1581.4</v>
      </c>
      <c r="BW39" s="58">
        <v>824.46900000000005</v>
      </c>
      <c r="BX39" s="58">
        <v>756.93100000000004</v>
      </c>
      <c r="BY39" s="58">
        <v>589.20500000000004</v>
      </c>
      <c r="BZ39" s="58">
        <v>439.14600000000002</v>
      </c>
      <c r="CA39" s="58">
        <v>150.059</v>
      </c>
      <c r="CB39" s="58">
        <v>992.19500000000005</v>
      </c>
      <c r="CC39" s="58">
        <v>385.32299999999998</v>
      </c>
      <c r="CD39" s="58">
        <v>606.87099999999998</v>
      </c>
      <c r="CE39" s="58">
        <v>678.65099999999995</v>
      </c>
      <c r="CF39" s="58">
        <v>508.03399999999999</v>
      </c>
      <c r="CG39" s="58">
        <v>170.61600000000001</v>
      </c>
      <c r="CH39" s="58">
        <v>1061.4590000000001</v>
      </c>
      <c r="CI39" s="58">
        <v>413.30799999999999</v>
      </c>
      <c r="CJ39" s="58">
        <v>648.15</v>
      </c>
      <c r="CK39" s="58">
        <v>1062.058</v>
      </c>
      <c r="CL39" s="58">
        <v>436.22500000000002</v>
      </c>
      <c r="CM39" s="58">
        <v>625.83299999999997</v>
      </c>
      <c r="CN39" s="58">
        <v>1803.566</v>
      </c>
      <c r="CO39" s="58">
        <v>910.245</v>
      </c>
      <c r="CP39" s="58">
        <v>893.32100000000003</v>
      </c>
      <c r="CQ39" s="58">
        <v>800.61</v>
      </c>
      <c r="CR39" s="58">
        <v>467.298</v>
      </c>
      <c r="CS39" s="58">
        <v>333.31200000000001</v>
      </c>
      <c r="CT39" s="58">
        <v>1002.955</v>
      </c>
      <c r="CU39" s="58">
        <v>442.947</v>
      </c>
      <c r="CV39" s="58">
        <v>560.00800000000004</v>
      </c>
      <c r="CW39" s="58">
        <v>504.62900000000002</v>
      </c>
      <c r="CX39" s="58">
        <v>255.60900000000001</v>
      </c>
      <c r="CY39" s="58">
        <v>249.02</v>
      </c>
      <c r="CZ39" s="58">
        <v>67.730999999999995</v>
      </c>
      <c r="DA39" s="58">
        <v>41.030999999999999</v>
      </c>
      <c r="DB39" s="58">
        <v>26.7</v>
      </c>
      <c r="DC39" s="58">
        <v>17.649000000000001</v>
      </c>
      <c r="DD39" s="58">
        <v>11.333</v>
      </c>
      <c r="DE39" s="58">
        <v>6.3150000000000004</v>
      </c>
      <c r="DF39" s="58">
        <v>15.257999999999999</v>
      </c>
      <c r="DG39" s="58">
        <v>9.5459999999999994</v>
      </c>
      <c r="DH39" s="58">
        <v>5.7119999999999997</v>
      </c>
      <c r="DI39" s="58">
        <v>2.391</v>
      </c>
      <c r="DJ39" s="58">
        <v>1.7869999999999999</v>
      </c>
      <c r="DK39" s="58">
        <v>0.60399999999999998</v>
      </c>
      <c r="DL39" s="58">
        <v>50.082999999999998</v>
      </c>
      <c r="DM39" s="58">
        <v>29.698</v>
      </c>
      <c r="DN39" s="58">
        <v>20.385000000000002</v>
      </c>
      <c r="DO39" s="58">
        <v>475.375</v>
      </c>
      <c r="DP39" s="58">
        <v>237.93600000000001</v>
      </c>
      <c r="DQ39" s="58">
        <v>237.43899999999999</v>
      </c>
      <c r="DR39" s="58">
        <v>103.20399999999999</v>
      </c>
      <c r="DS39" s="58">
        <v>71.983000000000004</v>
      </c>
      <c r="DT39" s="58">
        <v>31.22</v>
      </c>
      <c r="DU39" s="58">
        <v>372.17099999999999</v>
      </c>
      <c r="DV39" s="58">
        <v>165.952</v>
      </c>
      <c r="DW39" s="58">
        <v>206.21899999999999</v>
      </c>
      <c r="DX39" s="58">
        <v>113.871</v>
      </c>
      <c r="DY39" s="58">
        <v>78.965000000000003</v>
      </c>
      <c r="DZ39" s="58">
        <v>34.905999999999999</v>
      </c>
      <c r="EA39" s="58">
        <v>390.75799999999998</v>
      </c>
      <c r="EB39" s="58">
        <v>176.64400000000001</v>
      </c>
      <c r="EC39" s="58">
        <v>214.114</v>
      </c>
      <c r="ED39" s="58">
        <v>387.42899999999997</v>
      </c>
      <c r="EE39" s="58">
        <v>175.49799999999999</v>
      </c>
      <c r="EF39" s="58">
        <v>211.93</v>
      </c>
      <c r="EG39" s="58">
        <v>625.25300000000004</v>
      </c>
      <c r="EH39" s="58">
        <v>299.80399999999997</v>
      </c>
      <c r="EI39" s="58">
        <v>325.44900000000001</v>
      </c>
      <c r="EJ39" s="58">
        <v>131.56299999999999</v>
      </c>
      <c r="EK39" s="58">
        <v>83.692999999999998</v>
      </c>
      <c r="EL39" s="58">
        <v>47.87</v>
      </c>
      <c r="EM39" s="58">
        <v>493.69</v>
      </c>
      <c r="EN39" s="58">
        <v>216.11099999999999</v>
      </c>
      <c r="EO39" s="58">
        <v>277.57900000000001</v>
      </c>
      <c r="EP39" s="58">
        <v>206.405</v>
      </c>
      <c r="EQ39" s="58">
        <v>91.543000000000006</v>
      </c>
      <c r="ER39" s="58">
        <v>114.86199999999999</v>
      </c>
      <c r="ES39" s="58">
        <v>30.686</v>
      </c>
      <c r="ET39" s="58">
        <v>17.672999999999998</v>
      </c>
      <c r="EU39" s="58">
        <v>13.013</v>
      </c>
      <c r="EV39" s="58">
        <v>2.6</v>
      </c>
      <c r="EW39" s="58">
        <v>1.4139999999999999</v>
      </c>
      <c r="EX39" s="58">
        <v>1.1859999999999999</v>
      </c>
      <c r="EY39" s="58">
        <v>1.573</v>
      </c>
      <c r="EZ39" s="58">
        <v>0.99</v>
      </c>
      <c r="FA39" s="58">
        <v>0.58299999999999996</v>
      </c>
      <c r="FB39" s="58">
        <v>1.0269999999999999</v>
      </c>
      <c r="FC39" s="58">
        <v>0.42299999999999999</v>
      </c>
      <c r="FD39" s="58">
        <v>0.60399999999999998</v>
      </c>
      <c r="FE39" s="58">
        <v>28.085999999999999</v>
      </c>
      <c r="FF39" s="58">
        <v>16.260000000000002</v>
      </c>
      <c r="FG39" s="58">
        <v>11.827</v>
      </c>
      <c r="FH39" s="58">
        <v>191.78100000000001</v>
      </c>
      <c r="FI39" s="58">
        <v>83.088999999999999</v>
      </c>
      <c r="FJ39" s="58">
        <v>108.69199999999999</v>
      </c>
      <c r="FK39" s="58">
        <v>13.585000000000001</v>
      </c>
      <c r="FL39" s="58">
        <v>10.351000000000001</v>
      </c>
      <c r="FM39" s="58">
        <v>3.2330000000000001</v>
      </c>
      <c r="FN39" s="58">
        <v>178.196</v>
      </c>
      <c r="FO39" s="58">
        <v>72.738</v>
      </c>
      <c r="FP39" s="58">
        <v>105.459</v>
      </c>
      <c r="FQ39" s="58">
        <v>15.602</v>
      </c>
      <c r="FR39" s="58">
        <v>11.765000000000001</v>
      </c>
      <c r="FS39" s="58">
        <v>3.8370000000000002</v>
      </c>
      <c r="FT39" s="58">
        <v>190.803</v>
      </c>
      <c r="FU39" s="58">
        <v>79.778000000000006</v>
      </c>
      <c r="FV39" s="58">
        <v>111.02500000000001</v>
      </c>
      <c r="FW39" s="58">
        <v>179.77</v>
      </c>
      <c r="FX39" s="58">
        <v>73.727999999999994</v>
      </c>
      <c r="FY39" s="58">
        <v>106.041</v>
      </c>
      <c r="FZ39" s="58">
        <v>1178.3130000000001</v>
      </c>
      <c r="GA39" s="58">
        <v>610.44200000000001</v>
      </c>
      <c r="GB39" s="58">
        <v>567.87199999999996</v>
      </c>
      <c r="GC39" s="58">
        <v>669.048</v>
      </c>
      <c r="GD39" s="58">
        <v>383.60500000000002</v>
      </c>
      <c r="GE39" s="58">
        <v>285.44299999999998</v>
      </c>
      <c r="GF39" s="58">
        <v>509.26499999999999</v>
      </c>
      <c r="GG39" s="58">
        <v>226.83600000000001</v>
      </c>
      <c r="GH39" s="58">
        <v>282.42899999999997</v>
      </c>
      <c r="GI39" s="58">
        <v>298.22399999999999</v>
      </c>
      <c r="GJ39" s="58">
        <v>164.066</v>
      </c>
      <c r="GK39" s="58">
        <v>134.15799999999999</v>
      </c>
      <c r="GL39" s="58">
        <v>37.045000000000002</v>
      </c>
      <c r="GM39" s="58">
        <v>23.358000000000001</v>
      </c>
      <c r="GN39" s="58">
        <v>13.686999999999999</v>
      </c>
      <c r="GO39" s="58">
        <v>15.048999999999999</v>
      </c>
      <c r="GP39" s="58">
        <v>9.92</v>
      </c>
      <c r="GQ39" s="58">
        <v>5.1289999999999996</v>
      </c>
      <c r="GR39" s="58">
        <v>13.685</v>
      </c>
      <c r="GS39" s="58">
        <v>8.5559999999999992</v>
      </c>
      <c r="GT39" s="58">
        <v>5.1289999999999996</v>
      </c>
      <c r="GU39" s="58">
        <v>1.3640000000000001</v>
      </c>
      <c r="GV39" s="58">
        <v>1.3640000000000001</v>
      </c>
      <c r="GW39" s="58">
        <v>0</v>
      </c>
      <c r="GX39" s="58">
        <v>21.995999999999999</v>
      </c>
      <c r="GY39" s="58">
        <v>13.438000000000001</v>
      </c>
      <c r="GZ39" s="58">
        <v>8.5579999999999998</v>
      </c>
      <c r="HA39" s="58">
        <v>283.59399999999999</v>
      </c>
      <c r="HB39" s="58">
        <v>154.84700000000001</v>
      </c>
      <c r="HC39" s="58">
        <v>128.74700000000001</v>
      </c>
      <c r="HD39" s="58">
        <v>89.619</v>
      </c>
      <c r="HE39" s="58">
        <v>61.631999999999998</v>
      </c>
      <c r="HF39" s="58">
        <v>27.986999999999998</v>
      </c>
      <c r="HG39" s="58">
        <v>193.97499999999999</v>
      </c>
      <c r="HH39" s="58">
        <v>93.213999999999999</v>
      </c>
      <c r="HI39" s="58">
        <v>100.76</v>
      </c>
      <c r="HJ39" s="58">
        <v>98.269000000000005</v>
      </c>
      <c r="HK39" s="58">
        <v>67.2</v>
      </c>
      <c r="HL39" s="58">
        <v>31.068999999999999</v>
      </c>
      <c r="HM39" s="58">
        <v>199.95500000000001</v>
      </c>
      <c r="HN39" s="58">
        <v>96.866</v>
      </c>
      <c r="HO39" s="58">
        <v>103.089</v>
      </c>
      <c r="HP39" s="58">
        <v>207.65899999999999</v>
      </c>
      <c r="HQ39" s="58">
        <v>101.77</v>
      </c>
      <c r="HR39" s="58">
        <v>105.889</v>
      </c>
      <c r="HS39" s="58">
        <v>2879.7449999999999</v>
      </c>
      <c r="HT39" s="58">
        <v>1566.4380000000001</v>
      </c>
      <c r="HU39" s="58">
        <v>1313.307</v>
      </c>
      <c r="HV39" s="58">
        <v>2229.6860000000001</v>
      </c>
      <c r="HW39" s="58">
        <v>1376.57</v>
      </c>
      <c r="HX39" s="58">
        <v>853.11599999999999</v>
      </c>
      <c r="HY39" s="58">
        <v>650.05999999999995</v>
      </c>
      <c r="HZ39" s="58">
        <v>189.86799999999999</v>
      </c>
      <c r="IA39" s="58">
        <v>460.19099999999997</v>
      </c>
      <c r="IB39" s="58">
        <v>405.71800000000002</v>
      </c>
      <c r="IC39" s="58">
        <v>235.239</v>
      </c>
      <c r="ID39" s="58">
        <v>170.48</v>
      </c>
      <c r="IE39" s="58">
        <v>56.95</v>
      </c>
      <c r="IF39" s="58">
        <v>32.606000000000002</v>
      </c>
      <c r="IG39" s="58">
        <v>24.344000000000001</v>
      </c>
      <c r="IH39" s="58">
        <v>25.184000000000001</v>
      </c>
      <c r="II39" s="58">
        <v>19.8</v>
      </c>
      <c r="IJ39" s="58">
        <v>5.3840000000000003</v>
      </c>
      <c r="IK39" s="58">
        <v>11.571999999999999</v>
      </c>
      <c r="IL39" s="58">
        <v>8.9139999999999997</v>
      </c>
      <c r="IM39" s="58">
        <v>2.6579999999999999</v>
      </c>
      <c r="IN39" s="58">
        <v>13.613</v>
      </c>
      <c r="IO39" s="58">
        <v>10.885999999999999</v>
      </c>
      <c r="IP39" s="58">
        <v>2.726</v>
      </c>
      <c r="IQ39" s="58">
        <v>31.765000000000001</v>
      </c>
    </row>
    <row r="40" spans="1:251">
      <c r="A40" s="5">
        <v>42705</v>
      </c>
      <c r="B40" s="58">
        <v>12149.194</v>
      </c>
      <c r="C40" s="58">
        <v>6485.2169999999996</v>
      </c>
      <c r="D40" s="58">
        <v>5663.9780000000001</v>
      </c>
      <c r="E40" s="58">
        <v>8341.16</v>
      </c>
      <c r="F40" s="58">
        <v>5306.8959999999997</v>
      </c>
      <c r="G40" s="58">
        <v>3034.2640000000001</v>
      </c>
      <c r="H40" s="58">
        <v>3808.0349999999999</v>
      </c>
      <c r="I40" s="58">
        <v>1178.3209999999999</v>
      </c>
      <c r="J40" s="58">
        <v>2629.7139999999999</v>
      </c>
      <c r="K40" s="58">
        <v>1886.806</v>
      </c>
      <c r="L40" s="58">
        <v>989.41899999999998</v>
      </c>
      <c r="M40" s="58">
        <v>897.38699999999994</v>
      </c>
      <c r="N40" s="58">
        <v>316.38900000000001</v>
      </c>
      <c r="O40" s="58">
        <v>172.76900000000001</v>
      </c>
      <c r="P40" s="58">
        <v>143.62</v>
      </c>
      <c r="Q40" s="58">
        <v>118</v>
      </c>
      <c r="R40" s="58">
        <v>90.656000000000006</v>
      </c>
      <c r="S40" s="58">
        <v>27.344000000000001</v>
      </c>
      <c r="T40" s="58">
        <v>67.775000000000006</v>
      </c>
      <c r="U40" s="58">
        <v>52.511000000000003</v>
      </c>
      <c r="V40" s="58">
        <v>15.263999999999999</v>
      </c>
      <c r="W40" s="58">
        <v>50.225000000000001</v>
      </c>
      <c r="X40" s="58">
        <v>38.145000000000003</v>
      </c>
      <c r="Y40" s="58">
        <v>12.08</v>
      </c>
      <c r="Z40" s="58">
        <v>198.38900000000001</v>
      </c>
      <c r="AA40" s="58">
        <v>82.113</v>
      </c>
      <c r="AB40" s="58">
        <v>116.27500000000001</v>
      </c>
      <c r="AC40" s="58">
        <v>1714.7070000000001</v>
      </c>
      <c r="AD40" s="58">
        <v>893.649</v>
      </c>
      <c r="AE40" s="58">
        <v>821.05799999999999</v>
      </c>
      <c r="AF40" s="58">
        <v>613.28300000000002</v>
      </c>
      <c r="AG40" s="58">
        <v>454.36</v>
      </c>
      <c r="AH40" s="58">
        <v>158.923</v>
      </c>
      <c r="AI40" s="58">
        <v>1101.424</v>
      </c>
      <c r="AJ40" s="58">
        <v>439.28899999999999</v>
      </c>
      <c r="AK40" s="58">
        <v>662.13400000000001</v>
      </c>
      <c r="AL40" s="58">
        <v>701.94</v>
      </c>
      <c r="AM40" s="58">
        <v>522.096</v>
      </c>
      <c r="AN40" s="58">
        <v>179.84399999999999</v>
      </c>
      <c r="AO40" s="58">
        <v>1184.866</v>
      </c>
      <c r="AP40" s="58">
        <v>467.32299999999998</v>
      </c>
      <c r="AQ40" s="58">
        <v>717.54300000000001</v>
      </c>
      <c r="AR40" s="58">
        <v>1169.1990000000001</v>
      </c>
      <c r="AS40" s="58">
        <v>491.8</v>
      </c>
      <c r="AT40" s="58">
        <v>677.399</v>
      </c>
      <c r="AU40" s="58">
        <v>11684.745000000001</v>
      </c>
      <c r="AV40" s="58">
        <v>6198.1940000000004</v>
      </c>
      <c r="AW40" s="58">
        <v>5486.5510000000004</v>
      </c>
      <c r="AX40" s="58">
        <v>8133.5680000000002</v>
      </c>
      <c r="AY40" s="58">
        <v>5150.0990000000002</v>
      </c>
      <c r="AZ40" s="58">
        <v>2983.4690000000001</v>
      </c>
      <c r="BA40" s="58">
        <v>3551.1770000000001</v>
      </c>
      <c r="BB40" s="58">
        <v>1048.095</v>
      </c>
      <c r="BC40" s="58">
        <v>2503.0819999999999</v>
      </c>
      <c r="BD40" s="58">
        <v>1843.7239999999999</v>
      </c>
      <c r="BE40" s="58">
        <v>960.09199999999998</v>
      </c>
      <c r="BF40" s="58">
        <v>883.63199999999995</v>
      </c>
      <c r="BG40" s="58">
        <v>300.03899999999999</v>
      </c>
      <c r="BH40" s="58">
        <v>161.95699999999999</v>
      </c>
      <c r="BI40" s="58">
        <v>138.08199999999999</v>
      </c>
      <c r="BJ40" s="58">
        <v>114.499</v>
      </c>
      <c r="BK40" s="58">
        <v>87.542000000000002</v>
      </c>
      <c r="BL40" s="58">
        <v>26.956</v>
      </c>
      <c r="BM40" s="58">
        <v>65.927999999999997</v>
      </c>
      <c r="BN40" s="58">
        <v>50.664000000000001</v>
      </c>
      <c r="BO40" s="58">
        <v>15.263999999999999</v>
      </c>
      <c r="BP40" s="58">
        <v>48.570999999999998</v>
      </c>
      <c r="BQ40" s="58">
        <v>36.878999999999998</v>
      </c>
      <c r="BR40" s="58">
        <v>11.692</v>
      </c>
      <c r="BS40" s="58">
        <v>185.541</v>
      </c>
      <c r="BT40" s="58">
        <v>74.415000000000006</v>
      </c>
      <c r="BU40" s="58">
        <v>111.126</v>
      </c>
      <c r="BV40" s="58">
        <v>1683.021</v>
      </c>
      <c r="BW40" s="58">
        <v>871.56100000000004</v>
      </c>
      <c r="BX40" s="58">
        <v>811.46</v>
      </c>
      <c r="BY40" s="58">
        <v>607.38</v>
      </c>
      <c r="BZ40" s="58">
        <v>449.37700000000001</v>
      </c>
      <c r="CA40" s="58">
        <v>158.00399999999999</v>
      </c>
      <c r="CB40" s="58">
        <v>1075.6410000000001</v>
      </c>
      <c r="CC40" s="58">
        <v>422.18400000000003</v>
      </c>
      <c r="CD40" s="58">
        <v>653.45699999999999</v>
      </c>
      <c r="CE40" s="58">
        <v>693.32500000000005</v>
      </c>
      <c r="CF40" s="58">
        <v>514.78899999999999</v>
      </c>
      <c r="CG40" s="58">
        <v>178.536</v>
      </c>
      <c r="CH40" s="58">
        <v>1150.3989999999999</v>
      </c>
      <c r="CI40" s="58">
        <v>445.303</v>
      </c>
      <c r="CJ40" s="58">
        <v>705.096</v>
      </c>
      <c r="CK40" s="58">
        <v>1141.569</v>
      </c>
      <c r="CL40" s="58">
        <v>472.84800000000001</v>
      </c>
      <c r="CM40" s="58">
        <v>668.721</v>
      </c>
      <c r="CN40" s="58">
        <v>1898.5540000000001</v>
      </c>
      <c r="CO40" s="58">
        <v>961.93100000000004</v>
      </c>
      <c r="CP40" s="58">
        <v>936.62300000000005</v>
      </c>
      <c r="CQ40" s="58">
        <v>872.69</v>
      </c>
      <c r="CR40" s="58">
        <v>516.87400000000002</v>
      </c>
      <c r="CS40" s="58">
        <v>355.81700000000001</v>
      </c>
      <c r="CT40" s="58">
        <v>1025.8630000000001</v>
      </c>
      <c r="CU40" s="58">
        <v>445.05700000000002</v>
      </c>
      <c r="CV40" s="58">
        <v>580.80600000000004</v>
      </c>
      <c r="CW40" s="58">
        <v>582.72400000000005</v>
      </c>
      <c r="CX40" s="58">
        <v>293.03699999999998</v>
      </c>
      <c r="CY40" s="58">
        <v>289.68700000000001</v>
      </c>
      <c r="CZ40" s="58">
        <v>69.043000000000006</v>
      </c>
      <c r="DA40" s="58">
        <v>38.564</v>
      </c>
      <c r="DB40" s="58">
        <v>30.478999999999999</v>
      </c>
      <c r="DC40" s="58">
        <v>12.778</v>
      </c>
      <c r="DD40" s="58">
        <v>10.988</v>
      </c>
      <c r="DE40" s="58">
        <v>1.79</v>
      </c>
      <c r="DF40" s="58">
        <v>9.5739999999999998</v>
      </c>
      <c r="DG40" s="58">
        <v>8.2370000000000001</v>
      </c>
      <c r="DH40" s="58">
        <v>1.337</v>
      </c>
      <c r="DI40" s="58">
        <v>3.2040000000000002</v>
      </c>
      <c r="DJ40" s="58">
        <v>2.7509999999999999</v>
      </c>
      <c r="DK40" s="58">
        <v>0.45300000000000001</v>
      </c>
      <c r="DL40" s="58">
        <v>56.265999999999998</v>
      </c>
      <c r="DM40" s="58">
        <v>27.577000000000002</v>
      </c>
      <c r="DN40" s="58">
        <v>28.689</v>
      </c>
      <c r="DO40" s="58">
        <v>557.15200000000004</v>
      </c>
      <c r="DP40" s="58">
        <v>278.36900000000003</v>
      </c>
      <c r="DQ40" s="58">
        <v>278.78300000000002</v>
      </c>
      <c r="DR40" s="58">
        <v>108.32</v>
      </c>
      <c r="DS40" s="58">
        <v>75.936999999999998</v>
      </c>
      <c r="DT40" s="58">
        <v>32.383000000000003</v>
      </c>
      <c r="DU40" s="58">
        <v>448.83199999999999</v>
      </c>
      <c r="DV40" s="58">
        <v>202.43199999999999</v>
      </c>
      <c r="DW40" s="58">
        <v>246.4</v>
      </c>
      <c r="DX40" s="58">
        <v>116.358</v>
      </c>
      <c r="DY40" s="58">
        <v>83.271000000000001</v>
      </c>
      <c r="DZ40" s="58">
        <v>33.087000000000003</v>
      </c>
      <c r="EA40" s="58">
        <v>466.36500000000001</v>
      </c>
      <c r="EB40" s="58">
        <v>209.76499999999999</v>
      </c>
      <c r="EC40" s="58">
        <v>256.60000000000002</v>
      </c>
      <c r="ED40" s="58">
        <v>458.40600000000001</v>
      </c>
      <c r="EE40" s="58">
        <v>210.66900000000001</v>
      </c>
      <c r="EF40" s="58">
        <v>247.73699999999999</v>
      </c>
      <c r="EG40" s="58">
        <v>663.79700000000003</v>
      </c>
      <c r="EH40" s="58">
        <v>322.52699999999999</v>
      </c>
      <c r="EI40" s="58">
        <v>341.27</v>
      </c>
      <c r="EJ40" s="58">
        <v>149.893</v>
      </c>
      <c r="EK40" s="58">
        <v>97.111999999999995</v>
      </c>
      <c r="EL40" s="58">
        <v>52.780999999999999</v>
      </c>
      <c r="EM40" s="58">
        <v>513.904</v>
      </c>
      <c r="EN40" s="58">
        <v>225.41499999999999</v>
      </c>
      <c r="EO40" s="58">
        <v>288.48899999999998</v>
      </c>
      <c r="EP40" s="58">
        <v>270.94299999999998</v>
      </c>
      <c r="EQ40" s="58">
        <v>127.39400000000001</v>
      </c>
      <c r="ER40" s="58">
        <v>143.54900000000001</v>
      </c>
      <c r="ES40" s="58">
        <v>30.4</v>
      </c>
      <c r="ET40" s="58">
        <v>16.626000000000001</v>
      </c>
      <c r="EU40" s="58">
        <v>13.773999999999999</v>
      </c>
      <c r="EV40" s="58">
        <v>1.58</v>
      </c>
      <c r="EW40" s="58">
        <v>1.329</v>
      </c>
      <c r="EX40" s="58">
        <v>0.251</v>
      </c>
      <c r="EY40" s="58">
        <v>1.4530000000000001</v>
      </c>
      <c r="EZ40" s="58">
        <v>1.202</v>
      </c>
      <c r="FA40" s="58">
        <v>0.251</v>
      </c>
      <c r="FB40" s="58">
        <v>0.127</v>
      </c>
      <c r="FC40" s="58">
        <v>0.127</v>
      </c>
      <c r="FD40" s="58">
        <v>0</v>
      </c>
      <c r="FE40" s="58">
        <v>28.818999999999999</v>
      </c>
      <c r="FF40" s="58">
        <v>15.297000000000001</v>
      </c>
      <c r="FG40" s="58">
        <v>13.522</v>
      </c>
      <c r="FH40" s="58">
        <v>258.322</v>
      </c>
      <c r="FI40" s="58">
        <v>121.074</v>
      </c>
      <c r="FJ40" s="58">
        <v>137.24799999999999</v>
      </c>
      <c r="FK40" s="58">
        <v>19.645</v>
      </c>
      <c r="FL40" s="58">
        <v>14.135999999999999</v>
      </c>
      <c r="FM40" s="58">
        <v>5.51</v>
      </c>
      <c r="FN40" s="58">
        <v>238.67699999999999</v>
      </c>
      <c r="FO40" s="58">
        <v>106.93899999999999</v>
      </c>
      <c r="FP40" s="58">
        <v>131.738</v>
      </c>
      <c r="FQ40" s="58">
        <v>21.225000000000001</v>
      </c>
      <c r="FR40" s="58">
        <v>15.464</v>
      </c>
      <c r="FS40" s="58">
        <v>5.7610000000000001</v>
      </c>
      <c r="FT40" s="58">
        <v>249.71799999999999</v>
      </c>
      <c r="FU40" s="58">
        <v>111.93</v>
      </c>
      <c r="FV40" s="58">
        <v>137.78800000000001</v>
      </c>
      <c r="FW40" s="58">
        <v>240.12899999999999</v>
      </c>
      <c r="FX40" s="58">
        <v>108.14</v>
      </c>
      <c r="FY40" s="58">
        <v>131.989</v>
      </c>
      <c r="FZ40" s="58">
        <v>1234.7560000000001</v>
      </c>
      <c r="GA40" s="58">
        <v>639.404</v>
      </c>
      <c r="GB40" s="58">
        <v>595.35299999999995</v>
      </c>
      <c r="GC40" s="58">
        <v>722.79700000000003</v>
      </c>
      <c r="GD40" s="58">
        <v>419.76100000000002</v>
      </c>
      <c r="GE40" s="58">
        <v>303.036</v>
      </c>
      <c r="GF40" s="58">
        <v>511.959</v>
      </c>
      <c r="GG40" s="58">
        <v>219.642</v>
      </c>
      <c r="GH40" s="58">
        <v>292.31700000000001</v>
      </c>
      <c r="GI40" s="58">
        <v>311.78100000000001</v>
      </c>
      <c r="GJ40" s="58">
        <v>165.642</v>
      </c>
      <c r="GK40" s="58">
        <v>146.13800000000001</v>
      </c>
      <c r="GL40" s="58">
        <v>38.643999999999998</v>
      </c>
      <c r="GM40" s="58">
        <v>21.939</v>
      </c>
      <c r="GN40" s="58">
        <v>16.704999999999998</v>
      </c>
      <c r="GO40" s="58">
        <v>11.196999999999999</v>
      </c>
      <c r="GP40" s="58">
        <v>9.6590000000000007</v>
      </c>
      <c r="GQ40" s="58">
        <v>1.5389999999999999</v>
      </c>
      <c r="GR40" s="58">
        <v>8.1210000000000004</v>
      </c>
      <c r="GS40" s="58">
        <v>7.0350000000000001</v>
      </c>
      <c r="GT40" s="58">
        <v>1.0860000000000001</v>
      </c>
      <c r="GU40" s="58">
        <v>3.0760000000000001</v>
      </c>
      <c r="GV40" s="58">
        <v>2.6240000000000001</v>
      </c>
      <c r="GW40" s="58">
        <v>0.45300000000000001</v>
      </c>
      <c r="GX40" s="58">
        <v>27.446000000000002</v>
      </c>
      <c r="GY40" s="58">
        <v>12.28</v>
      </c>
      <c r="GZ40" s="58">
        <v>15.167</v>
      </c>
      <c r="HA40" s="58">
        <v>298.83100000000002</v>
      </c>
      <c r="HB40" s="58">
        <v>157.29499999999999</v>
      </c>
      <c r="HC40" s="58">
        <v>141.535</v>
      </c>
      <c r="HD40" s="58">
        <v>88.674999999999997</v>
      </c>
      <c r="HE40" s="58">
        <v>61.802</v>
      </c>
      <c r="HF40" s="58">
        <v>26.873000000000001</v>
      </c>
      <c r="HG40" s="58">
        <v>210.15600000000001</v>
      </c>
      <c r="HH40" s="58">
        <v>95.494</v>
      </c>
      <c r="HI40" s="58">
        <v>114.66200000000001</v>
      </c>
      <c r="HJ40" s="58">
        <v>95.132999999999996</v>
      </c>
      <c r="HK40" s="58">
        <v>67.807000000000002</v>
      </c>
      <c r="HL40" s="58">
        <v>27.326000000000001</v>
      </c>
      <c r="HM40" s="58">
        <v>216.64699999999999</v>
      </c>
      <c r="HN40" s="58">
        <v>97.834999999999994</v>
      </c>
      <c r="HO40" s="58">
        <v>118.812</v>
      </c>
      <c r="HP40" s="58">
        <v>218.27699999999999</v>
      </c>
      <c r="HQ40" s="58">
        <v>102.529</v>
      </c>
      <c r="HR40" s="58">
        <v>115.748</v>
      </c>
      <c r="HS40" s="58">
        <v>2887.4180000000001</v>
      </c>
      <c r="HT40" s="58">
        <v>1568.8150000000001</v>
      </c>
      <c r="HU40" s="58">
        <v>1318.6030000000001</v>
      </c>
      <c r="HV40" s="58">
        <v>2234.924</v>
      </c>
      <c r="HW40" s="58">
        <v>1373.8</v>
      </c>
      <c r="HX40" s="58">
        <v>861.12400000000002</v>
      </c>
      <c r="HY40" s="58">
        <v>652.49400000000003</v>
      </c>
      <c r="HZ40" s="58">
        <v>195.01499999999999</v>
      </c>
      <c r="IA40" s="58">
        <v>457.47899999999998</v>
      </c>
      <c r="IB40" s="58">
        <v>437.73099999999999</v>
      </c>
      <c r="IC40" s="58">
        <v>248.58799999999999</v>
      </c>
      <c r="ID40" s="58">
        <v>189.142</v>
      </c>
      <c r="IE40" s="58">
        <v>63.64</v>
      </c>
      <c r="IF40" s="58">
        <v>33.652000000000001</v>
      </c>
      <c r="IG40" s="58">
        <v>29.988</v>
      </c>
      <c r="IH40" s="58">
        <v>26.462</v>
      </c>
      <c r="II40" s="58">
        <v>20.9</v>
      </c>
      <c r="IJ40" s="58">
        <v>5.5620000000000003</v>
      </c>
      <c r="IK40" s="58">
        <v>13.695</v>
      </c>
      <c r="IL40" s="58">
        <v>10.462999999999999</v>
      </c>
      <c r="IM40" s="58">
        <v>3.2320000000000002</v>
      </c>
      <c r="IN40" s="58">
        <v>12.766999999999999</v>
      </c>
      <c r="IO40" s="58">
        <v>10.436999999999999</v>
      </c>
      <c r="IP40" s="58">
        <v>2.3290000000000002</v>
      </c>
      <c r="IQ40" s="58">
        <v>37.177999999999997</v>
      </c>
    </row>
    <row r="41" spans="1:251">
      <c r="A41" s="5">
        <v>42736</v>
      </c>
      <c r="B41" s="58">
        <v>11885.864</v>
      </c>
      <c r="C41" s="58">
        <v>6355.9620000000004</v>
      </c>
      <c r="D41" s="58">
        <v>5529.902</v>
      </c>
      <c r="E41" s="58">
        <v>8105.2079999999996</v>
      </c>
      <c r="F41" s="58">
        <v>5192.8649999999998</v>
      </c>
      <c r="G41" s="58">
        <v>2912.3429999999998</v>
      </c>
      <c r="H41" s="58">
        <v>3780.6559999999999</v>
      </c>
      <c r="I41" s="58">
        <v>1163.098</v>
      </c>
      <c r="J41" s="58">
        <v>2617.5590000000002</v>
      </c>
      <c r="K41" s="58">
        <v>1836.34</v>
      </c>
      <c r="L41" s="58">
        <v>957.01</v>
      </c>
      <c r="M41" s="58">
        <v>879.33</v>
      </c>
      <c r="N41" s="58">
        <v>348.85199999999998</v>
      </c>
      <c r="O41" s="58">
        <v>198.48599999999999</v>
      </c>
      <c r="P41" s="58">
        <v>150.36600000000001</v>
      </c>
      <c r="Q41" s="58">
        <v>146.97200000000001</v>
      </c>
      <c r="R41" s="58">
        <v>107.443</v>
      </c>
      <c r="S41" s="58">
        <v>39.529000000000003</v>
      </c>
      <c r="T41" s="58">
        <v>85.515000000000001</v>
      </c>
      <c r="U41" s="58">
        <v>58.984000000000002</v>
      </c>
      <c r="V41" s="58">
        <v>26.530999999999999</v>
      </c>
      <c r="W41" s="58">
        <v>61.457999999999998</v>
      </c>
      <c r="X41" s="58">
        <v>48.459000000000003</v>
      </c>
      <c r="Y41" s="58">
        <v>12.997999999999999</v>
      </c>
      <c r="Z41" s="58">
        <v>201.88</v>
      </c>
      <c r="AA41" s="58">
        <v>91.043000000000006</v>
      </c>
      <c r="AB41" s="58">
        <v>110.837</v>
      </c>
      <c r="AC41" s="58">
        <v>1640.325</v>
      </c>
      <c r="AD41" s="58">
        <v>835.46699999999998</v>
      </c>
      <c r="AE41" s="58">
        <v>804.85799999999995</v>
      </c>
      <c r="AF41" s="58">
        <v>570.98500000000001</v>
      </c>
      <c r="AG41" s="58">
        <v>414.64100000000002</v>
      </c>
      <c r="AH41" s="58">
        <v>156.34399999999999</v>
      </c>
      <c r="AI41" s="58">
        <v>1069.3399999999999</v>
      </c>
      <c r="AJ41" s="58">
        <v>420.82600000000002</v>
      </c>
      <c r="AK41" s="58">
        <v>648.51400000000001</v>
      </c>
      <c r="AL41" s="58">
        <v>684.58100000000002</v>
      </c>
      <c r="AM41" s="58">
        <v>499.37799999999999</v>
      </c>
      <c r="AN41" s="58">
        <v>185.20400000000001</v>
      </c>
      <c r="AO41" s="58">
        <v>1151.759</v>
      </c>
      <c r="AP41" s="58">
        <v>457.63299999999998</v>
      </c>
      <c r="AQ41" s="58">
        <v>694.12599999999998</v>
      </c>
      <c r="AR41" s="58">
        <v>1154.854</v>
      </c>
      <c r="AS41" s="58">
        <v>479.81</v>
      </c>
      <c r="AT41" s="58">
        <v>675.04499999999996</v>
      </c>
      <c r="AU41" s="58">
        <v>11444.733</v>
      </c>
      <c r="AV41" s="58">
        <v>6085.0219999999999</v>
      </c>
      <c r="AW41" s="58">
        <v>5359.7110000000002</v>
      </c>
      <c r="AX41" s="58">
        <v>7907.9319999999998</v>
      </c>
      <c r="AY41" s="58">
        <v>5045.6610000000001</v>
      </c>
      <c r="AZ41" s="58">
        <v>2862.2710000000002</v>
      </c>
      <c r="BA41" s="58">
        <v>3536.8009999999999</v>
      </c>
      <c r="BB41" s="58">
        <v>1039.3610000000001</v>
      </c>
      <c r="BC41" s="58">
        <v>2497.44</v>
      </c>
      <c r="BD41" s="58">
        <v>1795.1410000000001</v>
      </c>
      <c r="BE41" s="58">
        <v>924.76499999999999</v>
      </c>
      <c r="BF41" s="58">
        <v>870.37599999999998</v>
      </c>
      <c r="BG41" s="58">
        <v>327.72199999999998</v>
      </c>
      <c r="BH41" s="58">
        <v>180.86500000000001</v>
      </c>
      <c r="BI41" s="58">
        <v>146.857</v>
      </c>
      <c r="BJ41" s="58">
        <v>140.92699999999999</v>
      </c>
      <c r="BK41" s="58">
        <v>101.39700000000001</v>
      </c>
      <c r="BL41" s="58">
        <v>39.529000000000003</v>
      </c>
      <c r="BM41" s="58">
        <v>81.369</v>
      </c>
      <c r="BN41" s="58">
        <v>54.838000000000001</v>
      </c>
      <c r="BO41" s="58">
        <v>26.530999999999999</v>
      </c>
      <c r="BP41" s="58">
        <v>59.558</v>
      </c>
      <c r="BQ41" s="58">
        <v>46.56</v>
      </c>
      <c r="BR41" s="58">
        <v>12.997999999999999</v>
      </c>
      <c r="BS41" s="58">
        <v>186.79599999999999</v>
      </c>
      <c r="BT41" s="58">
        <v>79.468000000000004</v>
      </c>
      <c r="BU41" s="58">
        <v>107.328</v>
      </c>
      <c r="BV41" s="58">
        <v>1613.04</v>
      </c>
      <c r="BW41" s="58">
        <v>814.54200000000003</v>
      </c>
      <c r="BX41" s="58">
        <v>798.49900000000002</v>
      </c>
      <c r="BY41" s="58">
        <v>568.69500000000005</v>
      </c>
      <c r="BZ41" s="58">
        <v>412.43799999999999</v>
      </c>
      <c r="CA41" s="58">
        <v>156.25700000000001</v>
      </c>
      <c r="CB41" s="58">
        <v>1044.345</v>
      </c>
      <c r="CC41" s="58">
        <v>402.10399999999998</v>
      </c>
      <c r="CD41" s="58">
        <v>642.24099999999999</v>
      </c>
      <c r="CE41" s="58">
        <v>676.81200000000001</v>
      </c>
      <c r="CF41" s="58">
        <v>491.69499999999999</v>
      </c>
      <c r="CG41" s="58">
        <v>185.11699999999999</v>
      </c>
      <c r="CH41" s="58">
        <v>1118.328</v>
      </c>
      <c r="CI41" s="58">
        <v>433.07</v>
      </c>
      <c r="CJ41" s="58">
        <v>685.25900000000001</v>
      </c>
      <c r="CK41" s="58">
        <v>1125.7139999999999</v>
      </c>
      <c r="CL41" s="58">
        <v>456.94099999999997</v>
      </c>
      <c r="CM41" s="58">
        <v>668.77300000000002</v>
      </c>
      <c r="CN41" s="58">
        <v>1878.306</v>
      </c>
      <c r="CO41" s="58">
        <v>942.55100000000004</v>
      </c>
      <c r="CP41" s="58">
        <v>935.75400000000002</v>
      </c>
      <c r="CQ41" s="58">
        <v>867.03399999999999</v>
      </c>
      <c r="CR41" s="58">
        <v>512.21900000000005</v>
      </c>
      <c r="CS41" s="58">
        <v>354.81400000000002</v>
      </c>
      <c r="CT41" s="58">
        <v>1011.272</v>
      </c>
      <c r="CU41" s="58">
        <v>430.33199999999999</v>
      </c>
      <c r="CV41" s="58">
        <v>580.94000000000005</v>
      </c>
      <c r="CW41" s="58">
        <v>542.95799999999997</v>
      </c>
      <c r="CX41" s="58">
        <v>258.71199999999999</v>
      </c>
      <c r="CY41" s="58">
        <v>284.24599999999998</v>
      </c>
      <c r="CZ41" s="58">
        <v>80.123999999999995</v>
      </c>
      <c r="DA41" s="58">
        <v>38.915999999999997</v>
      </c>
      <c r="DB41" s="58">
        <v>41.207000000000001</v>
      </c>
      <c r="DC41" s="58">
        <v>16.370999999999999</v>
      </c>
      <c r="DD41" s="58">
        <v>8.6</v>
      </c>
      <c r="DE41" s="58">
        <v>7.7709999999999999</v>
      </c>
      <c r="DF41" s="58">
        <v>11.945</v>
      </c>
      <c r="DG41" s="58">
        <v>5.2409999999999997</v>
      </c>
      <c r="DH41" s="58">
        <v>6.7039999999999997</v>
      </c>
      <c r="DI41" s="58">
        <v>4.4260000000000002</v>
      </c>
      <c r="DJ41" s="58">
        <v>3.359</v>
      </c>
      <c r="DK41" s="58">
        <v>1.0669999999999999</v>
      </c>
      <c r="DL41" s="58">
        <v>63.752000000000002</v>
      </c>
      <c r="DM41" s="58">
        <v>30.315999999999999</v>
      </c>
      <c r="DN41" s="58">
        <v>33.436</v>
      </c>
      <c r="DO41" s="58">
        <v>513.30799999999999</v>
      </c>
      <c r="DP41" s="58">
        <v>241.35599999999999</v>
      </c>
      <c r="DQ41" s="58">
        <v>271.952</v>
      </c>
      <c r="DR41" s="58">
        <v>108.52800000000001</v>
      </c>
      <c r="DS41" s="58">
        <v>67.688000000000002</v>
      </c>
      <c r="DT41" s="58">
        <v>40.840000000000003</v>
      </c>
      <c r="DU41" s="58">
        <v>404.78</v>
      </c>
      <c r="DV41" s="58">
        <v>173.66800000000001</v>
      </c>
      <c r="DW41" s="58">
        <v>231.11199999999999</v>
      </c>
      <c r="DX41" s="58">
        <v>117.21299999999999</v>
      </c>
      <c r="DY41" s="58">
        <v>73.239000000000004</v>
      </c>
      <c r="DZ41" s="58">
        <v>43.973999999999997</v>
      </c>
      <c r="EA41" s="58">
        <v>425.745</v>
      </c>
      <c r="EB41" s="58">
        <v>185.47300000000001</v>
      </c>
      <c r="EC41" s="58">
        <v>240.27099999999999</v>
      </c>
      <c r="ED41" s="58">
        <v>416.72500000000002</v>
      </c>
      <c r="EE41" s="58">
        <v>178.90899999999999</v>
      </c>
      <c r="EF41" s="58">
        <v>237.816</v>
      </c>
      <c r="EG41" s="58">
        <v>671.56100000000004</v>
      </c>
      <c r="EH41" s="58">
        <v>320.09500000000003</v>
      </c>
      <c r="EI41" s="58">
        <v>351.46699999999998</v>
      </c>
      <c r="EJ41" s="58">
        <v>156.93100000000001</v>
      </c>
      <c r="EK41" s="58">
        <v>99.981999999999999</v>
      </c>
      <c r="EL41" s="58">
        <v>56.948</v>
      </c>
      <c r="EM41" s="58">
        <v>514.63099999999997</v>
      </c>
      <c r="EN41" s="58">
        <v>220.11199999999999</v>
      </c>
      <c r="EO41" s="58">
        <v>294.51799999999997</v>
      </c>
      <c r="EP41" s="58">
        <v>233.691</v>
      </c>
      <c r="EQ41" s="58">
        <v>112.10899999999999</v>
      </c>
      <c r="ER41" s="58">
        <v>121.58199999999999</v>
      </c>
      <c r="ES41" s="58">
        <v>31.651</v>
      </c>
      <c r="ET41" s="58">
        <v>18.132999999999999</v>
      </c>
      <c r="EU41" s="58">
        <v>13.518000000000001</v>
      </c>
      <c r="EV41" s="58">
        <v>3.6110000000000002</v>
      </c>
      <c r="EW41" s="58">
        <v>2.5070000000000001</v>
      </c>
      <c r="EX41" s="58">
        <v>1.1040000000000001</v>
      </c>
      <c r="EY41" s="58">
        <v>2.7709999999999999</v>
      </c>
      <c r="EZ41" s="58">
        <v>1.667</v>
      </c>
      <c r="FA41" s="58">
        <v>1.1040000000000001</v>
      </c>
      <c r="FB41" s="58">
        <v>0.84</v>
      </c>
      <c r="FC41" s="58">
        <v>0.84</v>
      </c>
      <c r="FD41" s="58">
        <v>0</v>
      </c>
      <c r="FE41" s="58">
        <v>28.041</v>
      </c>
      <c r="FF41" s="58">
        <v>15.625999999999999</v>
      </c>
      <c r="FG41" s="58">
        <v>12.414</v>
      </c>
      <c r="FH41" s="58">
        <v>220.45400000000001</v>
      </c>
      <c r="FI41" s="58">
        <v>102.872</v>
      </c>
      <c r="FJ41" s="58">
        <v>117.58199999999999</v>
      </c>
      <c r="FK41" s="58">
        <v>25.571000000000002</v>
      </c>
      <c r="FL41" s="58">
        <v>16.477</v>
      </c>
      <c r="FM41" s="58">
        <v>9.0939999999999994</v>
      </c>
      <c r="FN41" s="58">
        <v>194.88300000000001</v>
      </c>
      <c r="FO41" s="58">
        <v>86.396000000000001</v>
      </c>
      <c r="FP41" s="58">
        <v>108.48699999999999</v>
      </c>
      <c r="FQ41" s="58">
        <v>26.751000000000001</v>
      </c>
      <c r="FR41" s="58">
        <v>17.657</v>
      </c>
      <c r="FS41" s="58">
        <v>9.0939999999999994</v>
      </c>
      <c r="FT41" s="58">
        <v>206.94</v>
      </c>
      <c r="FU41" s="58">
        <v>94.453000000000003</v>
      </c>
      <c r="FV41" s="58">
        <v>112.488</v>
      </c>
      <c r="FW41" s="58">
        <v>197.654</v>
      </c>
      <c r="FX41" s="58">
        <v>88.063000000000002</v>
      </c>
      <c r="FY41" s="58">
        <v>109.59099999999999</v>
      </c>
      <c r="FZ41" s="58">
        <v>1206.7439999999999</v>
      </c>
      <c r="GA41" s="58">
        <v>622.45699999999999</v>
      </c>
      <c r="GB41" s="58">
        <v>584.28700000000003</v>
      </c>
      <c r="GC41" s="58">
        <v>710.10299999999995</v>
      </c>
      <c r="GD41" s="58">
        <v>412.23700000000002</v>
      </c>
      <c r="GE41" s="58">
        <v>297.86599999999999</v>
      </c>
      <c r="GF41" s="58">
        <v>496.64100000000002</v>
      </c>
      <c r="GG41" s="58">
        <v>210.22</v>
      </c>
      <c r="GH41" s="58">
        <v>286.42200000000003</v>
      </c>
      <c r="GI41" s="58">
        <v>309.26600000000002</v>
      </c>
      <c r="GJ41" s="58">
        <v>146.602</v>
      </c>
      <c r="GK41" s="58">
        <v>162.66399999999999</v>
      </c>
      <c r="GL41" s="58">
        <v>48.472000000000001</v>
      </c>
      <c r="GM41" s="58">
        <v>20.783000000000001</v>
      </c>
      <c r="GN41" s="58">
        <v>27.689</v>
      </c>
      <c r="GO41" s="58">
        <v>12.760999999999999</v>
      </c>
      <c r="GP41" s="58">
        <v>6.0940000000000003</v>
      </c>
      <c r="GQ41" s="58">
        <v>6.6669999999999998</v>
      </c>
      <c r="GR41" s="58">
        <v>9.1739999999999995</v>
      </c>
      <c r="GS41" s="58">
        <v>3.5750000000000002</v>
      </c>
      <c r="GT41" s="58">
        <v>5.6</v>
      </c>
      <c r="GU41" s="58">
        <v>3.5859999999999999</v>
      </c>
      <c r="GV41" s="58">
        <v>2.5190000000000001</v>
      </c>
      <c r="GW41" s="58">
        <v>1.0669999999999999</v>
      </c>
      <c r="GX41" s="58">
        <v>35.712000000000003</v>
      </c>
      <c r="GY41" s="58">
        <v>14.69</v>
      </c>
      <c r="GZ41" s="58">
        <v>21.021999999999998</v>
      </c>
      <c r="HA41" s="58">
        <v>292.85399999999998</v>
      </c>
      <c r="HB41" s="58">
        <v>138.483</v>
      </c>
      <c r="HC41" s="58">
        <v>154.37</v>
      </c>
      <c r="HD41" s="58">
        <v>82.956999999999994</v>
      </c>
      <c r="HE41" s="58">
        <v>51.212000000000003</v>
      </c>
      <c r="HF41" s="58">
        <v>31.745000000000001</v>
      </c>
      <c r="HG41" s="58">
        <v>209.89599999999999</v>
      </c>
      <c r="HH41" s="58">
        <v>87.272000000000006</v>
      </c>
      <c r="HI41" s="58">
        <v>122.625</v>
      </c>
      <c r="HJ41" s="58">
        <v>90.462000000000003</v>
      </c>
      <c r="HK41" s="58">
        <v>55.582000000000001</v>
      </c>
      <c r="HL41" s="58">
        <v>34.880000000000003</v>
      </c>
      <c r="HM41" s="58">
        <v>218.804</v>
      </c>
      <c r="HN41" s="58">
        <v>91.021000000000001</v>
      </c>
      <c r="HO41" s="58">
        <v>127.78400000000001</v>
      </c>
      <c r="HP41" s="58">
        <v>219.071</v>
      </c>
      <c r="HQ41" s="58">
        <v>90.846000000000004</v>
      </c>
      <c r="HR41" s="58">
        <v>128.22399999999999</v>
      </c>
      <c r="HS41" s="58">
        <v>2811.4569999999999</v>
      </c>
      <c r="HT41" s="58">
        <v>1534.144</v>
      </c>
      <c r="HU41" s="58">
        <v>1277.3130000000001</v>
      </c>
      <c r="HV41" s="58">
        <v>2166.5140000000001</v>
      </c>
      <c r="HW41" s="58">
        <v>1345.5619999999999</v>
      </c>
      <c r="HX41" s="58">
        <v>820.952</v>
      </c>
      <c r="HY41" s="58">
        <v>644.94399999999996</v>
      </c>
      <c r="HZ41" s="58">
        <v>188.58199999999999</v>
      </c>
      <c r="IA41" s="58">
        <v>456.36099999999999</v>
      </c>
      <c r="IB41" s="58">
        <v>421.495</v>
      </c>
      <c r="IC41" s="58">
        <v>236.97300000000001</v>
      </c>
      <c r="ID41" s="58">
        <v>184.52199999999999</v>
      </c>
      <c r="IE41" s="58">
        <v>72.63</v>
      </c>
      <c r="IF41" s="58">
        <v>42.304000000000002</v>
      </c>
      <c r="IG41" s="58">
        <v>30.326000000000001</v>
      </c>
      <c r="IH41" s="58">
        <v>38.526000000000003</v>
      </c>
      <c r="II41" s="58">
        <v>29.248000000000001</v>
      </c>
      <c r="IJ41" s="58">
        <v>9.2780000000000005</v>
      </c>
      <c r="IK41" s="58">
        <v>20.294</v>
      </c>
      <c r="IL41" s="58">
        <v>14.759</v>
      </c>
      <c r="IM41" s="58">
        <v>5.5350000000000001</v>
      </c>
      <c r="IN41" s="58">
        <v>18.231999999999999</v>
      </c>
      <c r="IO41" s="58">
        <v>14.489000000000001</v>
      </c>
      <c r="IP41" s="58">
        <v>3.7429999999999999</v>
      </c>
      <c r="IQ41" s="58">
        <v>34.103999999999999</v>
      </c>
    </row>
    <row r="42" spans="1:251">
      <c r="A42" s="5">
        <v>42767</v>
      </c>
      <c r="B42" s="58">
        <v>12103.333000000001</v>
      </c>
      <c r="C42" s="58">
        <v>6480.4790000000003</v>
      </c>
      <c r="D42" s="58">
        <v>5622.8540000000003</v>
      </c>
      <c r="E42" s="58">
        <v>8291.0689999999995</v>
      </c>
      <c r="F42" s="58">
        <v>5298.8280000000004</v>
      </c>
      <c r="G42" s="58">
        <v>2992.241</v>
      </c>
      <c r="H42" s="58">
        <v>3812.2640000000001</v>
      </c>
      <c r="I42" s="58">
        <v>1181.6510000000001</v>
      </c>
      <c r="J42" s="58">
        <v>2630.6129999999998</v>
      </c>
      <c r="K42" s="58">
        <v>1857.8440000000001</v>
      </c>
      <c r="L42" s="58">
        <v>980.31899999999996</v>
      </c>
      <c r="M42" s="58">
        <v>877.52499999999998</v>
      </c>
      <c r="N42" s="58">
        <v>382.72699999999998</v>
      </c>
      <c r="O42" s="58">
        <v>211.50299999999999</v>
      </c>
      <c r="P42" s="58">
        <v>171.22399999999999</v>
      </c>
      <c r="Q42" s="58">
        <v>159.25200000000001</v>
      </c>
      <c r="R42" s="58">
        <v>114.04900000000001</v>
      </c>
      <c r="S42" s="58">
        <v>45.203000000000003</v>
      </c>
      <c r="T42" s="58">
        <v>85.692999999999998</v>
      </c>
      <c r="U42" s="58">
        <v>57.45</v>
      </c>
      <c r="V42" s="58">
        <v>28.242999999999999</v>
      </c>
      <c r="W42" s="58">
        <v>73.558999999999997</v>
      </c>
      <c r="X42" s="58">
        <v>56.598999999999997</v>
      </c>
      <c r="Y42" s="58">
        <v>16.959</v>
      </c>
      <c r="Z42" s="58">
        <v>223.476</v>
      </c>
      <c r="AA42" s="58">
        <v>97.453999999999994</v>
      </c>
      <c r="AB42" s="58">
        <v>126.021</v>
      </c>
      <c r="AC42" s="58">
        <v>1647.934</v>
      </c>
      <c r="AD42" s="58">
        <v>862.77599999999995</v>
      </c>
      <c r="AE42" s="58">
        <v>785.15800000000002</v>
      </c>
      <c r="AF42" s="58">
        <v>597.99099999999999</v>
      </c>
      <c r="AG42" s="58">
        <v>444.45800000000003</v>
      </c>
      <c r="AH42" s="58">
        <v>153.53299999999999</v>
      </c>
      <c r="AI42" s="58">
        <v>1049.943</v>
      </c>
      <c r="AJ42" s="58">
        <v>418.31799999999998</v>
      </c>
      <c r="AK42" s="58">
        <v>631.625</v>
      </c>
      <c r="AL42" s="58">
        <v>716.32500000000005</v>
      </c>
      <c r="AM42" s="58">
        <v>528.48299999999995</v>
      </c>
      <c r="AN42" s="58">
        <v>187.84299999999999</v>
      </c>
      <c r="AO42" s="58">
        <v>1141.518</v>
      </c>
      <c r="AP42" s="58">
        <v>451.83600000000001</v>
      </c>
      <c r="AQ42" s="58">
        <v>689.68200000000002</v>
      </c>
      <c r="AR42" s="58">
        <v>1135.636</v>
      </c>
      <c r="AS42" s="58">
        <v>475.76799999999997</v>
      </c>
      <c r="AT42" s="58">
        <v>659.86800000000005</v>
      </c>
      <c r="AU42" s="58">
        <v>11635.477000000001</v>
      </c>
      <c r="AV42" s="58">
        <v>6199.0690000000004</v>
      </c>
      <c r="AW42" s="58">
        <v>5436.4080000000004</v>
      </c>
      <c r="AX42" s="58">
        <v>8087.9110000000001</v>
      </c>
      <c r="AY42" s="58">
        <v>5146.4040000000005</v>
      </c>
      <c r="AZ42" s="58">
        <v>2941.5059999999999</v>
      </c>
      <c r="BA42" s="58">
        <v>3547.5659999999998</v>
      </c>
      <c r="BB42" s="58">
        <v>1052.665</v>
      </c>
      <c r="BC42" s="58">
        <v>2494.9009999999998</v>
      </c>
      <c r="BD42" s="58">
        <v>1817.8579999999999</v>
      </c>
      <c r="BE42" s="58">
        <v>953.54899999999998</v>
      </c>
      <c r="BF42" s="58">
        <v>864.30799999999999</v>
      </c>
      <c r="BG42" s="58">
        <v>360.399</v>
      </c>
      <c r="BH42" s="58">
        <v>196.661</v>
      </c>
      <c r="BI42" s="58">
        <v>163.73699999999999</v>
      </c>
      <c r="BJ42" s="58">
        <v>153.881</v>
      </c>
      <c r="BK42" s="58">
        <v>109.453</v>
      </c>
      <c r="BL42" s="58">
        <v>44.427999999999997</v>
      </c>
      <c r="BM42" s="58">
        <v>83.578999999999994</v>
      </c>
      <c r="BN42" s="58">
        <v>55.709000000000003</v>
      </c>
      <c r="BO42" s="58">
        <v>27.87</v>
      </c>
      <c r="BP42" s="58">
        <v>70.302000000000007</v>
      </c>
      <c r="BQ42" s="58">
        <v>53.744</v>
      </c>
      <c r="BR42" s="58">
        <v>16.558</v>
      </c>
      <c r="BS42" s="58">
        <v>206.518</v>
      </c>
      <c r="BT42" s="58">
        <v>87.209000000000003</v>
      </c>
      <c r="BU42" s="58">
        <v>119.309</v>
      </c>
      <c r="BV42" s="58">
        <v>1625.5930000000001</v>
      </c>
      <c r="BW42" s="58">
        <v>847.84500000000003</v>
      </c>
      <c r="BX42" s="58">
        <v>777.74800000000005</v>
      </c>
      <c r="BY42" s="58">
        <v>595.17600000000004</v>
      </c>
      <c r="BZ42" s="58">
        <v>441.72800000000001</v>
      </c>
      <c r="CA42" s="58">
        <v>153.44900000000001</v>
      </c>
      <c r="CB42" s="58">
        <v>1030.4169999999999</v>
      </c>
      <c r="CC42" s="58">
        <v>406.11799999999999</v>
      </c>
      <c r="CD42" s="58">
        <v>624.29999999999995</v>
      </c>
      <c r="CE42" s="58">
        <v>708.62599999999998</v>
      </c>
      <c r="CF42" s="58">
        <v>521.64200000000005</v>
      </c>
      <c r="CG42" s="58">
        <v>186.983</v>
      </c>
      <c r="CH42" s="58">
        <v>1109.232</v>
      </c>
      <c r="CI42" s="58">
        <v>431.90699999999998</v>
      </c>
      <c r="CJ42" s="58">
        <v>677.32500000000005</v>
      </c>
      <c r="CK42" s="58">
        <v>1113.9960000000001</v>
      </c>
      <c r="CL42" s="58">
        <v>461.82600000000002</v>
      </c>
      <c r="CM42" s="58">
        <v>652.16999999999996</v>
      </c>
      <c r="CN42" s="58">
        <v>1853.4849999999999</v>
      </c>
      <c r="CO42" s="58">
        <v>944.524</v>
      </c>
      <c r="CP42" s="58">
        <v>908.96100000000001</v>
      </c>
      <c r="CQ42" s="58">
        <v>856.92200000000003</v>
      </c>
      <c r="CR42" s="58">
        <v>513.40599999999995</v>
      </c>
      <c r="CS42" s="58">
        <v>343.51600000000002</v>
      </c>
      <c r="CT42" s="58">
        <v>996.56299999999999</v>
      </c>
      <c r="CU42" s="58">
        <v>431.11799999999999</v>
      </c>
      <c r="CV42" s="58">
        <v>565.44399999999996</v>
      </c>
      <c r="CW42" s="58">
        <v>528.94899999999996</v>
      </c>
      <c r="CX42" s="58">
        <v>268.08800000000002</v>
      </c>
      <c r="CY42" s="58">
        <v>260.86099999999999</v>
      </c>
      <c r="CZ42" s="58">
        <v>89.712999999999994</v>
      </c>
      <c r="DA42" s="58">
        <v>46.726999999999997</v>
      </c>
      <c r="DB42" s="58">
        <v>42.985999999999997</v>
      </c>
      <c r="DC42" s="58">
        <v>17.779</v>
      </c>
      <c r="DD42" s="58">
        <v>10.842000000000001</v>
      </c>
      <c r="DE42" s="58">
        <v>6.9379999999999997</v>
      </c>
      <c r="DF42" s="58">
        <v>14.31</v>
      </c>
      <c r="DG42" s="58">
        <v>7.3719999999999999</v>
      </c>
      <c r="DH42" s="58">
        <v>6.9379999999999997</v>
      </c>
      <c r="DI42" s="58">
        <v>3.4689999999999999</v>
      </c>
      <c r="DJ42" s="58">
        <v>3.4689999999999999</v>
      </c>
      <c r="DK42" s="58">
        <v>0</v>
      </c>
      <c r="DL42" s="58">
        <v>71.933000000000007</v>
      </c>
      <c r="DM42" s="58">
        <v>35.884999999999998</v>
      </c>
      <c r="DN42" s="58">
        <v>36.048000000000002</v>
      </c>
      <c r="DO42" s="58">
        <v>490.7</v>
      </c>
      <c r="DP42" s="58">
        <v>249.47800000000001</v>
      </c>
      <c r="DQ42" s="58">
        <v>241.22200000000001</v>
      </c>
      <c r="DR42" s="58">
        <v>109.029</v>
      </c>
      <c r="DS42" s="58">
        <v>74.555000000000007</v>
      </c>
      <c r="DT42" s="58">
        <v>34.473999999999997</v>
      </c>
      <c r="DU42" s="58">
        <v>381.67099999999999</v>
      </c>
      <c r="DV42" s="58">
        <v>174.923</v>
      </c>
      <c r="DW42" s="58">
        <v>206.74799999999999</v>
      </c>
      <c r="DX42" s="58">
        <v>119.878</v>
      </c>
      <c r="DY42" s="58">
        <v>80.617000000000004</v>
      </c>
      <c r="DZ42" s="58">
        <v>39.261000000000003</v>
      </c>
      <c r="EA42" s="58">
        <v>409.07100000000003</v>
      </c>
      <c r="EB42" s="58">
        <v>187.471</v>
      </c>
      <c r="EC42" s="58">
        <v>221.6</v>
      </c>
      <c r="ED42" s="58">
        <v>395.98099999999999</v>
      </c>
      <c r="EE42" s="58">
        <v>182.29499999999999</v>
      </c>
      <c r="EF42" s="58">
        <v>213.68600000000001</v>
      </c>
      <c r="EG42" s="58">
        <v>650.59699999999998</v>
      </c>
      <c r="EH42" s="58">
        <v>313.68799999999999</v>
      </c>
      <c r="EI42" s="58">
        <v>336.90800000000002</v>
      </c>
      <c r="EJ42" s="58">
        <v>151.31700000000001</v>
      </c>
      <c r="EK42" s="58">
        <v>102.85599999999999</v>
      </c>
      <c r="EL42" s="58">
        <v>48.460999999999999</v>
      </c>
      <c r="EM42" s="58">
        <v>499.279</v>
      </c>
      <c r="EN42" s="58">
        <v>210.83199999999999</v>
      </c>
      <c r="EO42" s="58">
        <v>288.447</v>
      </c>
      <c r="EP42" s="58">
        <v>229.79599999999999</v>
      </c>
      <c r="EQ42" s="58">
        <v>107.78100000000001</v>
      </c>
      <c r="ER42" s="58">
        <v>122.015</v>
      </c>
      <c r="ES42" s="58">
        <v>42.807000000000002</v>
      </c>
      <c r="ET42" s="58">
        <v>24.234000000000002</v>
      </c>
      <c r="EU42" s="58">
        <v>18.573</v>
      </c>
      <c r="EV42" s="58">
        <v>4.7050000000000001</v>
      </c>
      <c r="EW42" s="58">
        <v>2.48</v>
      </c>
      <c r="EX42" s="58">
        <v>2.2250000000000001</v>
      </c>
      <c r="EY42" s="58">
        <v>4.2469999999999999</v>
      </c>
      <c r="EZ42" s="58">
        <v>2.0219999999999998</v>
      </c>
      <c r="FA42" s="58">
        <v>2.2250000000000001</v>
      </c>
      <c r="FB42" s="58">
        <v>0.45700000000000002</v>
      </c>
      <c r="FC42" s="58">
        <v>0.45700000000000002</v>
      </c>
      <c r="FD42" s="58">
        <v>0</v>
      </c>
      <c r="FE42" s="58">
        <v>38.103000000000002</v>
      </c>
      <c r="FF42" s="58">
        <v>21.754000000000001</v>
      </c>
      <c r="FG42" s="58">
        <v>16.347999999999999</v>
      </c>
      <c r="FH42" s="58">
        <v>211.63900000000001</v>
      </c>
      <c r="FI42" s="58">
        <v>98.67</v>
      </c>
      <c r="FJ42" s="58">
        <v>112.97</v>
      </c>
      <c r="FK42" s="58">
        <v>24.199000000000002</v>
      </c>
      <c r="FL42" s="58">
        <v>15.864000000000001</v>
      </c>
      <c r="FM42" s="58">
        <v>8.3350000000000009</v>
      </c>
      <c r="FN42" s="58">
        <v>187.44</v>
      </c>
      <c r="FO42" s="58">
        <v>82.805999999999997</v>
      </c>
      <c r="FP42" s="58">
        <v>104.634</v>
      </c>
      <c r="FQ42" s="58">
        <v>26.073</v>
      </c>
      <c r="FR42" s="58">
        <v>16.93</v>
      </c>
      <c r="FS42" s="58">
        <v>9.1430000000000007</v>
      </c>
      <c r="FT42" s="58">
        <v>203.72300000000001</v>
      </c>
      <c r="FU42" s="58">
        <v>90.850999999999999</v>
      </c>
      <c r="FV42" s="58">
        <v>112.872</v>
      </c>
      <c r="FW42" s="58">
        <v>191.68799999999999</v>
      </c>
      <c r="FX42" s="58">
        <v>84.828000000000003</v>
      </c>
      <c r="FY42" s="58">
        <v>106.85899999999999</v>
      </c>
      <c r="FZ42" s="58">
        <v>1202.8879999999999</v>
      </c>
      <c r="GA42" s="58">
        <v>630.83600000000001</v>
      </c>
      <c r="GB42" s="58">
        <v>572.05200000000002</v>
      </c>
      <c r="GC42" s="58">
        <v>705.60400000000004</v>
      </c>
      <c r="GD42" s="58">
        <v>410.54899999999998</v>
      </c>
      <c r="GE42" s="58">
        <v>295.05500000000001</v>
      </c>
      <c r="GF42" s="58">
        <v>497.28399999999999</v>
      </c>
      <c r="GG42" s="58">
        <v>220.28700000000001</v>
      </c>
      <c r="GH42" s="58">
        <v>276.99700000000001</v>
      </c>
      <c r="GI42" s="58">
        <v>299.15300000000002</v>
      </c>
      <c r="GJ42" s="58">
        <v>160.30699999999999</v>
      </c>
      <c r="GK42" s="58">
        <v>138.846</v>
      </c>
      <c r="GL42" s="58">
        <v>46.905000000000001</v>
      </c>
      <c r="GM42" s="58">
        <v>22.492999999999999</v>
      </c>
      <c r="GN42" s="58">
        <v>24.413</v>
      </c>
      <c r="GO42" s="58">
        <v>13.074999999999999</v>
      </c>
      <c r="GP42" s="58">
        <v>8.3620000000000001</v>
      </c>
      <c r="GQ42" s="58">
        <v>4.7130000000000001</v>
      </c>
      <c r="GR42" s="58">
        <v>10.063000000000001</v>
      </c>
      <c r="GS42" s="58">
        <v>5.35</v>
      </c>
      <c r="GT42" s="58">
        <v>4.7130000000000001</v>
      </c>
      <c r="GU42" s="58">
        <v>3.012</v>
      </c>
      <c r="GV42" s="58">
        <v>3.012</v>
      </c>
      <c r="GW42" s="58">
        <v>0</v>
      </c>
      <c r="GX42" s="58">
        <v>33.831000000000003</v>
      </c>
      <c r="GY42" s="58">
        <v>14.131</v>
      </c>
      <c r="GZ42" s="58">
        <v>19.7</v>
      </c>
      <c r="HA42" s="58">
        <v>279.06099999999998</v>
      </c>
      <c r="HB42" s="58">
        <v>150.80799999999999</v>
      </c>
      <c r="HC42" s="58">
        <v>128.25299999999999</v>
      </c>
      <c r="HD42" s="58">
        <v>84.83</v>
      </c>
      <c r="HE42" s="58">
        <v>58.691000000000003</v>
      </c>
      <c r="HF42" s="58">
        <v>26.138999999999999</v>
      </c>
      <c r="HG42" s="58">
        <v>194.23099999999999</v>
      </c>
      <c r="HH42" s="58">
        <v>92.117000000000004</v>
      </c>
      <c r="HI42" s="58">
        <v>102.114</v>
      </c>
      <c r="HJ42" s="58">
        <v>93.805000000000007</v>
      </c>
      <c r="HK42" s="58">
        <v>63.686999999999998</v>
      </c>
      <c r="HL42" s="58">
        <v>30.119</v>
      </c>
      <c r="HM42" s="58">
        <v>205.34800000000001</v>
      </c>
      <c r="HN42" s="58">
        <v>96.62</v>
      </c>
      <c r="HO42" s="58">
        <v>108.727</v>
      </c>
      <c r="HP42" s="58">
        <v>204.29400000000001</v>
      </c>
      <c r="HQ42" s="58">
        <v>97.466999999999999</v>
      </c>
      <c r="HR42" s="58">
        <v>106.827</v>
      </c>
      <c r="HS42" s="58">
        <v>2865.723</v>
      </c>
      <c r="HT42" s="58">
        <v>1563.3320000000001</v>
      </c>
      <c r="HU42" s="58">
        <v>1302.3910000000001</v>
      </c>
      <c r="HV42" s="58">
        <v>2220.1120000000001</v>
      </c>
      <c r="HW42" s="58">
        <v>1364.7049999999999</v>
      </c>
      <c r="HX42" s="58">
        <v>855.40700000000004</v>
      </c>
      <c r="HY42" s="58">
        <v>645.61099999999999</v>
      </c>
      <c r="HZ42" s="58">
        <v>198.62700000000001</v>
      </c>
      <c r="IA42" s="58">
        <v>446.98399999999998</v>
      </c>
      <c r="IB42" s="58">
        <v>426.375</v>
      </c>
      <c r="IC42" s="58">
        <v>243.83799999999999</v>
      </c>
      <c r="ID42" s="58">
        <v>182.53800000000001</v>
      </c>
      <c r="IE42" s="58">
        <v>74.45</v>
      </c>
      <c r="IF42" s="58">
        <v>41.267000000000003</v>
      </c>
      <c r="IG42" s="58">
        <v>33.182000000000002</v>
      </c>
      <c r="IH42" s="58">
        <v>43.185000000000002</v>
      </c>
      <c r="II42" s="58">
        <v>29.096</v>
      </c>
      <c r="IJ42" s="58">
        <v>14.089</v>
      </c>
      <c r="IK42" s="58">
        <v>19.978000000000002</v>
      </c>
      <c r="IL42" s="58">
        <v>13.599</v>
      </c>
      <c r="IM42" s="58">
        <v>6.3780000000000001</v>
      </c>
      <c r="IN42" s="58">
        <v>23.207999999999998</v>
      </c>
      <c r="IO42" s="58">
        <v>15.497</v>
      </c>
      <c r="IP42" s="58">
        <v>7.7110000000000003</v>
      </c>
      <c r="IQ42" s="58">
        <v>31.263999999999999</v>
      </c>
    </row>
    <row r="43" spans="1:251">
      <c r="A43" s="5">
        <v>42795</v>
      </c>
      <c r="B43" s="58">
        <v>12121.802</v>
      </c>
      <c r="C43" s="58">
        <v>6477.93</v>
      </c>
      <c r="D43" s="58">
        <v>5643.8710000000001</v>
      </c>
      <c r="E43" s="58">
        <v>8256.1119999999992</v>
      </c>
      <c r="F43" s="58">
        <v>5263.7340000000004</v>
      </c>
      <c r="G43" s="58">
        <v>2992.3780000000002</v>
      </c>
      <c r="H43" s="58">
        <v>3865.69</v>
      </c>
      <c r="I43" s="58">
        <v>1214.1959999999999</v>
      </c>
      <c r="J43" s="58">
        <v>2651.4929999999999</v>
      </c>
      <c r="K43" s="58">
        <v>1799.845</v>
      </c>
      <c r="L43" s="58">
        <v>951.995</v>
      </c>
      <c r="M43" s="58">
        <v>847.85</v>
      </c>
      <c r="N43" s="58">
        <v>367.26799999999997</v>
      </c>
      <c r="O43" s="58">
        <v>212.73400000000001</v>
      </c>
      <c r="P43" s="58">
        <v>154.53399999999999</v>
      </c>
      <c r="Q43" s="58">
        <v>133.262</v>
      </c>
      <c r="R43" s="58">
        <v>108.032</v>
      </c>
      <c r="S43" s="58">
        <v>25.23</v>
      </c>
      <c r="T43" s="58">
        <v>77.558999999999997</v>
      </c>
      <c r="U43" s="58">
        <v>62.014000000000003</v>
      </c>
      <c r="V43" s="58">
        <v>15.545</v>
      </c>
      <c r="W43" s="58">
        <v>55.703000000000003</v>
      </c>
      <c r="X43" s="58">
        <v>46.018000000000001</v>
      </c>
      <c r="Y43" s="58">
        <v>9.6850000000000005</v>
      </c>
      <c r="Z43" s="58">
        <v>234.006</v>
      </c>
      <c r="AA43" s="58">
        <v>104.702</v>
      </c>
      <c r="AB43" s="58">
        <v>129.304</v>
      </c>
      <c r="AC43" s="58">
        <v>1590.9280000000001</v>
      </c>
      <c r="AD43" s="58">
        <v>832.62699999999995</v>
      </c>
      <c r="AE43" s="58">
        <v>758.30100000000004</v>
      </c>
      <c r="AF43" s="58">
        <v>577.09299999999996</v>
      </c>
      <c r="AG43" s="58">
        <v>433.767</v>
      </c>
      <c r="AH43" s="58">
        <v>143.327</v>
      </c>
      <c r="AI43" s="58">
        <v>1013.8339999999999</v>
      </c>
      <c r="AJ43" s="58">
        <v>398.86099999999999</v>
      </c>
      <c r="AK43" s="58">
        <v>614.97400000000005</v>
      </c>
      <c r="AL43" s="58">
        <v>673.09900000000005</v>
      </c>
      <c r="AM43" s="58">
        <v>509.34300000000002</v>
      </c>
      <c r="AN43" s="58">
        <v>163.756</v>
      </c>
      <c r="AO43" s="58">
        <v>1126.7460000000001</v>
      </c>
      <c r="AP43" s="58">
        <v>442.65100000000001</v>
      </c>
      <c r="AQ43" s="58">
        <v>684.09400000000005</v>
      </c>
      <c r="AR43" s="58">
        <v>1091.394</v>
      </c>
      <c r="AS43" s="58">
        <v>460.875</v>
      </c>
      <c r="AT43" s="58">
        <v>630.51900000000001</v>
      </c>
      <c r="AU43" s="58">
        <v>11655.572</v>
      </c>
      <c r="AV43" s="58">
        <v>6198.66</v>
      </c>
      <c r="AW43" s="58">
        <v>5456.9120000000003</v>
      </c>
      <c r="AX43" s="58">
        <v>8058.3810000000003</v>
      </c>
      <c r="AY43" s="58">
        <v>5117.9530000000004</v>
      </c>
      <c r="AZ43" s="58">
        <v>2940.4279999999999</v>
      </c>
      <c r="BA43" s="58">
        <v>3597.1909999999998</v>
      </c>
      <c r="BB43" s="58">
        <v>1080.7070000000001</v>
      </c>
      <c r="BC43" s="58">
        <v>2516.4839999999999</v>
      </c>
      <c r="BD43" s="58">
        <v>1759.548</v>
      </c>
      <c r="BE43" s="58">
        <v>921.62099999999998</v>
      </c>
      <c r="BF43" s="58">
        <v>837.92700000000002</v>
      </c>
      <c r="BG43" s="58">
        <v>344.41</v>
      </c>
      <c r="BH43" s="58">
        <v>193.83600000000001</v>
      </c>
      <c r="BI43" s="58">
        <v>150.57499999999999</v>
      </c>
      <c r="BJ43" s="58">
        <v>130.39699999999999</v>
      </c>
      <c r="BK43" s="58">
        <v>105.167</v>
      </c>
      <c r="BL43" s="58">
        <v>25.23</v>
      </c>
      <c r="BM43" s="58">
        <v>76.308999999999997</v>
      </c>
      <c r="BN43" s="58">
        <v>60.765000000000001</v>
      </c>
      <c r="BO43" s="58">
        <v>15.545</v>
      </c>
      <c r="BP43" s="58">
        <v>54.087000000000003</v>
      </c>
      <c r="BQ43" s="58">
        <v>44.402000000000001</v>
      </c>
      <c r="BR43" s="58">
        <v>9.6850000000000005</v>
      </c>
      <c r="BS43" s="58">
        <v>214.01300000000001</v>
      </c>
      <c r="BT43" s="58">
        <v>88.668999999999997</v>
      </c>
      <c r="BU43" s="58">
        <v>125.34399999999999</v>
      </c>
      <c r="BV43" s="58">
        <v>1566.7529999999999</v>
      </c>
      <c r="BW43" s="58">
        <v>816.04700000000003</v>
      </c>
      <c r="BX43" s="58">
        <v>750.70699999999999</v>
      </c>
      <c r="BY43" s="58">
        <v>573.75599999999997</v>
      </c>
      <c r="BZ43" s="58">
        <v>430.88900000000001</v>
      </c>
      <c r="CA43" s="58">
        <v>142.86699999999999</v>
      </c>
      <c r="CB43" s="58">
        <v>992.99699999999996</v>
      </c>
      <c r="CC43" s="58">
        <v>385.15699999999998</v>
      </c>
      <c r="CD43" s="58">
        <v>607.84</v>
      </c>
      <c r="CE43" s="58">
        <v>667.35400000000004</v>
      </c>
      <c r="CF43" s="58">
        <v>504.05799999999999</v>
      </c>
      <c r="CG43" s="58">
        <v>163.29599999999999</v>
      </c>
      <c r="CH43" s="58">
        <v>1092.1949999999999</v>
      </c>
      <c r="CI43" s="58">
        <v>417.56299999999999</v>
      </c>
      <c r="CJ43" s="58">
        <v>674.63199999999995</v>
      </c>
      <c r="CK43" s="58">
        <v>1069.306</v>
      </c>
      <c r="CL43" s="58">
        <v>445.92200000000003</v>
      </c>
      <c r="CM43" s="58">
        <v>623.38499999999999</v>
      </c>
      <c r="CN43" s="58">
        <v>1845.2840000000001</v>
      </c>
      <c r="CO43" s="58">
        <v>950.13499999999999</v>
      </c>
      <c r="CP43" s="58">
        <v>895.149</v>
      </c>
      <c r="CQ43" s="58">
        <v>843.279</v>
      </c>
      <c r="CR43" s="58">
        <v>515.39700000000005</v>
      </c>
      <c r="CS43" s="58">
        <v>327.88200000000001</v>
      </c>
      <c r="CT43" s="58">
        <v>1002.005</v>
      </c>
      <c r="CU43" s="58">
        <v>434.73700000000002</v>
      </c>
      <c r="CV43" s="58">
        <v>567.26800000000003</v>
      </c>
      <c r="CW43" s="58">
        <v>483.84500000000003</v>
      </c>
      <c r="CX43" s="58">
        <v>243.95</v>
      </c>
      <c r="CY43" s="58">
        <v>239.89500000000001</v>
      </c>
      <c r="CZ43" s="58">
        <v>83.537000000000006</v>
      </c>
      <c r="DA43" s="58">
        <v>43.578000000000003</v>
      </c>
      <c r="DB43" s="58">
        <v>39.957999999999998</v>
      </c>
      <c r="DC43" s="58">
        <v>18.925999999999998</v>
      </c>
      <c r="DD43" s="58">
        <v>13.333</v>
      </c>
      <c r="DE43" s="58">
        <v>5.5940000000000003</v>
      </c>
      <c r="DF43" s="58">
        <v>12.997999999999999</v>
      </c>
      <c r="DG43" s="58">
        <v>10.346</v>
      </c>
      <c r="DH43" s="58">
        <v>2.6520000000000001</v>
      </c>
      <c r="DI43" s="58">
        <v>5.9279999999999999</v>
      </c>
      <c r="DJ43" s="58">
        <v>2.9860000000000002</v>
      </c>
      <c r="DK43" s="58">
        <v>2.9420000000000002</v>
      </c>
      <c r="DL43" s="58">
        <v>64.611000000000004</v>
      </c>
      <c r="DM43" s="58">
        <v>30.245999999999999</v>
      </c>
      <c r="DN43" s="58">
        <v>34.365000000000002</v>
      </c>
      <c r="DO43" s="58">
        <v>443.15300000000002</v>
      </c>
      <c r="DP43" s="58">
        <v>224.40600000000001</v>
      </c>
      <c r="DQ43" s="58">
        <v>218.74700000000001</v>
      </c>
      <c r="DR43" s="58">
        <v>102.655</v>
      </c>
      <c r="DS43" s="58">
        <v>69.275000000000006</v>
      </c>
      <c r="DT43" s="58">
        <v>33.380000000000003</v>
      </c>
      <c r="DU43" s="58">
        <v>340.49799999999999</v>
      </c>
      <c r="DV43" s="58">
        <v>155.13</v>
      </c>
      <c r="DW43" s="58">
        <v>185.36799999999999</v>
      </c>
      <c r="DX43" s="58">
        <v>116.01</v>
      </c>
      <c r="DY43" s="58">
        <v>78.265000000000001</v>
      </c>
      <c r="DZ43" s="58">
        <v>37.746000000000002</v>
      </c>
      <c r="EA43" s="58">
        <v>367.834</v>
      </c>
      <c r="EB43" s="58">
        <v>165.685</v>
      </c>
      <c r="EC43" s="58">
        <v>202.149</v>
      </c>
      <c r="ED43" s="58">
        <v>353.49599999999998</v>
      </c>
      <c r="EE43" s="58">
        <v>165.477</v>
      </c>
      <c r="EF43" s="58">
        <v>188.02</v>
      </c>
      <c r="EG43" s="58">
        <v>642.26900000000001</v>
      </c>
      <c r="EH43" s="58">
        <v>308.149</v>
      </c>
      <c r="EI43" s="58">
        <v>334.12</v>
      </c>
      <c r="EJ43" s="58">
        <v>151.19499999999999</v>
      </c>
      <c r="EK43" s="58">
        <v>99.700999999999993</v>
      </c>
      <c r="EL43" s="58">
        <v>51.494</v>
      </c>
      <c r="EM43" s="58">
        <v>491.07400000000001</v>
      </c>
      <c r="EN43" s="58">
        <v>208.44800000000001</v>
      </c>
      <c r="EO43" s="58">
        <v>282.62599999999998</v>
      </c>
      <c r="EP43" s="58">
        <v>201.476</v>
      </c>
      <c r="EQ43" s="58">
        <v>99.733000000000004</v>
      </c>
      <c r="ER43" s="58">
        <v>101.74299999999999</v>
      </c>
      <c r="ES43" s="58">
        <v>38.180999999999997</v>
      </c>
      <c r="ET43" s="58">
        <v>18.338000000000001</v>
      </c>
      <c r="EU43" s="58">
        <v>19.843</v>
      </c>
      <c r="EV43" s="58">
        <v>5.0449999999999999</v>
      </c>
      <c r="EW43" s="58">
        <v>4.2489999999999997</v>
      </c>
      <c r="EX43" s="58">
        <v>0.79600000000000004</v>
      </c>
      <c r="EY43" s="58">
        <v>4.5830000000000002</v>
      </c>
      <c r="EZ43" s="58">
        <v>3.786</v>
      </c>
      <c r="FA43" s="58">
        <v>0.79600000000000004</v>
      </c>
      <c r="FB43" s="58">
        <v>0.46200000000000002</v>
      </c>
      <c r="FC43" s="58">
        <v>0.46200000000000002</v>
      </c>
      <c r="FD43" s="58">
        <v>0</v>
      </c>
      <c r="FE43" s="58">
        <v>33.136000000000003</v>
      </c>
      <c r="FF43" s="58">
        <v>14.089</v>
      </c>
      <c r="FG43" s="58">
        <v>19.047000000000001</v>
      </c>
      <c r="FH43" s="58">
        <v>182.03899999999999</v>
      </c>
      <c r="FI43" s="58">
        <v>90.052999999999997</v>
      </c>
      <c r="FJ43" s="58">
        <v>91.986000000000004</v>
      </c>
      <c r="FK43" s="58">
        <v>18.858000000000001</v>
      </c>
      <c r="FL43" s="58">
        <v>14.095000000000001</v>
      </c>
      <c r="FM43" s="58">
        <v>4.7640000000000002</v>
      </c>
      <c r="FN43" s="58">
        <v>163.18100000000001</v>
      </c>
      <c r="FO43" s="58">
        <v>75.959000000000003</v>
      </c>
      <c r="FP43" s="58">
        <v>87.221999999999994</v>
      </c>
      <c r="FQ43" s="58">
        <v>21.690999999999999</v>
      </c>
      <c r="FR43" s="58">
        <v>16.670999999999999</v>
      </c>
      <c r="FS43" s="58">
        <v>5.0199999999999996</v>
      </c>
      <c r="FT43" s="58">
        <v>179.785</v>
      </c>
      <c r="FU43" s="58">
        <v>83.061999999999998</v>
      </c>
      <c r="FV43" s="58">
        <v>96.722999999999999</v>
      </c>
      <c r="FW43" s="58">
        <v>167.76300000000001</v>
      </c>
      <c r="FX43" s="58">
        <v>79.745000000000005</v>
      </c>
      <c r="FY43" s="58">
        <v>88.018000000000001</v>
      </c>
      <c r="FZ43" s="58">
        <v>1203.0139999999999</v>
      </c>
      <c r="GA43" s="58">
        <v>641.98500000000001</v>
      </c>
      <c r="GB43" s="58">
        <v>561.029</v>
      </c>
      <c r="GC43" s="58">
        <v>692.08299999999997</v>
      </c>
      <c r="GD43" s="58">
        <v>415.69600000000003</v>
      </c>
      <c r="GE43" s="58">
        <v>276.38799999999998</v>
      </c>
      <c r="GF43" s="58">
        <v>510.93099999999998</v>
      </c>
      <c r="GG43" s="58">
        <v>226.28899999999999</v>
      </c>
      <c r="GH43" s="58">
        <v>284.642</v>
      </c>
      <c r="GI43" s="58">
        <v>282.36900000000003</v>
      </c>
      <c r="GJ43" s="58">
        <v>144.21700000000001</v>
      </c>
      <c r="GK43" s="58">
        <v>138.15199999999999</v>
      </c>
      <c r="GL43" s="58">
        <v>45.356000000000002</v>
      </c>
      <c r="GM43" s="58">
        <v>25.24</v>
      </c>
      <c r="GN43" s="58">
        <v>20.116</v>
      </c>
      <c r="GO43" s="58">
        <v>13.881</v>
      </c>
      <c r="GP43" s="58">
        <v>9.0839999999999996</v>
      </c>
      <c r="GQ43" s="58">
        <v>4.798</v>
      </c>
      <c r="GR43" s="58">
        <v>8.4160000000000004</v>
      </c>
      <c r="GS43" s="58">
        <v>6.56</v>
      </c>
      <c r="GT43" s="58">
        <v>1.8560000000000001</v>
      </c>
      <c r="GU43" s="58">
        <v>5.4660000000000002</v>
      </c>
      <c r="GV43" s="58">
        <v>2.524</v>
      </c>
      <c r="GW43" s="58">
        <v>2.9420000000000002</v>
      </c>
      <c r="GX43" s="58">
        <v>31.475000000000001</v>
      </c>
      <c r="GY43" s="58">
        <v>16.157</v>
      </c>
      <c r="GZ43" s="58">
        <v>15.318</v>
      </c>
      <c r="HA43" s="58">
        <v>261.113</v>
      </c>
      <c r="HB43" s="58">
        <v>134.352</v>
      </c>
      <c r="HC43" s="58">
        <v>126.761</v>
      </c>
      <c r="HD43" s="58">
        <v>83.796000000000006</v>
      </c>
      <c r="HE43" s="58">
        <v>55.180999999999997</v>
      </c>
      <c r="HF43" s="58">
        <v>28.616</v>
      </c>
      <c r="HG43" s="58">
        <v>177.31700000000001</v>
      </c>
      <c r="HH43" s="58">
        <v>79.171999999999997</v>
      </c>
      <c r="HI43" s="58">
        <v>98.144999999999996</v>
      </c>
      <c r="HJ43" s="58">
        <v>94.319000000000003</v>
      </c>
      <c r="HK43" s="58">
        <v>61.594000000000001</v>
      </c>
      <c r="HL43" s="58">
        <v>32.725999999999999</v>
      </c>
      <c r="HM43" s="58">
        <v>188.05</v>
      </c>
      <c r="HN43" s="58">
        <v>82.623000000000005</v>
      </c>
      <c r="HO43" s="58">
        <v>105.426</v>
      </c>
      <c r="HP43" s="58">
        <v>185.733</v>
      </c>
      <c r="HQ43" s="58">
        <v>85.731999999999999</v>
      </c>
      <c r="HR43" s="58">
        <v>100.001</v>
      </c>
      <c r="HS43" s="58">
        <v>2870.5230000000001</v>
      </c>
      <c r="HT43" s="58">
        <v>1566.395</v>
      </c>
      <c r="HU43" s="58">
        <v>1304.1279999999999</v>
      </c>
      <c r="HV43" s="58">
        <v>2214.377</v>
      </c>
      <c r="HW43" s="58">
        <v>1356.954</v>
      </c>
      <c r="HX43" s="58">
        <v>857.423</v>
      </c>
      <c r="HY43" s="58">
        <v>656.14599999999996</v>
      </c>
      <c r="HZ43" s="58">
        <v>209.441</v>
      </c>
      <c r="IA43" s="58">
        <v>446.70499999999998</v>
      </c>
      <c r="IB43" s="58">
        <v>408.79399999999998</v>
      </c>
      <c r="IC43" s="58">
        <v>240.63399999999999</v>
      </c>
      <c r="ID43" s="58">
        <v>168.16</v>
      </c>
      <c r="IE43" s="58">
        <v>63.015999999999998</v>
      </c>
      <c r="IF43" s="58">
        <v>34.9</v>
      </c>
      <c r="IG43" s="58">
        <v>28.116</v>
      </c>
      <c r="IH43" s="58">
        <v>26.654</v>
      </c>
      <c r="II43" s="58">
        <v>21.751999999999999</v>
      </c>
      <c r="IJ43" s="58">
        <v>4.9020000000000001</v>
      </c>
      <c r="IK43" s="58">
        <v>18.041</v>
      </c>
      <c r="IL43" s="58">
        <v>14.861000000000001</v>
      </c>
      <c r="IM43" s="58">
        <v>3.18</v>
      </c>
      <c r="IN43" s="58">
        <v>8.6129999999999995</v>
      </c>
      <c r="IO43" s="58">
        <v>6.891</v>
      </c>
      <c r="IP43" s="58">
        <v>1.7230000000000001</v>
      </c>
      <c r="IQ43" s="58">
        <v>36.362000000000002</v>
      </c>
    </row>
    <row r="44" spans="1:251">
      <c r="A44" s="5">
        <v>42826</v>
      </c>
      <c r="B44" s="58">
        <v>12189.574000000001</v>
      </c>
      <c r="C44" s="58">
        <v>6535.8190000000004</v>
      </c>
      <c r="D44" s="58">
        <v>5653.7550000000001</v>
      </c>
      <c r="E44" s="58">
        <v>8248.5239999999994</v>
      </c>
      <c r="F44" s="58">
        <v>5273.2879999999996</v>
      </c>
      <c r="G44" s="58">
        <v>2975.2350000000001</v>
      </c>
      <c r="H44" s="58">
        <v>3941.0509999999999</v>
      </c>
      <c r="I44" s="58">
        <v>1262.5309999999999</v>
      </c>
      <c r="J44" s="58">
        <v>2678.52</v>
      </c>
      <c r="K44" s="58">
        <v>1798.758</v>
      </c>
      <c r="L44" s="58">
        <v>930.00400000000002</v>
      </c>
      <c r="M44" s="58">
        <v>868.75400000000002</v>
      </c>
      <c r="N44" s="58">
        <v>294.75799999999998</v>
      </c>
      <c r="O44" s="58">
        <v>159.13200000000001</v>
      </c>
      <c r="P44" s="58">
        <v>135.626</v>
      </c>
      <c r="Q44" s="58">
        <v>96.664000000000001</v>
      </c>
      <c r="R44" s="58">
        <v>70.849999999999994</v>
      </c>
      <c r="S44" s="58">
        <v>25.814</v>
      </c>
      <c r="T44" s="58">
        <v>58.868000000000002</v>
      </c>
      <c r="U44" s="58">
        <v>44.374000000000002</v>
      </c>
      <c r="V44" s="58">
        <v>14.494</v>
      </c>
      <c r="W44" s="58">
        <v>37.795999999999999</v>
      </c>
      <c r="X44" s="58">
        <v>26.475000000000001</v>
      </c>
      <c r="Y44" s="58">
        <v>11.32</v>
      </c>
      <c r="Z44" s="58">
        <v>198.09399999999999</v>
      </c>
      <c r="AA44" s="58">
        <v>88.281999999999996</v>
      </c>
      <c r="AB44" s="58">
        <v>109.812</v>
      </c>
      <c r="AC44" s="58">
        <v>1639.7070000000001</v>
      </c>
      <c r="AD44" s="58">
        <v>845.404</v>
      </c>
      <c r="AE44" s="58">
        <v>794.303</v>
      </c>
      <c r="AF44" s="58">
        <v>587.95799999999997</v>
      </c>
      <c r="AG44" s="58">
        <v>434.59300000000002</v>
      </c>
      <c r="AH44" s="58">
        <v>153.36500000000001</v>
      </c>
      <c r="AI44" s="58">
        <v>1051.749</v>
      </c>
      <c r="AJ44" s="58">
        <v>410.81099999999998</v>
      </c>
      <c r="AK44" s="58">
        <v>640.93799999999999</v>
      </c>
      <c r="AL44" s="58">
        <v>658.12900000000002</v>
      </c>
      <c r="AM44" s="58">
        <v>484.26</v>
      </c>
      <c r="AN44" s="58">
        <v>173.869</v>
      </c>
      <c r="AO44" s="58">
        <v>1140.6289999999999</v>
      </c>
      <c r="AP44" s="58">
        <v>445.74400000000003</v>
      </c>
      <c r="AQ44" s="58">
        <v>694.88499999999999</v>
      </c>
      <c r="AR44" s="58">
        <v>1110.6179999999999</v>
      </c>
      <c r="AS44" s="58">
        <v>455.18599999999998</v>
      </c>
      <c r="AT44" s="58">
        <v>655.43200000000002</v>
      </c>
      <c r="AU44" s="58">
        <v>11720.138999999999</v>
      </c>
      <c r="AV44" s="58">
        <v>6244.4859999999999</v>
      </c>
      <c r="AW44" s="58">
        <v>5475.6530000000002</v>
      </c>
      <c r="AX44" s="58">
        <v>8042.4660000000003</v>
      </c>
      <c r="AY44" s="58">
        <v>5116.7389999999996</v>
      </c>
      <c r="AZ44" s="58">
        <v>2925.7269999999999</v>
      </c>
      <c r="BA44" s="58">
        <v>3677.6729999999998</v>
      </c>
      <c r="BB44" s="58">
        <v>1127.7470000000001</v>
      </c>
      <c r="BC44" s="58">
        <v>2549.9259999999999</v>
      </c>
      <c r="BD44" s="58">
        <v>1755.491</v>
      </c>
      <c r="BE44" s="58">
        <v>905.07600000000002</v>
      </c>
      <c r="BF44" s="58">
        <v>850.41499999999996</v>
      </c>
      <c r="BG44" s="58">
        <v>275.86700000000002</v>
      </c>
      <c r="BH44" s="58">
        <v>147.39599999999999</v>
      </c>
      <c r="BI44" s="58">
        <v>128.471</v>
      </c>
      <c r="BJ44" s="58">
        <v>93.331000000000003</v>
      </c>
      <c r="BK44" s="58">
        <v>68.474999999999994</v>
      </c>
      <c r="BL44" s="58">
        <v>24.856000000000002</v>
      </c>
      <c r="BM44" s="58">
        <v>57.491</v>
      </c>
      <c r="BN44" s="58">
        <v>42.997</v>
      </c>
      <c r="BO44" s="58">
        <v>14.494</v>
      </c>
      <c r="BP44" s="58">
        <v>35.840000000000003</v>
      </c>
      <c r="BQ44" s="58">
        <v>25.478000000000002</v>
      </c>
      <c r="BR44" s="58">
        <v>10.362</v>
      </c>
      <c r="BS44" s="58">
        <v>182.536</v>
      </c>
      <c r="BT44" s="58">
        <v>78.921000000000006</v>
      </c>
      <c r="BU44" s="58">
        <v>103.61499999999999</v>
      </c>
      <c r="BV44" s="58">
        <v>1612.857</v>
      </c>
      <c r="BW44" s="58">
        <v>830.56500000000005</v>
      </c>
      <c r="BX44" s="58">
        <v>782.29100000000005</v>
      </c>
      <c r="BY44" s="58">
        <v>585.34699999999998</v>
      </c>
      <c r="BZ44" s="58">
        <v>433.072</v>
      </c>
      <c r="CA44" s="58">
        <v>152.27600000000001</v>
      </c>
      <c r="CB44" s="58">
        <v>1027.509</v>
      </c>
      <c r="CC44" s="58">
        <v>397.49400000000003</v>
      </c>
      <c r="CD44" s="58">
        <v>630.01599999999996</v>
      </c>
      <c r="CE44" s="58">
        <v>652.18600000000004</v>
      </c>
      <c r="CF44" s="58">
        <v>480.36500000000001</v>
      </c>
      <c r="CG44" s="58">
        <v>171.821</v>
      </c>
      <c r="CH44" s="58">
        <v>1103.306</v>
      </c>
      <c r="CI44" s="58">
        <v>424.71199999999999</v>
      </c>
      <c r="CJ44" s="58">
        <v>678.59400000000005</v>
      </c>
      <c r="CK44" s="58">
        <v>1085</v>
      </c>
      <c r="CL44" s="58">
        <v>440.49</v>
      </c>
      <c r="CM44" s="58">
        <v>644.51</v>
      </c>
      <c r="CN44" s="58">
        <v>1859.117</v>
      </c>
      <c r="CO44" s="58">
        <v>965.95799999999997</v>
      </c>
      <c r="CP44" s="58">
        <v>893.15800000000002</v>
      </c>
      <c r="CQ44" s="58">
        <v>822.2</v>
      </c>
      <c r="CR44" s="58">
        <v>503.00700000000001</v>
      </c>
      <c r="CS44" s="58">
        <v>319.19400000000002</v>
      </c>
      <c r="CT44" s="58">
        <v>1036.9159999999999</v>
      </c>
      <c r="CU44" s="58">
        <v>462.952</v>
      </c>
      <c r="CV44" s="58">
        <v>573.96500000000003</v>
      </c>
      <c r="CW44" s="58">
        <v>494.75400000000002</v>
      </c>
      <c r="CX44" s="58">
        <v>249.37100000000001</v>
      </c>
      <c r="CY44" s="58">
        <v>245.38399999999999</v>
      </c>
      <c r="CZ44" s="58">
        <v>77.47</v>
      </c>
      <c r="DA44" s="58">
        <v>36.125999999999998</v>
      </c>
      <c r="DB44" s="58">
        <v>41.343000000000004</v>
      </c>
      <c r="DC44" s="58">
        <v>16.526</v>
      </c>
      <c r="DD44" s="58">
        <v>10.276999999999999</v>
      </c>
      <c r="DE44" s="58">
        <v>6.2489999999999997</v>
      </c>
      <c r="DF44" s="58">
        <v>13.52</v>
      </c>
      <c r="DG44" s="58">
        <v>8.7949999999999999</v>
      </c>
      <c r="DH44" s="58">
        <v>4.7249999999999996</v>
      </c>
      <c r="DI44" s="58">
        <v>3.0059999999999998</v>
      </c>
      <c r="DJ44" s="58">
        <v>1.482</v>
      </c>
      <c r="DK44" s="58">
        <v>1.524</v>
      </c>
      <c r="DL44" s="58">
        <v>60.944000000000003</v>
      </c>
      <c r="DM44" s="58">
        <v>25.85</v>
      </c>
      <c r="DN44" s="58">
        <v>35.094000000000001</v>
      </c>
      <c r="DO44" s="58">
        <v>458.298</v>
      </c>
      <c r="DP44" s="58">
        <v>231.279</v>
      </c>
      <c r="DQ44" s="58">
        <v>227.02</v>
      </c>
      <c r="DR44" s="58">
        <v>98.183000000000007</v>
      </c>
      <c r="DS44" s="58">
        <v>68.566999999999993</v>
      </c>
      <c r="DT44" s="58">
        <v>29.616</v>
      </c>
      <c r="DU44" s="58">
        <v>360.11500000000001</v>
      </c>
      <c r="DV44" s="58">
        <v>162.71199999999999</v>
      </c>
      <c r="DW44" s="58">
        <v>197.40299999999999</v>
      </c>
      <c r="DX44" s="58">
        <v>109.73</v>
      </c>
      <c r="DY44" s="58">
        <v>75.337999999999994</v>
      </c>
      <c r="DZ44" s="58">
        <v>34.392000000000003</v>
      </c>
      <c r="EA44" s="58">
        <v>385.024</v>
      </c>
      <c r="EB44" s="58">
        <v>174.03299999999999</v>
      </c>
      <c r="EC44" s="58">
        <v>210.99100000000001</v>
      </c>
      <c r="ED44" s="58">
        <v>373.63499999999999</v>
      </c>
      <c r="EE44" s="58">
        <v>171.506</v>
      </c>
      <c r="EF44" s="58">
        <v>202.12799999999999</v>
      </c>
      <c r="EG44" s="58">
        <v>655.38699999999994</v>
      </c>
      <c r="EH44" s="58">
        <v>321.60000000000002</v>
      </c>
      <c r="EI44" s="58">
        <v>333.78699999999998</v>
      </c>
      <c r="EJ44" s="58">
        <v>150.08600000000001</v>
      </c>
      <c r="EK44" s="58">
        <v>100.696</v>
      </c>
      <c r="EL44" s="58">
        <v>49.39</v>
      </c>
      <c r="EM44" s="58">
        <v>505.30099999999999</v>
      </c>
      <c r="EN44" s="58">
        <v>220.904</v>
      </c>
      <c r="EO44" s="58">
        <v>284.39699999999999</v>
      </c>
      <c r="EP44" s="58">
        <v>204.26599999999999</v>
      </c>
      <c r="EQ44" s="58">
        <v>100.715</v>
      </c>
      <c r="ER44" s="58">
        <v>103.551</v>
      </c>
      <c r="ES44" s="58">
        <v>33.545999999999999</v>
      </c>
      <c r="ET44" s="58">
        <v>14.731</v>
      </c>
      <c r="EU44" s="58">
        <v>18.815000000000001</v>
      </c>
      <c r="EV44" s="58">
        <v>2.1040000000000001</v>
      </c>
      <c r="EW44" s="58">
        <v>1.6739999999999999</v>
      </c>
      <c r="EX44" s="58">
        <v>0.43</v>
      </c>
      <c r="EY44" s="58">
        <v>2.1040000000000001</v>
      </c>
      <c r="EZ44" s="58">
        <v>1.6739999999999999</v>
      </c>
      <c r="FA44" s="58">
        <v>0.43</v>
      </c>
      <c r="FB44" s="58">
        <v>0</v>
      </c>
      <c r="FC44" s="58">
        <v>0</v>
      </c>
      <c r="FD44" s="58">
        <v>0</v>
      </c>
      <c r="FE44" s="58">
        <v>31.442</v>
      </c>
      <c r="FF44" s="58">
        <v>13.057</v>
      </c>
      <c r="FG44" s="58">
        <v>18.385000000000002</v>
      </c>
      <c r="FH44" s="58">
        <v>187.94900000000001</v>
      </c>
      <c r="FI44" s="58">
        <v>93.316999999999993</v>
      </c>
      <c r="FJ44" s="58">
        <v>94.632000000000005</v>
      </c>
      <c r="FK44" s="58">
        <v>13.49</v>
      </c>
      <c r="FL44" s="58">
        <v>10.813000000000001</v>
      </c>
      <c r="FM44" s="58">
        <v>2.677</v>
      </c>
      <c r="FN44" s="58">
        <v>174.459</v>
      </c>
      <c r="FO44" s="58">
        <v>82.504000000000005</v>
      </c>
      <c r="FP44" s="58">
        <v>91.954999999999998</v>
      </c>
      <c r="FQ44" s="58">
        <v>14.881</v>
      </c>
      <c r="FR44" s="58">
        <v>11.773999999999999</v>
      </c>
      <c r="FS44" s="58">
        <v>3.1070000000000002</v>
      </c>
      <c r="FT44" s="58">
        <v>189.38499999999999</v>
      </c>
      <c r="FU44" s="58">
        <v>88.941000000000003</v>
      </c>
      <c r="FV44" s="58">
        <v>100.444</v>
      </c>
      <c r="FW44" s="58">
        <v>176.56299999999999</v>
      </c>
      <c r="FX44" s="58">
        <v>84.177999999999997</v>
      </c>
      <c r="FY44" s="58">
        <v>92.385000000000005</v>
      </c>
      <c r="FZ44" s="58">
        <v>1203.729</v>
      </c>
      <c r="GA44" s="58">
        <v>644.35799999999995</v>
      </c>
      <c r="GB44" s="58">
        <v>559.37099999999998</v>
      </c>
      <c r="GC44" s="58">
        <v>672.11400000000003</v>
      </c>
      <c r="GD44" s="58">
        <v>402.31099999999998</v>
      </c>
      <c r="GE44" s="58">
        <v>269.803</v>
      </c>
      <c r="GF44" s="58">
        <v>531.61500000000001</v>
      </c>
      <c r="GG44" s="58">
        <v>242.048</v>
      </c>
      <c r="GH44" s="58">
        <v>289.56799999999998</v>
      </c>
      <c r="GI44" s="58">
        <v>290.488</v>
      </c>
      <c r="GJ44" s="58">
        <v>148.65600000000001</v>
      </c>
      <c r="GK44" s="58">
        <v>141.833</v>
      </c>
      <c r="GL44" s="58">
        <v>43.923000000000002</v>
      </c>
      <c r="GM44" s="58">
        <v>21.395</v>
      </c>
      <c r="GN44" s="58">
        <v>22.527999999999999</v>
      </c>
      <c r="GO44" s="58">
        <v>14.420999999999999</v>
      </c>
      <c r="GP44" s="58">
        <v>8.6020000000000003</v>
      </c>
      <c r="GQ44" s="58">
        <v>5.819</v>
      </c>
      <c r="GR44" s="58">
        <v>11.414999999999999</v>
      </c>
      <c r="GS44" s="58">
        <v>7.12</v>
      </c>
      <c r="GT44" s="58">
        <v>4.2949999999999999</v>
      </c>
      <c r="GU44" s="58">
        <v>3.0059999999999998</v>
      </c>
      <c r="GV44" s="58">
        <v>1.482</v>
      </c>
      <c r="GW44" s="58">
        <v>1.524</v>
      </c>
      <c r="GX44" s="58">
        <v>29.501999999999999</v>
      </c>
      <c r="GY44" s="58">
        <v>12.792999999999999</v>
      </c>
      <c r="GZ44" s="58">
        <v>16.709</v>
      </c>
      <c r="HA44" s="58">
        <v>270.34899999999999</v>
      </c>
      <c r="HB44" s="58">
        <v>137.96199999999999</v>
      </c>
      <c r="HC44" s="58">
        <v>132.387</v>
      </c>
      <c r="HD44" s="58">
        <v>84.692999999999998</v>
      </c>
      <c r="HE44" s="58">
        <v>57.753999999999998</v>
      </c>
      <c r="HF44" s="58">
        <v>26.939</v>
      </c>
      <c r="HG44" s="58">
        <v>185.65600000000001</v>
      </c>
      <c r="HH44" s="58">
        <v>80.207999999999998</v>
      </c>
      <c r="HI44" s="58">
        <v>105.44799999999999</v>
      </c>
      <c r="HJ44" s="58">
        <v>94.849000000000004</v>
      </c>
      <c r="HK44" s="58">
        <v>63.564</v>
      </c>
      <c r="HL44" s="58">
        <v>31.285</v>
      </c>
      <c r="HM44" s="58">
        <v>195.63900000000001</v>
      </c>
      <c r="HN44" s="58">
        <v>85.090999999999994</v>
      </c>
      <c r="HO44" s="58">
        <v>110.548</v>
      </c>
      <c r="HP44" s="58">
        <v>197.071</v>
      </c>
      <c r="HQ44" s="58">
        <v>87.328000000000003</v>
      </c>
      <c r="HR44" s="58">
        <v>109.74299999999999</v>
      </c>
      <c r="HS44" s="58">
        <v>2887.8229999999999</v>
      </c>
      <c r="HT44" s="58">
        <v>1578.1389999999999</v>
      </c>
      <c r="HU44" s="58">
        <v>1309.683</v>
      </c>
      <c r="HV44" s="58">
        <v>2203.8670000000002</v>
      </c>
      <c r="HW44" s="58">
        <v>1360.37</v>
      </c>
      <c r="HX44" s="58">
        <v>843.49699999999996</v>
      </c>
      <c r="HY44" s="58">
        <v>683.95600000000002</v>
      </c>
      <c r="HZ44" s="58">
        <v>217.76900000000001</v>
      </c>
      <c r="IA44" s="58">
        <v>466.18700000000001</v>
      </c>
      <c r="IB44" s="58">
        <v>409.14499999999998</v>
      </c>
      <c r="IC44" s="58">
        <v>229.131</v>
      </c>
      <c r="ID44" s="58">
        <v>180.01400000000001</v>
      </c>
      <c r="IE44" s="58">
        <v>56.371000000000002</v>
      </c>
      <c r="IF44" s="58">
        <v>34.524999999999999</v>
      </c>
      <c r="IG44" s="58">
        <v>21.846</v>
      </c>
      <c r="IH44" s="58">
        <v>23.504999999999999</v>
      </c>
      <c r="II44" s="58">
        <v>16.478000000000002</v>
      </c>
      <c r="IJ44" s="58">
        <v>7.0270000000000001</v>
      </c>
      <c r="IK44" s="58">
        <v>15.026999999999999</v>
      </c>
      <c r="IL44" s="58">
        <v>10.917999999999999</v>
      </c>
      <c r="IM44" s="58">
        <v>4.1100000000000003</v>
      </c>
      <c r="IN44" s="58">
        <v>8.4779999999999998</v>
      </c>
      <c r="IO44" s="58">
        <v>5.5609999999999999</v>
      </c>
      <c r="IP44" s="58">
        <v>2.9169999999999998</v>
      </c>
      <c r="IQ44" s="58">
        <v>32.866</v>
      </c>
    </row>
    <row r="45" spans="1:251">
      <c r="A45" s="5">
        <v>42856</v>
      </c>
      <c r="B45" s="58">
        <v>12256.634</v>
      </c>
      <c r="C45" s="58">
        <v>6538.6880000000001</v>
      </c>
      <c r="D45" s="58">
        <v>5717.9459999999999</v>
      </c>
      <c r="E45" s="58">
        <v>8333.3119999999999</v>
      </c>
      <c r="F45" s="58">
        <v>5304.3810000000003</v>
      </c>
      <c r="G45" s="58">
        <v>3028.931</v>
      </c>
      <c r="H45" s="58">
        <v>3923.3220000000001</v>
      </c>
      <c r="I45" s="58">
        <v>1234.307</v>
      </c>
      <c r="J45" s="58">
        <v>2689.0149999999999</v>
      </c>
      <c r="K45" s="58">
        <v>1815.943</v>
      </c>
      <c r="L45" s="58">
        <v>940.27499999999998</v>
      </c>
      <c r="M45" s="58">
        <v>875.66700000000003</v>
      </c>
      <c r="N45" s="58">
        <v>350.20800000000003</v>
      </c>
      <c r="O45" s="58">
        <v>196.6</v>
      </c>
      <c r="P45" s="58">
        <v>153.608</v>
      </c>
      <c r="Q45" s="58">
        <v>121.44499999999999</v>
      </c>
      <c r="R45" s="58">
        <v>91.25</v>
      </c>
      <c r="S45" s="58">
        <v>30.195</v>
      </c>
      <c r="T45" s="58">
        <v>68.384</v>
      </c>
      <c r="U45" s="58">
        <v>53.945999999999998</v>
      </c>
      <c r="V45" s="58">
        <v>14.436999999999999</v>
      </c>
      <c r="W45" s="58">
        <v>53.061999999999998</v>
      </c>
      <c r="X45" s="58">
        <v>37.304000000000002</v>
      </c>
      <c r="Y45" s="58">
        <v>15.757999999999999</v>
      </c>
      <c r="Z45" s="58">
        <v>228.762</v>
      </c>
      <c r="AA45" s="58">
        <v>105.35</v>
      </c>
      <c r="AB45" s="58">
        <v>123.41200000000001</v>
      </c>
      <c r="AC45" s="58">
        <v>1623.2280000000001</v>
      </c>
      <c r="AD45" s="58">
        <v>834.06299999999999</v>
      </c>
      <c r="AE45" s="58">
        <v>789.16499999999996</v>
      </c>
      <c r="AF45" s="58">
        <v>583.73699999999997</v>
      </c>
      <c r="AG45" s="58">
        <v>424.12299999999999</v>
      </c>
      <c r="AH45" s="58">
        <v>159.614</v>
      </c>
      <c r="AI45" s="58">
        <v>1039.491</v>
      </c>
      <c r="AJ45" s="58">
        <v>409.93900000000002</v>
      </c>
      <c r="AK45" s="58">
        <v>629.55100000000004</v>
      </c>
      <c r="AL45" s="58">
        <v>679.86300000000006</v>
      </c>
      <c r="AM45" s="58">
        <v>492.78800000000001</v>
      </c>
      <c r="AN45" s="58">
        <v>187.07599999999999</v>
      </c>
      <c r="AO45" s="58">
        <v>1136.079</v>
      </c>
      <c r="AP45" s="58">
        <v>447.488</v>
      </c>
      <c r="AQ45" s="58">
        <v>688.59100000000001</v>
      </c>
      <c r="AR45" s="58">
        <v>1107.874</v>
      </c>
      <c r="AS45" s="58">
        <v>463.88600000000002</v>
      </c>
      <c r="AT45" s="58">
        <v>643.98900000000003</v>
      </c>
      <c r="AU45" s="58">
        <v>11768.648999999999</v>
      </c>
      <c r="AV45" s="58">
        <v>6238.8109999999997</v>
      </c>
      <c r="AW45" s="58">
        <v>5529.8379999999997</v>
      </c>
      <c r="AX45" s="58">
        <v>8115.6490000000003</v>
      </c>
      <c r="AY45" s="58">
        <v>5142.8770000000004</v>
      </c>
      <c r="AZ45" s="58">
        <v>2972.7719999999999</v>
      </c>
      <c r="BA45" s="58">
        <v>3653</v>
      </c>
      <c r="BB45" s="58">
        <v>1095.934</v>
      </c>
      <c r="BC45" s="58">
        <v>2557.0659999999998</v>
      </c>
      <c r="BD45" s="58">
        <v>1776.41</v>
      </c>
      <c r="BE45" s="58">
        <v>913.55399999999997</v>
      </c>
      <c r="BF45" s="58">
        <v>862.85599999999999</v>
      </c>
      <c r="BG45" s="58">
        <v>332.13600000000002</v>
      </c>
      <c r="BH45" s="58">
        <v>183.70500000000001</v>
      </c>
      <c r="BI45" s="58">
        <v>148.43100000000001</v>
      </c>
      <c r="BJ45" s="58">
        <v>120.02</v>
      </c>
      <c r="BK45" s="58">
        <v>89.823999999999998</v>
      </c>
      <c r="BL45" s="58">
        <v>30.195</v>
      </c>
      <c r="BM45" s="58">
        <v>67.471000000000004</v>
      </c>
      <c r="BN45" s="58">
        <v>53.033999999999999</v>
      </c>
      <c r="BO45" s="58">
        <v>14.436999999999999</v>
      </c>
      <c r="BP45" s="58">
        <v>52.548000000000002</v>
      </c>
      <c r="BQ45" s="58">
        <v>36.79</v>
      </c>
      <c r="BR45" s="58">
        <v>15.757999999999999</v>
      </c>
      <c r="BS45" s="58">
        <v>212.11699999999999</v>
      </c>
      <c r="BT45" s="58">
        <v>93.881</v>
      </c>
      <c r="BU45" s="58">
        <v>118.236</v>
      </c>
      <c r="BV45" s="58">
        <v>1596.837</v>
      </c>
      <c r="BW45" s="58">
        <v>816.83500000000004</v>
      </c>
      <c r="BX45" s="58">
        <v>780.00199999999995</v>
      </c>
      <c r="BY45" s="58">
        <v>578.32500000000005</v>
      </c>
      <c r="BZ45" s="58">
        <v>419.44900000000001</v>
      </c>
      <c r="CA45" s="58">
        <v>158.876</v>
      </c>
      <c r="CB45" s="58">
        <v>1018.5119999999999</v>
      </c>
      <c r="CC45" s="58">
        <v>397.38600000000002</v>
      </c>
      <c r="CD45" s="58">
        <v>621.12599999999998</v>
      </c>
      <c r="CE45" s="58">
        <v>673.02499999999998</v>
      </c>
      <c r="CF45" s="58">
        <v>486.68700000000001</v>
      </c>
      <c r="CG45" s="58">
        <v>186.33799999999999</v>
      </c>
      <c r="CH45" s="58">
        <v>1103.384</v>
      </c>
      <c r="CI45" s="58">
        <v>426.86599999999999</v>
      </c>
      <c r="CJ45" s="58">
        <v>676.51800000000003</v>
      </c>
      <c r="CK45" s="58">
        <v>1085.9839999999999</v>
      </c>
      <c r="CL45" s="58">
        <v>450.42</v>
      </c>
      <c r="CM45" s="58">
        <v>635.56399999999996</v>
      </c>
      <c r="CN45" s="58">
        <v>1853.144</v>
      </c>
      <c r="CO45" s="58">
        <v>948.84</v>
      </c>
      <c r="CP45" s="58">
        <v>904.30399999999997</v>
      </c>
      <c r="CQ45" s="58">
        <v>831.24300000000005</v>
      </c>
      <c r="CR45" s="58">
        <v>498.77499999999998</v>
      </c>
      <c r="CS45" s="58">
        <v>332.46800000000002</v>
      </c>
      <c r="CT45" s="58">
        <v>1021.901</v>
      </c>
      <c r="CU45" s="58">
        <v>450.065</v>
      </c>
      <c r="CV45" s="58">
        <v>571.83699999999999</v>
      </c>
      <c r="CW45" s="58">
        <v>486.387</v>
      </c>
      <c r="CX45" s="58">
        <v>243.47499999999999</v>
      </c>
      <c r="CY45" s="58">
        <v>242.91200000000001</v>
      </c>
      <c r="CZ45" s="58">
        <v>71.331000000000003</v>
      </c>
      <c r="DA45" s="58">
        <v>37.210999999999999</v>
      </c>
      <c r="DB45" s="58">
        <v>34.119</v>
      </c>
      <c r="DC45" s="58">
        <v>11.723000000000001</v>
      </c>
      <c r="DD45" s="58">
        <v>9.4450000000000003</v>
      </c>
      <c r="DE45" s="58">
        <v>2.278</v>
      </c>
      <c r="DF45" s="58">
        <v>8.0440000000000005</v>
      </c>
      <c r="DG45" s="58">
        <v>6.5739999999999998</v>
      </c>
      <c r="DH45" s="58">
        <v>1.47</v>
      </c>
      <c r="DI45" s="58">
        <v>3.6789999999999998</v>
      </c>
      <c r="DJ45" s="58">
        <v>2.871</v>
      </c>
      <c r="DK45" s="58">
        <v>0.80700000000000005</v>
      </c>
      <c r="DL45" s="58">
        <v>59.607999999999997</v>
      </c>
      <c r="DM45" s="58">
        <v>27.765999999999998</v>
      </c>
      <c r="DN45" s="58">
        <v>31.841999999999999</v>
      </c>
      <c r="DO45" s="58">
        <v>456.09</v>
      </c>
      <c r="DP45" s="58">
        <v>226.51499999999999</v>
      </c>
      <c r="DQ45" s="58">
        <v>229.57499999999999</v>
      </c>
      <c r="DR45" s="58">
        <v>96.316000000000003</v>
      </c>
      <c r="DS45" s="58">
        <v>65.251999999999995</v>
      </c>
      <c r="DT45" s="58">
        <v>31.064</v>
      </c>
      <c r="DU45" s="58">
        <v>359.774</v>
      </c>
      <c r="DV45" s="58">
        <v>161.262</v>
      </c>
      <c r="DW45" s="58">
        <v>198.512</v>
      </c>
      <c r="DX45" s="58">
        <v>105.57599999999999</v>
      </c>
      <c r="DY45" s="58">
        <v>72.863</v>
      </c>
      <c r="DZ45" s="58">
        <v>32.713000000000001</v>
      </c>
      <c r="EA45" s="58">
        <v>380.81099999999998</v>
      </c>
      <c r="EB45" s="58">
        <v>170.61199999999999</v>
      </c>
      <c r="EC45" s="58">
        <v>210.19900000000001</v>
      </c>
      <c r="ED45" s="58">
        <v>367.81799999999998</v>
      </c>
      <c r="EE45" s="58">
        <v>167.83600000000001</v>
      </c>
      <c r="EF45" s="58">
        <v>199.982</v>
      </c>
      <c r="EG45" s="58">
        <v>636.60799999999995</v>
      </c>
      <c r="EH45" s="58">
        <v>305.79700000000003</v>
      </c>
      <c r="EI45" s="58">
        <v>330.81099999999998</v>
      </c>
      <c r="EJ45" s="58">
        <v>146.05199999999999</v>
      </c>
      <c r="EK45" s="58">
        <v>97.012</v>
      </c>
      <c r="EL45" s="58">
        <v>49.04</v>
      </c>
      <c r="EM45" s="58">
        <v>490.55599999999998</v>
      </c>
      <c r="EN45" s="58">
        <v>208.785</v>
      </c>
      <c r="EO45" s="58">
        <v>281.77</v>
      </c>
      <c r="EP45" s="58">
        <v>203.29300000000001</v>
      </c>
      <c r="EQ45" s="58">
        <v>96.944000000000003</v>
      </c>
      <c r="ER45" s="58">
        <v>106.349</v>
      </c>
      <c r="ES45" s="58">
        <v>37.045999999999999</v>
      </c>
      <c r="ET45" s="58">
        <v>17.684000000000001</v>
      </c>
      <c r="EU45" s="58">
        <v>19.361999999999998</v>
      </c>
      <c r="EV45" s="58">
        <v>2.48</v>
      </c>
      <c r="EW45" s="58">
        <v>1.9490000000000001</v>
      </c>
      <c r="EX45" s="58">
        <v>0.53100000000000003</v>
      </c>
      <c r="EY45" s="58">
        <v>0.78900000000000003</v>
      </c>
      <c r="EZ45" s="58">
        <v>0.25800000000000001</v>
      </c>
      <c r="FA45" s="58">
        <v>0.53100000000000003</v>
      </c>
      <c r="FB45" s="58">
        <v>1.6910000000000001</v>
      </c>
      <c r="FC45" s="58">
        <v>1.6910000000000001</v>
      </c>
      <c r="FD45" s="58">
        <v>0</v>
      </c>
      <c r="FE45" s="58">
        <v>34.566000000000003</v>
      </c>
      <c r="FF45" s="58">
        <v>15.734999999999999</v>
      </c>
      <c r="FG45" s="58">
        <v>18.831</v>
      </c>
      <c r="FH45" s="58">
        <v>188.61</v>
      </c>
      <c r="FI45" s="58">
        <v>89.290999999999997</v>
      </c>
      <c r="FJ45" s="58">
        <v>99.319000000000003</v>
      </c>
      <c r="FK45" s="58">
        <v>20.661999999999999</v>
      </c>
      <c r="FL45" s="58">
        <v>15.936999999999999</v>
      </c>
      <c r="FM45" s="58">
        <v>4.7249999999999996</v>
      </c>
      <c r="FN45" s="58">
        <v>167.94800000000001</v>
      </c>
      <c r="FO45" s="58">
        <v>73.353999999999999</v>
      </c>
      <c r="FP45" s="58">
        <v>94.593999999999994</v>
      </c>
      <c r="FQ45" s="58">
        <v>22.611000000000001</v>
      </c>
      <c r="FR45" s="58">
        <v>17.885999999999999</v>
      </c>
      <c r="FS45" s="58">
        <v>4.7249999999999996</v>
      </c>
      <c r="FT45" s="58">
        <v>180.68199999999999</v>
      </c>
      <c r="FU45" s="58">
        <v>79.058000000000007</v>
      </c>
      <c r="FV45" s="58">
        <v>101.624</v>
      </c>
      <c r="FW45" s="58">
        <v>168.73699999999999</v>
      </c>
      <c r="FX45" s="58">
        <v>73.611999999999995</v>
      </c>
      <c r="FY45" s="58">
        <v>95.125</v>
      </c>
      <c r="FZ45" s="58">
        <v>1216.5360000000001</v>
      </c>
      <c r="GA45" s="58">
        <v>643.04200000000003</v>
      </c>
      <c r="GB45" s="58">
        <v>573.49400000000003</v>
      </c>
      <c r="GC45" s="58">
        <v>685.19100000000003</v>
      </c>
      <c r="GD45" s="58">
        <v>401.76299999999998</v>
      </c>
      <c r="GE45" s="58">
        <v>283.428</v>
      </c>
      <c r="GF45" s="58">
        <v>531.346</v>
      </c>
      <c r="GG45" s="58">
        <v>241.279</v>
      </c>
      <c r="GH45" s="58">
        <v>290.06599999999997</v>
      </c>
      <c r="GI45" s="58">
        <v>283.09399999999999</v>
      </c>
      <c r="GJ45" s="58">
        <v>146.53100000000001</v>
      </c>
      <c r="GK45" s="58">
        <v>136.56299999999999</v>
      </c>
      <c r="GL45" s="58">
        <v>34.284999999999997</v>
      </c>
      <c r="GM45" s="58">
        <v>19.527999999999999</v>
      </c>
      <c r="GN45" s="58">
        <v>14.757</v>
      </c>
      <c r="GO45" s="58">
        <v>9.2430000000000003</v>
      </c>
      <c r="GP45" s="58">
        <v>7.4969999999999999</v>
      </c>
      <c r="GQ45" s="58">
        <v>1.7470000000000001</v>
      </c>
      <c r="GR45" s="58">
        <v>7.2549999999999999</v>
      </c>
      <c r="GS45" s="58">
        <v>6.3159999999999998</v>
      </c>
      <c r="GT45" s="58">
        <v>0.93899999999999995</v>
      </c>
      <c r="GU45" s="58">
        <v>1.988</v>
      </c>
      <c r="GV45" s="58">
        <v>1.181</v>
      </c>
      <c r="GW45" s="58">
        <v>0.80700000000000005</v>
      </c>
      <c r="GX45" s="58">
        <v>25.042000000000002</v>
      </c>
      <c r="GY45" s="58">
        <v>12.031000000000001</v>
      </c>
      <c r="GZ45" s="58">
        <v>13.010999999999999</v>
      </c>
      <c r="HA45" s="58">
        <v>267.48</v>
      </c>
      <c r="HB45" s="58">
        <v>137.22399999999999</v>
      </c>
      <c r="HC45" s="58">
        <v>130.256</v>
      </c>
      <c r="HD45" s="58">
        <v>75.653999999999996</v>
      </c>
      <c r="HE45" s="58">
        <v>49.314999999999998</v>
      </c>
      <c r="HF45" s="58">
        <v>26.338999999999999</v>
      </c>
      <c r="HG45" s="58">
        <v>191.82599999999999</v>
      </c>
      <c r="HH45" s="58">
        <v>87.908000000000001</v>
      </c>
      <c r="HI45" s="58">
        <v>103.91800000000001</v>
      </c>
      <c r="HJ45" s="58">
        <v>82.965000000000003</v>
      </c>
      <c r="HK45" s="58">
        <v>54.976999999999997</v>
      </c>
      <c r="HL45" s="58">
        <v>27.988</v>
      </c>
      <c r="HM45" s="58">
        <v>200.12899999999999</v>
      </c>
      <c r="HN45" s="58">
        <v>91.554000000000002</v>
      </c>
      <c r="HO45" s="58">
        <v>108.574</v>
      </c>
      <c r="HP45" s="58">
        <v>199.08099999999999</v>
      </c>
      <c r="HQ45" s="58">
        <v>94.224000000000004</v>
      </c>
      <c r="HR45" s="58">
        <v>104.857</v>
      </c>
      <c r="HS45" s="58">
        <v>2883.0189999999998</v>
      </c>
      <c r="HT45" s="58">
        <v>1568.597</v>
      </c>
      <c r="HU45" s="58">
        <v>1314.422</v>
      </c>
      <c r="HV45" s="58">
        <v>2205.1089999999999</v>
      </c>
      <c r="HW45" s="58">
        <v>1352.039</v>
      </c>
      <c r="HX45" s="58">
        <v>853.06899999999996</v>
      </c>
      <c r="HY45" s="58">
        <v>677.91099999999994</v>
      </c>
      <c r="HZ45" s="58">
        <v>216.55699999999999</v>
      </c>
      <c r="IA45" s="58">
        <v>461.35300000000001</v>
      </c>
      <c r="IB45" s="58">
        <v>420.84800000000001</v>
      </c>
      <c r="IC45" s="58">
        <v>235.72300000000001</v>
      </c>
      <c r="ID45" s="58">
        <v>185.125</v>
      </c>
      <c r="IE45" s="58">
        <v>68.581000000000003</v>
      </c>
      <c r="IF45" s="58">
        <v>39.012</v>
      </c>
      <c r="IG45" s="58">
        <v>29.568999999999999</v>
      </c>
      <c r="IH45" s="58">
        <v>28.67</v>
      </c>
      <c r="II45" s="58">
        <v>20.201000000000001</v>
      </c>
      <c r="IJ45" s="58">
        <v>8.4689999999999994</v>
      </c>
      <c r="IK45" s="58">
        <v>14.984</v>
      </c>
      <c r="IL45" s="58">
        <v>11.523</v>
      </c>
      <c r="IM45" s="58">
        <v>3.4609999999999999</v>
      </c>
      <c r="IN45" s="58">
        <v>13.685</v>
      </c>
      <c r="IO45" s="58">
        <v>8.6780000000000008</v>
      </c>
      <c r="IP45" s="58">
        <v>5.0069999999999997</v>
      </c>
      <c r="IQ45" s="58">
        <v>39.911000000000001</v>
      </c>
    </row>
    <row r="46" spans="1:251">
      <c r="A46" s="5">
        <v>42887</v>
      </c>
      <c r="B46" s="58">
        <v>12254.960999999999</v>
      </c>
      <c r="C46" s="58">
        <v>6523.3519999999999</v>
      </c>
      <c r="D46" s="58">
        <v>5731.6090000000004</v>
      </c>
      <c r="E46" s="58">
        <v>8381.857</v>
      </c>
      <c r="F46" s="58">
        <v>5332.33</v>
      </c>
      <c r="G46" s="58">
        <v>3049.527</v>
      </c>
      <c r="H46" s="58">
        <v>3873.105</v>
      </c>
      <c r="I46" s="58">
        <v>1191.0219999999999</v>
      </c>
      <c r="J46" s="58">
        <v>2682.0819999999999</v>
      </c>
      <c r="K46" s="58">
        <v>1808.74</v>
      </c>
      <c r="L46" s="58">
        <v>946.928</v>
      </c>
      <c r="M46" s="58">
        <v>861.81200000000001</v>
      </c>
      <c r="N46" s="58">
        <v>326.66500000000002</v>
      </c>
      <c r="O46" s="58">
        <v>179.358</v>
      </c>
      <c r="P46" s="58">
        <v>147.30699999999999</v>
      </c>
      <c r="Q46" s="58">
        <v>120.89100000000001</v>
      </c>
      <c r="R46" s="58">
        <v>92.334999999999994</v>
      </c>
      <c r="S46" s="58">
        <v>28.556999999999999</v>
      </c>
      <c r="T46" s="58">
        <v>65.061000000000007</v>
      </c>
      <c r="U46" s="58">
        <v>50.463000000000001</v>
      </c>
      <c r="V46" s="58">
        <v>14.598000000000001</v>
      </c>
      <c r="W46" s="58">
        <v>55.83</v>
      </c>
      <c r="X46" s="58">
        <v>41.871000000000002</v>
      </c>
      <c r="Y46" s="58">
        <v>13.959</v>
      </c>
      <c r="Z46" s="58">
        <v>205.773</v>
      </c>
      <c r="AA46" s="58">
        <v>87.024000000000001</v>
      </c>
      <c r="AB46" s="58">
        <v>118.75</v>
      </c>
      <c r="AC46" s="58">
        <v>1628.72</v>
      </c>
      <c r="AD46" s="58">
        <v>847.66499999999996</v>
      </c>
      <c r="AE46" s="58">
        <v>781.05499999999995</v>
      </c>
      <c r="AF46" s="58">
        <v>602.89</v>
      </c>
      <c r="AG46" s="58">
        <v>448.13099999999997</v>
      </c>
      <c r="AH46" s="58">
        <v>154.75899999999999</v>
      </c>
      <c r="AI46" s="58">
        <v>1025.83</v>
      </c>
      <c r="AJ46" s="58">
        <v>399.53399999999999</v>
      </c>
      <c r="AK46" s="58">
        <v>626.29600000000005</v>
      </c>
      <c r="AL46" s="58">
        <v>699.12900000000002</v>
      </c>
      <c r="AM46" s="58">
        <v>520.28</v>
      </c>
      <c r="AN46" s="58">
        <v>178.84899999999999</v>
      </c>
      <c r="AO46" s="58">
        <v>1109.6110000000001</v>
      </c>
      <c r="AP46" s="58">
        <v>426.64800000000002</v>
      </c>
      <c r="AQ46" s="58">
        <v>682.96299999999997</v>
      </c>
      <c r="AR46" s="58">
        <v>1090.8910000000001</v>
      </c>
      <c r="AS46" s="58">
        <v>449.99700000000001</v>
      </c>
      <c r="AT46" s="58">
        <v>640.89400000000001</v>
      </c>
      <c r="AU46" s="58">
        <v>11763.322</v>
      </c>
      <c r="AV46" s="58">
        <v>6221.8940000000002</v>
      </c>
      <c r="AW46" s="58">
        <v>5541.4279999999999</v>
      </c>
      <c r="AX46" s="58">
        <v>8160.6310000000003</v>
      </c>
      <c r="AY46" s="58">
        <v>5165.7889999999998</v>
      </c>
      <c r="AZ46" s="58">
        <v>2994.8420000000001</v>
      </c>
      <c r="BA46" s="58">
        <v>3602.69</v>
      </c>
      <c r="BB46" s="58">
        <v>1056.105</v>
      </c>
      <c r="BC46" s="58">
        <v>2546.5859999999998</v>
      </c>
      <c r="BD46" s="58">
        <v>1770.7929999999999</v>
      </c>
      <c r="BE46" s="58">
        <v>922.625</v>
      </c>
      <c r="BF46" s="58">
        <v>848.16800000000001</v>
      </c>
      <c r="BG46" s="58">
        <v>311.40800000000002</v>
      </c>
      <c r="BH46" s="58">
        <v>169.74600000000001</v>
      </c>
      <c r="BI46" s="58">
        <v>141.66200000000001</v>
      </c>
      <c r="BJ46" s="58">
        <v>117.59</v>
      </c>
      <c r="BK46" s="58">
        <v>89.644999999999996</v>
      </c>
      <c r="BL46" s="58">
        <v>27.945</v>
      </c>
      <c r="BM46" s="58">
        <v>63.356999999999999</v>
      </c>
      <c r="BN46" s="58">
        <v>49.371000000000002</v>
      </c>
      <c r="BO46" s="58">
        <v>13.986000000000001</v>
      </c>
      <c r="BP46" s="58">
        <v>54.232999999999997</v>
      </c>
      <c r="BQ46" s="58">
        <v>40.274000000000001</v>
      </c>
      <c r="BR46" s="58">
        <v>13.959</v>
      </c>
      <c r="BS46" s="58">
        <v>193.81700000000001</v>
      </c>
      <c r="BT46" s="58">
        <v>80.100999999999999</v>
      </c>
      <c r="BU46" s="58">
        <v>113.71599999999999</v>
      </c>
      <c r="BV46" s="58">
        <v>1602.3209999999999</v>
      </c>
      <c r="BW46" s="58">
        <v>830.74400000000003</v>
      </c>
      <c r="BX46" s="58">
        <v>771.577</v>
      </c>
      <c r="BY46" s="58">
        <v>596.10799999999995</v>
      </c>
      <c r="BZ46" s="58">
        <v>442.98700000000002</v>
      </c>
      <c r="CA46" s="58">
        <v>153.12100000000001</v>
      </c>
      <c r="CB46" s="58">
        <v>1006.213</v>
      </c>
      <c r="CC46" s="58">
        <v>387.75700000000001</v>
      </c>
      <c r="CD46" s="58">
        <v>618.45600000000002</v>
      </c>
      <c r="CE46" s="58">
        <v>689.04600000000005</v>
      </c>
      <c r="CF46" s="58">
        <v>512.44600000000003</v>
      </c>
      <c r="CG46" s="58">
        <v>176.6</v>
      </c>
      <c r="CH46" s="58">
        <v>1081.7470000000001</v>
      </c>
      <c r="CI46" s="58">
        <v>410.17899999999997</v>
      </c>
      <c r="CJ46" s="58">
        <v>671.56799999999998</v>
      </c>
      <c r="CK46" s="58">
        <v>1069.5709999999999</v>
      </c>
      <c r="CL46" s="58">
        <v>437.12799999999999</v>
      </c>
      <c r="CM46" s="58">
        <v>632.44200000000001</v>
      </c>
      <c r="CN46" s="58">
        <v>1838.1659999999999</v>
      </c>
      <c r="CO46" s="58">
        <v>933.11800000000005</v>
      </c>
      <c r="CP46" s="58">
        <v>905.048</v>
      </c>
      <c r="CQ46" s="58">
        <v>827.91499999999996</v>
      </c>
      <c r="CR46" s="58">
        <v>503.65100000000001</v>
      </c>
      <c r="CS46" s="58">
        <v>324.26400000000001</v>
      </c>
      <c r="CT46" s="58">
        <v>1010.251</v>
      </c>
      <c r="CU46" s="58">
        <v>429.46699999999998</v>
      </c>
      <c r="CV46" s="58">
        <v>580.78300000000002</v>
      </c>
      <c r="CW46" s="58">
        <v>475.92599999999999</v>
      </c>
      <c r="CX46" s="58">
        <v>231.17400000000001</v>
      </c>
      <c r="CY46" s="58">
        <v>244.75200000000001</v>
      </c>
      <c r="CZ46" s="58">
        <v>73.453000000000003</v>
      </c>
      <c r="DA46" s="58">
        <v>33.162999999999997</v>
      </c>
      <c r="DB46" s="58">
        <v>40.29</v>
      </c>
      <c r="DC46" s="58">
        <v>10.938000000000001</v>
      </c>
      <c r="DD46" s="58">
        <v>8.6660000000000004</v>
      </c>
      <c r="DE46" s="58">
        <v>2.2730000000000001</v>
      </c>
      <c r="DF46" s="58">
        <v>7.0419999999999998</v>
      </c>
      <c r="DG46" s="58">
        <v>5.54</v>
      </c>
      <c r="DH46" s="58">
        <v>1.5009999999999999</v>
      </c>
      <c r="DI46" s="58">
        <v>3.8969999999999998</v>
      </c>
      <c r="DJ46" s="58">
        <v>3.125</v>
      </c>
      <c r="DK46" s="58">
        <v>0.77100000000000002</v>
      </c>
      <c r="DL46" s="58">
        <v>62.515000000000001</v>
      </c>
      <c r="DM46" s="58">
        <v>24.497</v>
      </c>
      <c r="DN46" s="58">
        <v>38.017000000000003</v>
      </c>
      <c r="DO46" s="58">
        <v>443.25200000000001</v>
      </c>
      <c r="DP46" s="58">
        <v>216.97800000000001</v>
      </c>
      <c r="DQ46" s="58">
        <v>226.274</v>
      </c>
      <c r="DR46" s="58">
        <v>97.668000000000006</v>
      </c>
      <c r="DS46" s="58">
        <v>66.525000000000006</v>
      </c>
      <c r="DT46" s="58">
        <v>31.143000000000001</v>
      </c>
      <c r="DU46" s="58">
        <v>345.584</v>
      </c>
      <c r="DV46" s="58">
        <v>150.453</v>
      </c>
      <c r="DW46" s="58">
        <v>195.131</v>
      </c>
      <c r="DX46" s="58">
        <v>105.914</v>
      </c>
      <c r="DY46" s="58">
        <v>72.498999999999995</v>
      </c>
      <c r="DZ46" s="58">
        <v>33.414999999999999</v>
      </c>
      <c r="EA46" s="58">
        <v>370.01100000000002</v>
      </c>
      <c r="EB46" s="58">
        <v>158.67500000000001</v>
      </c>
      <c r="EC46" s="58">
        <v>211.33699999999999</v>
      </c>
      <c r="ED46" s="58">
        <v>352.62599999999998</v>
      </c>
      <c r="EE46" s="58">
        <v>155.99299999999999</v>
      </c>
      <c r="EF46" s="58">
        <v>196.63300000000001</v>
      </c>
      <c r="EG46" s="58">
        <v>626.39700000000005</v>
      </c>
      <c r="EH46" s="58">
        <v>298.05599999999998</v>
      </c>
      <c r="EI46" s="58">
        <v>328.34199999999998</v>
      </c>
      <c r="EJ46" s="58">
        <v>141.1</v>
      </c>
      <c r="EK46" s="58">
        <v>95.137</v>
      </c>
      <c r="EL46" s="58">
        <v>45.963000000000001</v>
      </c>
      <c r="EM46" s="58">
        <v>485.29700000000003</v>
      </c>
      <c r="EN46" s="58">
        <v>202.91900000000001</v>
      </c>
      <c r="EO46" s="58">
        <v>282.37799999999999</v>
      </c>
      <c r="EP46" s="58">
        <v>188.41900000000001</v>
      </c>
      <c r="EQ46" s="58">
        <v>86.033000000000001</v>
      </c>
      <c r="ER46" s="58">
        <v>102.386</v>
      </c>
      <c r="ES46" s="58">
        <v>32.563000000000002</v>
      </c>
      <c r="ET46" s="58">
        <v>16.387</v>
      </c>
      <c r="EU46" s="58">
        <v>16.175999999999998</v>
      </c>
      <c r="EV46" s="58">
        <v>1.0760000000000001</v>
      </c>
      <c r="EW46" s="58">
        <v>1.0760000000000001</v>
      </c>
      <c r="EX46" s="58">
        <v>0</v>
      </c>
      <c r="EY46" s="58">
        <v>0.36199999999999999</v>
      </c>
      <c r="EZ46" s="58">
        <v>0.36199999999999999</v>
      </c>
      <c r="FA46" s="58">
        <v>0</v>
      </c>
      <c r="FB46" s="58">
        <v>0.71499999999999997</v>
      </c>
      <c r="FC46" s="58">
        <v>0.71499999999999997</v>
      </c>
      <c r="FD46" s="58">
        <v>0</v>
      </c>
      <c r="FE46" s="58">
        <v>31.486999999999998</v>
      </c>
      <c r="FF46" s="58">
        <v>15.311</v>
      </c>
      <c r="FG46" s="58">
        <v>16.175999999999998</v>
      </c>
      <c r="FH46" s="58">
        <v>172.79900000000001</v>
      </c>
      <c r="FI46" s="58">
        <v>79.19</v>
      </c>
      <c r="FJ46" s="58">
        <v>93.608000000000004</v>
      </c>
      <c r="FK46" s="58">
        <v>18.009</v>
      </c>
      <c r="FL46" s="58">
        <v>14.182</v>
      </c>
      <c r="FM46" s="58">
        <v>3.827</v>
      </c>
      <c r="FN46" s="58">
        <v>154.79</v>
      </c>
      <c r="FO46" s="58">
        <v>65.009</v>
      </c>
      <c r="FP46" s="58">
        <v>89.781000000000006</v>
      </c>
      <c r="FQ46" s="58">
        <v>18.370999999999999</v>
      </c>
      <c r="FR46" s="58">
        <v>14.542999999999999</v>
      </c>
      <c r="FS46" s="58">
        <v>3.827</v>
      </c>
      <c r="FT46" s="58">
        <v>170.048</v>
      </c>
      <c r="FU46" s="58">
        <v>71.489999999999995</v>
      </c>
      <c r="FV46" s="58">
        <v>98.558000000000007</v>
      </c>
      <c r="FW46" s="58">
        <v>155.15199999999999</v>
      </c>
      <c r="FX46" s="58">
        <v>65.37</v>
      </c>
      <c r="FY46" s="58">
        <v>89.781000000000006</v>
      </c>
      <c r="FZ46" s="58">
        <v>1211.769</v>
      </c>
      <c r="GA46" s="58">
        <v>635.06299999999999</v>
      </c>
      <c r="GB46" s="58">
        <v>576.70600000000002</v>
      </c>
      <c r="GC46" s="58">
        <v>686.81500000000005</v>
      </c>
      <c r="GD46" s="58">
        <v>408.51400000000001</v>
      </c>
      <c r="GE46" s="58">
        <v>278.30099999999999</v>
      </c>
      <c r="GF46" s="58">
        <v>524.95299999999997</v>
      </c>
      <c r="GG46" s="58">
        <v>226.548</v>
      </c>
      <c r="GH46" s="58">
        <v>298.40499999999997</v>
      </c>
      <c r="GI46" s="58">
        <v>287.50700000000001</v>
      </c>
      <c r="GJ46" s="58">
        <v>145.14099999999999</v>
      </c>
      <c r="GK46" s="58">
        <v>142.36600000000001</v>
      </c>
      <c r="GL46" s="58">
        <v>40.889000000000003</v>
      </c>
      <c r="GM46" s="58">
        <v>16.774999999999999</v>
      </c>
      <c r="GN46" s="58">
        <v>24.114000000000001</v>
      </c>
      <c r="GO46" s="58">
        <v>9.8620000000000001</v>
      </c>
      <c r="GP46" s="58">
        <v>7.5890000000000004</v>
      </c>
      <c r="GQ46" s="58">
        <v>2.2730000000000001</v>
      </c>
      <c r="GR46" s="58">
        <v>6.68</v>
      </c>
      <c r="GS46" s="58">
        <v>5.1790000000000003</v>
      </c>
      <c r="GT46" s="58">
        <v>1.5009999999999999</v>
      </c>
      <c r="GU46" s="58">
        <v>3.1819999999999999</v>
      </c>
      <c r="GV46" s="58">
        <v>2.411</v>
      </c>
      <c r="GW46" s="58">
        <v>0.77100000000000002</v>
      </c>
      <c r="GX46" s="58">
        <v>31.027000000000001</v>
      </c>
      <c r="GY46" s="58">
        <v>9.1859999999999999</v>
      </c>
      <c r="GZ46" s="58">
        <v>21.841000000000001</v>
      </c>
      <c r="HA46" s="58">
        <v>270.45299999999997</v>
      </c>
      <c r="HB46" s="58">
        <v>137.78800000000001</v>
      </c>
      <c r="HC46" s="58">
        <v>132.666</v>
      </c>
      <c r="HD46" s="58">
        <v>79.659000000000006</v>
      </c>
      <c r="HE46" s="58">
        <v>52.344000000000001</v>
      </c>
      <c r="HF46" s="58">
        <v>27.315000000000001</v>
      </c>
      <c r="HG46" s="58">
        <v>190.79400000000001</v>
      </c>
      <c r="HH46" s="58">
        <v>85.444000000000003</v>
      </c>
      <c r="HI46" s="58">
        <v>105.35</v>
      </c>
      <c r="HJ46" s="58">
        <v>87.543999999999997</v>
      </c>
      <c r="HK46" s="58">
        <v>57.956000000000003</v>
      </c>
      <c r="HL46" s="58">
        <v>29.588000000000001</v>
      </c>
      <c r="HM46" s="58">
        <v>199.96299999999999</v>
      </c>
      <c r="HN46" s="58">
        <v>87.185000000000002</v>
      </c>
      <c r="HO46" s="58">
        <v>112.77800000000001</v>
      </c>
      <c r="HP46" s="58">
        <v>197.47399999999999</v>
      </c>
      <c r="HQ46" s="58">
        <v>90.623000000000005</v>
      </c>
      <c r="HR46" s="58">
        <v>106.851</v>
      </c>
      <c r="HS46" s="58">
        <v>2898.9169999999999</v>
      </c>
      <c r="HT46" s="58">
        <v>1573.1189999999999</v>
      </c>
      <c r="HU46" s="58">
        <v>1325.799</v>
      </c>
      <c r="HV46" s="58">
        <v>2236</v>
      </c>
      <c r="HW46" s="58">
        <v>1368.377</v>
      </c>
      <c r="HX46" s="58">
        <v>867.62300000000005</v>
      </c>
      <c r="HY46" s="58">
        <v>662.91700000000003</v>
      </c>
      <c r="HZ46" s="58">
        <v>204.74199999999999</v>
      </c>
      <c r="IA46" s="58">
        <v>458.17500000000001</v>
      </c>
      <c r="IB46" s="58">
        <v>411.61200000000002</v>
      </c>
      <c r="IC46" s="58">
        <v>247.83500000000001</v>
      </c>
      <c r="ID46" s="58">
        <v>163.77699999999999</v>
      </c>
      <c r="IE46" s="58">
        <v>64.242000000000004</v>
      </c>
      <c r="IF46" s="58">
        <v>40.524000000000001</v>
      </c>
      <c r="IG46" s="58">
        <v>23.718</v>
      </c>
      <c r="IH46" s="58">
        <v>30.434999999999999</v>
      </c>
      <c r="II46" s="58">
        <v>25.137</v>
      </c>
      <c r="IJ46" s="58">
        <v>5.298</v>
      </c>
      <c r="IK46" s="58">
        <v>16.05</v>
      </c>
      <c r="IL46" s="58">
        <v>13.192</v>
      </c>
      <c r="IM46" s="58">
        <v>2.8580000000000001</v>
      </c>
      <c r="IN46" s="58">
        <v>14.385</v>
      </c>
      <c r="IO46" s="58">
        <v>11.945</v>
      </c>
      <c r="IP46" s="58">
        <v>2.44</v>
      </c>
      <c r="IQ46" s="58">
        <v>33.807000000000002</v>
      </c>
    </row>
    <row r="47" spans="1:251">
      <c r="A47" s="5">
        <v>42917</v>
      </c>
      <c r="B47" s="58">
        <v>12260.888000000001</v>
      </c>
      <c r="C47" s="58">
        <v>6539.7240000000002</v>
      </c>
      <c r="D47" s="58">
        <v>5721.1639999999998</v>
      </c>
      <c r="E47" s="58">
        <v>8409.4</v>
      </c>
      <c r="F47" s="58">
        <v>5334.835</v>
      </c>
      <c r="G47" s="58">
        <v>3074.5650000000001</v>
      </c>
      <c r="H47" s="58">
        <v>3851.4879999999998</v>
      </c>
      <c r="I47" s="58">
        <v>1204.8889999999999</v>
      </c>
      <c r="J47" s="58">
        <v>2646.598</v>
      </c>
      <c r="K47" s="58">
        <v>1824.0309999999999</v>
      </c>
      <c r="L47" s="58">
        <v>972.73800000000006</v>
      </c>
      <c r="M47" s="58">
        <v>851.29300000000001</v>
      </c>
      <c r="N47" s="58">
        <v>358.78199999999998</v>
      </c>
      <c r="O47" s="58">
        <v>200.73500000000001</v>
      </c>
      <c r="P47" s="58">
        <v>158.047</v>
      </c>
      <c r="Q47" s="58">
        <v>137.167</v>
      </c>
      <c r="R47" s="58">
        <v>103.67100000000001</v>
      </c>
      <c r="S47" s="58">
        <v>33.496000000000002</v>
      </c>
      <c r="T47" s="58">
        <v>79.491</v>
      </c>
      <c r="U47" s="58">
        <v>61.033999999999999</v>
      </c>
      <c r="V47" s="58">
        <v>18.457000000000001</v>
      </c>
      <c r="W47" s="58">
        <v>57.676000000000002</v>
      </c>
      <c r="X47" s="58">
        <v>42.637</v>
      </c>
      <c r="Y47" s="58">
        <v>15.04</v>
      </c>
      <c r="Z47" s="58">
        <v>221.61500000000001</v>
      </c>
      <c r="AA47" s="58">
        <v>97.063999999999993</v>
      </c>
      <c r="AB47" s="58">
        <v>124.551</v>
      </c>
      <c r="AC47" s="58">
        <v>1627.376</v>
      </c>
      <c r="AD47" s="58">
        <v>860.37400000000002</v>
      </c>
      <c r="AE47" s="58">
        <v>767.00300000000004</v>
      </c>
      <c r="AF47" s="58">
        <v>605.61199999999997</v>
      </c>
      <c r="AG47" s="58">
        <v>445.68700000000001</v>
      </c>
      <c r="AH47" s="58">
        <v>159.92500000000001</v>
      </c>
      <c r="AI47" s="58">
        <v>1021.764</v>
      </c>
      <c r="AJ47" s="58">
        <v>414.68599999999998</v>
      </c>
      <c r="AK47" s="58">
        <v>607.07799999999997</v>
      </c>
      <c r="AL47" s="58">
        <v>710.47400000000005</v>
      </c>
      <c r="AM47" s="58">
        <v>523.30600000000004</v>
      </c>
      <c r="AN47" s="58">
        <v>187.16800000000001</v>
      </c>
      <c r="AO47" s="58">
        <v>1113.557</v>
      </c>
      <c r="AP47" s="58">
        <v>449.43200000000002</v>
      </c>
      <c r="AQ47" s="58">
        <v>664.125</v>
      </c>
      <c r="AR47" s="58">
        <v>1101.2550000000001</v>
      </c>
      <c r="AS47" s="58">
        <v>475.72</v>
      </c>
      <c r="AT47" s="58">
        <v>625.53499999999997</v>
      </c>
      <c r="AU47" s="58">
        <v>11765.384</v>
      </c>
      <c r="AV47" s="58">
        <v>6236.2830000000004</v>
      </c>
      <c r="AW47" s="58">
        <v>5529.1009999999997</v>
      </c>
      <c r="AX47" s="58">
        <v>8187.6670000000004</v>
      </c>
      <c r="AY47" s="58">
        <v>5165.9449999999997</v>
      </c>
      <c r="AZ47" s="58">
        <v>3021.721</v>
      </c>
      <c r="BA47" s="58">
        <v>3577.7179999999998</v>
      </c>
      <c r="BB47" s="58">
        <v>1070.338</v>
      </c>
      <c r="BC47" s="58">
        <v>2507.38</v>
      </c>
      <c r="BD47" s="58">
        <v>1788.5429999999999</v>
      </c>
      <c r="BE47" s="58">
        <v>950.24300000000005</v>
      </c>
      <c r="BF47" s="58">
        <v>838.30100000000004</v>
      </c>
      <c r="BG47" s="58">
        <v>341.36399999999998</v>
      </c>
      <c r="BH47" s="58">
        <v>189.083</v>
      </c>
      <c r="BI47" s="58">
        <v>152.28</v>
      </c>
      <c r="BJ47" s="58">
        <v>134.19900000000001</v>
      </c>
      <c r="BK47" s="58">
        <v>101.151</v>
      </c>
      <c r="BL47" s="58">
        <v>33.048000000000002</v>
      </c>
      <c r="BM47" s="58">
        <v>77.206000000000003</v>
      </c>
      <c r="BN47" s="58">
        <v>59.197000000000003</v>
      </c>
      <c r="BO47" s="58">
        <v>18.009</v>
      </c>
      <c r="BP47" s="58">
        <v>56.993000000000002</v>
      </c>
      <c r="BQ47" s="58">
        <v>41.954000000000001</v>
      </c>
      <c r="BR47" s="58">
        <v>15.04</v>
      </c>
      <c r="BS47" s="58">
        <v>207.16499999999999</v>
      </c>
      <c r="BT47" s="58">
        <v>87.933000000000007</v>
      </c>
      <c r="BU47" s="58">
        <v>119.232</v>
      </c>
      <c r="BV47" s="58">
        <v>1604.575</v>
      </c>
      <c r="BW47" s="58">
        <v>846.00199999999995</v>
      </c>
      <c r="BX47" s="58">
        <v>758.57299999999998</v>
      </c>
      <c r="BY47" s="58">
        <v>599.44200000000001</v>
      </c>
      <c r="BZ47" s="58">
        <v>440.88400000000001</v>
      </c>
      <c r="CA47" s="58">
        <v>158.55799999999999</v>
      </c>
      <c r="CB47" s="58">
        <v>1005.133</v>
      </c>
      <c r="CC47" s="58">
        <v>405.11799999999999</v>
      </c>
      <c r="CD47" s="58">
        <v>600.01499999999999</v>
      </c>
      <c r="CE47" s="58">
        <v>701.74300000000005</v>
      </c>
      <c r="CF47" s="58">
        <v>516.38900000000001</v>
      </c>
      <c r="CG47" s="58">
        <v>185.35300000000001</v>
      </c>
      <c r="CH47" s="58">
        <v>1086.8009999999999</v>
      </c>
      <c r="CI47" s="58">
        <v>433.85300000000001</v>
      </c>
      <c r="CJ47" s="58">
        <v>652.947</v>
      </c>
      <c r="CK47" s="58">
        <v>1082.3389999999999</v>
      </c>
      <c r="CL47" s="58">
        <v>464.31400000000002</v>
      </c>
      <c r="CM47" s="58">
        <v>618.024</v>
      </c>
      <c r="CN47" s="58">
        <v>1863.37</v>
      </c>
      <c r="CO47" s="58">
        <v>951.69500000000005</v>
      </c>
      <c r="CP47" s="58">
        <v>911.67499999999995</v>
      </c>
      <c r="CQ47" s="58">
        <v>874.52700000000004</v>
      </c>
      <c r="CR47" s="58">
        <v>517.23299999999995</v>
      </c>
      <c r="CS47" s="58">
        <v>357.29399999999998</v>
      </c>
      <c r="CT47" s="58">
        <v>988.84299999999996</v>
      </c>
      <c r="CU47" s="58">
        <v>434.46199999999999</v>
      </c>
      <c r="CV47" s="58">
        <v>554.38099999999997</v>
      </c>
      <c r="CW47" s="58">
        <v>496.54899999999998</v>
      </c>
      <c r="CX47" s="58">
        <v>254.749</v>
      </c>
      <c r="CY47" s="58">
        <v>241.80099999999999</v>
      </c>
      <c r="CZ47" s="58">
        <v>86.168000000000006</v>
      </c>
      <c r="DA47" s="58">
        <v>45.304000000000002</v>
      </c>
      <c r="DB47" s="58">
        <v>40.863999999999997</v>
      </c>
      <c r="DC47" s="58">
        <v>19.334</v>
      </c>
      <c r="DD47" s="58">
        <v>13.561999999999999</v>
      </c>
      <c r="DE47" s="58">
        <v>5.7720000000000002</v>
      </c>
      <c r="DF47" s="58">
        <v>12.775</v>
      </c>
      <c r="DG47" s="58">
        <v>8.5060000000000002</v>
      </c>
      <c r="DH47" s="58">
        <v>4.2690000000000001</v>
      </c>
      <c r="DI47" s="58">
        <v>6.5590000000000002</v>
      </c>
      <c r="DJ47" s="58">
        <v>5.056</v>
      </c>
      <c r="DK47" s="58">
        <v>1.5029999999999999</v>
      </c>
      <c r="DL47" s="58">
        <v>66.834999999999994</v>
      </c>
      <c r="DM47" s="58">
        <v>31.742000000000001</v>
      </c>
      <c r="DN47" s="58">
        <v>35.091999999999999</v>
      </c>
      <c r="DO47" s="58">
        <v>457.024</v>
      </c>
      <c r="DP47" s="58">
        <v>233.459</v>
      </c>
      <c r="DQ47" s="58">
        <v>223.565</v>
      </c>
      <c r="DR47" s="58">
        <v>110.381</v>
      </c>
      <c r="DS47" s="58">
        <v>73.572999999999993</v>
      </c>
      <c r="DT47" s="58">
        <v>36.808</v>
      </c>
      <c r="DU47" s="58">
        <v>346.64299999999997</v>
      </c>
      <c r="DV47" s="58">
        <v>159.886</v>
      </c>
      <c r="DW47" s="58">
        <v>186.75700000000001</v>
      </c>
      <c r="DX47" s="58">
        <v>124.096</v>
      </c>
      <c r="DY47" s="58">
        <v>82.822999999999993</v>
      </c>
      <c r="DZ47" s="58">
        <v>41.273000000000003</v>
      </c>
      <c r="EA47" s="58">
        <v>372.45400000000001</v>
      </c>
      <c r="EB47" s="58">
        <v>171.92599999999999</v>
      </c>
      <c r="EC47" s="58">
        <v>200.52799999999999</v>
      </c>
      <c r="ED47" s="58">
        <v>359.41699999999997</v>
      </c>
      <c r="EE47" s="58">
        <v>168.392</v>
      </c>
      <c r="EF47" s="58">
        <v>191.02500000000001</v>
      </c>
      <c r="EG47" s="58">
        <v>644.57000000000005</v>
      </c>
      <c r="EH47" s="58">
        <v>310.93700000000001</v>
      </c>
      <c r="EI47" s="58">
        <v>333.63299999999998</v>
      </c>
      <c r="EJ47" s="58">
        <v>158.70400000000001</v>
      </c>
      <c r="EK47" s="58">
        <v>102.78700000000001</v>
      </c>
      <c r="EL47" s="58">
        <v>55.917000000000002</v>
      </c>
      <c r="EM47" s="58">
        <v>485.86599999999999</v>
      </c>
      <c r="EN47" s="58">
        <v>208.15</v>
      </c>
      <c r="EO47" s="58">
        <v>277.71600000000001</v>
      </c>
      <c r="EP47" s="58">
        <v>197.702</v>
      </c>
      <c r="EQ47" s="58">
        <v>98.584000000000003</v>
      </c>
      <c r="ER47" s="58">
        <v>99.117999999999995</v>
      </c>
      <c r="ES47" s="58">
        <v>32.204999999999998</v>
      </c>
      <c r="ET47" s="58">
        <v>17.861999999999998</v>
      </c>
      <c r="EU47" s="58">
        <v>14.343</v>
      </c>
      <c r="EV47" s="58">
        <v>2.0190000000000001</v>
      </c>
      <c r="EW47" s="58">
        <v>1.3460000000000001</v>
      </c>
      <c r="EX47" s="58">
        <v>0.67300000000000004</v>
      </c>
      <c r="EY47" s="58">
        <v>1.4259999999999999</v>
      </c>
      <c r="EZ47" s="58">
        <v>0.754</v>
      </c>
      <c r="FA47" s="58">
        <v>0.67300000000000004</v>
      </c>
      <c r="FB47" s="58">
        <v>0.59299999999999997</v>
      </c>
      <c r="FC47" s="58">
        <v>0.59299999999999997</v>
      </c>
      <c r="FD47" s="58">
        <v>0</v>
      </c>
      <c r="FE47" s="58">
        <v>30.186</v>
      </c>
      <c r="FF47" s="58">
        <v>16.515999999999998</v>
      </c>
      <c r="FG47" s="58">
        <v>13.67</v>
      </c>
      <c r="FH47" s="58">
        <v>182.84</v>
      </c>
      <c r="FI47" s="58">
        <v>89.962000000000003</v>
      </c>
      <c r="FJ47" s="58">
        <v>92.878</v>
      </c>
      <c r="FK47" s="58">
        <v>20.898</v>
      </c>
      <c r="FL47" s="58">
        <v>13.355</v>
      </c>
      <c r="FM47" s="58">
        <v>7.5430000000000001</v>
      </c>
      <c r="FN47" s="58">
        <v>161.94200000000001</v>
      </c>
      <c r="FO47" s="58">
        <v>76.606999999999999</v>
      </c>
      <c r="FP47" s="58">
        <v>85.334999999999994</v>
      </c>
      <c r="FQ47" s="58">
        <v>22.279</v>
      </c>
      <c r="FR47" s="58">
        <v>14.063000000000001</v>
      </c>
      <c r="FS47" s="58">
        <v>8.2159999999999993</v>
      </c>
      <c r="FT47" s="58">
        <v>175.423</v>
      </c>
      <c r="FU47" s="58">
        <v>84.52</v>
      </c>
      <c r="FV47" s="58">
        <v>90.903000000000006</v>
      </c>
      <c r="FW47" s="58">
        <v>163.36799999999999</v>
      </c>
      <c r="FX47" s="58">
        <v>77.36</v>
      </c>
      <c r="FY47" s="58">
        <v>86.007999999999996</v>
      </c>
      <c r="FZ47" s="58">
        <v>1218.8</v>
      </c>
      <c r="GA47" s="58">
        <v>640.75800000000004</v>
      </c>
      <c r="GB47" s="58">
        <v>578.04200000000003</v>
      </c>
      <c r="GC47" s="58">
        <v>715.82299999999998</v>
      </c>
      <c r="GD47" s="58">
        <v>414.44499999999999</v>
      </c>
      <c r="GE47" s="58">
        <v>301.37700000000001</v>
      </c>
      <c r="GF47" s="58">
        <v>502.97699999999998</v>
      </c>
      <c r="GG47" s="58">
        <v>226.31200000000001</v>
      </c>
      <c r="GH47" s="58">
        <v>276.66500000000002</v>
      </c>
      <c r="GI47" s="58">
        <v>298.84699999999998</v>
      </c>
      <c r="GJ47" s="58">
        <v>156.16499999999999</v>
      </c>
      <c r="GK47" s="58">
        <v>142.68199999999999</v>
      </c>
      <c r="GL47" s="58">
        <v>53.963999999999999</v>
      </c>
      <c r="GM47" s="58">
        <v>27.442</v>
      </c>
      <c r="GN47" s="58">
        <v>26.521999999999998</v>
      </c>
      <c r="GO47" s="58">
        <v>17.315000000000001</v>
      </c>
      <c r="GP47" s="58">
        <v>12.215</v>
      </c>
      <c r="GQ47" s="58">
        <v>5.0999999999999996</v>
      </c>
      <c r="GR47" s="58">
        <v>11.348000000000001</v>
      </c>
      <c r="GS47" s="58">
        <v>7.7519999999999998</v>
      </c>
      <c r="GT47" s="58">
        <v>3.5960000000000001</v>
      </c>
      <c r="GU47" s="58">
        <v>5.9660000000000002</v>
      </c>
      <c r="GV47" s="58">
        <v>4.4630000000000001</v>
      </c>
      <c r="GW47" s="58">
        <v>1.5029999999999999</v>
      </c>
      <c r="GX47" s="58">
        <v>36.649000000000001</v>
      </c>
      <c r="GY47" s="58">
        <v>15.227</v>
      </c>
      <c r="GZ47" s="58">
        <v>21.422000000000001</v>
      </c>
      <c r="HA47" s="58">
        <v>274.18299999999999</v>
      </c>
      <c r="HB47" s="58">
        <v>143.49700000000001</v>
      </c>
      <c r="HC47" s="58">
        <v>130.68700000000001</v>
      </c>
      <c r="HD47" s="58">
        <v>89.483000000000004</v>
      </c>
      <c r="HE47" s="58">
        <v>60.216999999999999</v>
      </c>
      <c r="HF47" s="58">
        <v>29.265000000000001</v>
      </c>
      <c r="HG47" s="58">
        <v>184.7</v>
      </c>
      <c r="HH47" s="58">
        <v>83.278999999999996</v>
      </c>
      <c r="HI47" s="58">
        <v>101.42100000000001</v>
      </c>
      <c r="HJ47" s="58">
        <v>101.81699999999999</v>
      </c>
      <c r="HK47" s="58">
        <v>68.760000000000005</v>
      </c>
      <c r="HL47" s="58">
        <v>33.057000000000002</v>
      </c>
      <c r="HM47" s="58">
        <v>197.03</v>
      </c>
      <c r="HN47" s="58">
        <v>87.406000000000006</v>
      </c>
      <c r="HO47" s="58">
        <v>109.625</v>
      </c>
      <c r="HP47" s="58">
        <v>196.04900000000001</v>
      </c>
      <c r="HQ47" s="58">
        <v>91.031000000000006</v>
      </c>
      <c r="HR47" s="58">
        <v>105.018</v>
      </c>
      <c r="HS47" s="58">
        <v>2897.674</v>
      </c>
      <c r="HT47" s="58">
        <v>1569.1849999999999</v>
      </c>
      <c r="HU47" s="58">
        <v>1328.49</v>
      </c>
      <c r="HV47" s="58">
        <v>2230.5419999999999</v>
      </c>
      <c r="HW47" s="58">
        <v>1366.127</v>
      </c>
      <c r="HX47" s="58">
        <v>864.41499999999996</v>
      </c>
      <c r="HY47" s="58">
        <v>667.13199999999995</v>
      </c>
      <c r="HZ47" s="58">
        <v>203.05799999999999</v>
      </c>
      <c r="IA47" s="58">
        <v>464.07499999999999</v>
      </c>
      <c r="IB47" s="58">
        <v>422.67599999999999</v>
      </c>
      <c r="IC47" s="58">
        <v>246.69</v>
      </c>
      <c r="ID47" s="58">
        <v>175.98699999999999</v>
      </c>
      <c r="IE47" s="58">
        <v>70.558000000000007</v>
      </c>
      <c r="IF47" s="58">
        <v>35.332000000000001</v>
      </c>
      <c r="IG47" s="58">
        <v>35.225999999999999</v>
      </c>
      <c r="IH47" s="58">
        <v>32.667999999999999</v>
      </c>
      <c r="II47" s="58">
        <v>21.51</v>
      </c>
      <c r="IJ47" s="58">
        <v>11.159000000000001</v>
      </c>
      <c r="IK47" s="58">
        <v>18.702000000000002</v>
      </c>
      <c r="IL47" s="58">
        <v>13.458</v>
      </c>
      <c r="IM47" s="58">
        <v>5.2439999999999998</v>
      </c>
      <c r="IN47" s="58">
        <v>13.965999999999999</v>
      </c>
      <c r="IO47" s="58">
        <v>8.0519999999999996</v>
      </c>
      <c r="IP47" s="58">
        <v>5.915</v>
      </c>
      <c r="IQ47" s="58">
        <v>37.89</v>
      </c>
    </row>
    <row r="48" spans="1:251">
      <c r="A48" s="5">
        <v>42948</v>
      </c>
      <c r="B48" s="58">
        <v>12245.332</v>
      </c>
      <c r="C48" s="58">
        <v>6513.5680000000002</v>
      </c>
      <c r="D48" s="58">
        <v>5731.7640000000001</v>
      </c>
      <c r="E48" s="58">
        <v>8364.7389999999996</v>
      </c>
      <c r="F48" s="58">
        <v>5301.7250000000004</v>
      </c>
      <c r="G48" s="58">
        <v>3063.0140000000001</v>
      </c>
      <c r="H48" s="58">
        <v>3880.5929999999998</v>
      </c>
      <c r="I48" s="58">
        <v>1211.8430000000001</v>
      </c>
      <c r="J48" s="58">
        <v>2668.75</v>
      </c>
      <c r="K48" s="58">
        <v>1793.5139999999999</v>
      </c>
      <c r="L48" s="58">
        <v>949.49</v>
      </c>
      <c r="M48" s="58">
        <v>844.02300000000002</v>
      </c>
      <c r="N48" s="58">
        <v>340.73700000000002</v>
      </c>
      <c r="O48" s="58">
        <v>195.80699999999999</v>
      </c>
      <c r="P48" s="58">
        <v>144.93</v>
      </c>
      <c r="Q48" s="58">
        <v>138.58799999999999</v>
      </c>
      <c r="R48" s="58">
        <v>101.063</v>
      </c>
      <c r="S48" s="58">
        <v>37.524999999999999</v>
      </c>
      <c r="T48" s="58">
        <v>74.183000000000007</v>
      </c>
      <c r="U48" s="58">
        <v>57.747999999999998</v>
      </c>
      <c r="V48" s="58">
        <v>16.434000000000001</v>
      </c>
      <c r="W48" s="58">
        <v>64.406000000000006</v>
      </c>
      <c r="X48" s="58">
        <v>43.314999999999998</v>
      </c>
      <c r="Y48" s="58">
        <v>21.091000000000001</v>
      </c>
      <c r="Z48" s="58">
        <v>202.148</v>
      </c>
      <c r="AA48" s="58">
        <v>94.742999999999995</v>
      </c>
      <c r="AB48" s="58">
        <v>107.405</v>
      </c>
      <c r="AC48" s="58">
        <v>1595.164</v>
      </c>
      <c r="AD48" s="58">
        <v>835.42200000000003</v>
      </c>
      <c r="AE48" s="58">
        <v>759.74300000000005</v>
      </c>
      <c r="AF48" s="58">
        <v>579.70500000000004</v>
      </c>
      <c r="AG48" s="58">
        <v>435.61799999999999</v>
      </c>
      <c r="AH48" s="58">
        <v>144.08699999999999</v>
      </c>
      <c r="AI48" s="58">
        <v>1015.4589999999999</v>
      </c>
      <c r="AJ48" s="58">
        <v>399.803</v>
      </c>
      <c r="AK48" s="58">
        <v>615.65599999999995</v>
      </c>
      <c r="AL48" s="58">
        <v>685.79100000000005</v>
      </c>
      <c r="AM48" s="58">
        <v>509.81</v>
      </c>
      <c r="AN48" s="58">
        <v>175.98099999999999</v>
      </c>
      <c r="AO48" s="58">
        <v>1107.723</v>
      </c>
      <c r="AP48" s="58">
        <v>439.68</v>
      </c>
      <c r="AQ48" s="58">
        <v>668.04300000000001</v>
      </c>
      <c r="AR48" s="58">
        <v>1089.6410000000001</v>
      </c>
      <c r="AS48" s="58">
        <v>457.55099999999999</v>
      </c>
      <c r="AT48" s="58">
        <v>632.09</v>
      </c>
      <c r="AU48" s="58">
        <v>11750.821</v>
      </c>
      <c r="AV48" s="58">
        <v>6210.65</v>
      </c>
      <c r="AW48" s="58">
        <v>5540.1710000000003</v>
      </c>
      <c r="AX48" s="58">
        <v>8138.8490000000002</v>
      </c>
      <c r="AY48" s="58">
        <v>5131.5209999999997</v>
      </c>
      <c r="AZ48" s="58">
        <v>3007.3270000000002</v>
      </c>
      <c r="BA48" s="58">
        <v>3611.9720000000002</v>
      </c>
      <c r="BB48" s="58">
        <v>1079.1289999999999</v>
      </c>
      <c r="BC48" s="58">
        <v>2532.8429999999998</v>
      </c>
      <c r="BD48" s="58">
        <v>1752.626</v>
      </c>
      <c r="BE48" s="58">
        <v>920.923</v>
      </c>
      <c r="BF48" s="58">
        <v>831.70399999999995</v>
      </c>
      <c r="BG48" s="58">
        <v>318.60599999999999</v>
      </c>
      <c r="BH48" s="58">
        <v>178.78200000000001</v>
      </c>
      <c r="BI48" s="58">
        <v>139.82300000000001</v>
      </c>
      <c r="BJ48" s="58">
        <v>134.126</v>
      </c>
      <c r="BK48" s="58">
        <v>97.06</v>
      </c>
      <c r="BL48" s="58">
        <v>37.066000000000003</v>
      </c>
      <c r="BM48" s="58">
        <v>71.411000000000001</v>
      </c>
      <c r="BN48" s="58">
        <v>55.192999999999998</v>
      </c>
      <c r="BO48" s="58">
        <v>16.218</v>
      </c>
      <c r="BP48" s="58">
        <v>62.715000000000003</v>
      </c>
      <c r="BQ48" s="58">
        <v>41.868000000000002</v>
      </c>
      <c r="BR48" s="58">
        <v>20.847000000000001</v>
      </c>
      <c r="BS48" s="58">
        <v>184.48</v>
      </c>
      <c r="BT48" s="58">
        <v>81.721999999999994</v>
      </c>
      <c r="BU48" s="58">
        <v>102.758</v>
      </c>
      <c r="BV48" s="58">
        <v>1571.0119999999999</v>
      </c>
      <c r="BW48" s="58">
        <v>820.11800000000005</v>
      </c>
      <c r="BX48" s="58">
        <v>750.89400000000001</v>
      </c>
      <c r="BY48" s="58">
        <v>575.66999999999996</v>
      </c>
      <c r="BZ48" s="58">
        <v>431.858</v>
      </c>
      <c r="CA48" s="58">
        <v>143.81200000000001</v>
      </c>
      <c r="CB48" s="58">
        <v>995.34199999999998</v>
      </c>
      <c r="CC48" s="58">
        <v>388.26</v>
      </c>
      <c r="CD48" s="58">
        <v>607.08199999999999</v>
      </c>
      <c r="CE48" s="58">
        <v>677.29300000000001</v>
      </c>
      <c r="CF48" s="58">
        <v>502.04599999999999</v>
      </c>
      <c r="CG48" s="58">
        <v>175.24600000000001</v>
      </c>
      <c r="CH48" s="58">
        <v>1075.3340000000001</v>
      </c>
      <c r="CI48" s="58">
        <v>418.87599999999998</v>
      </c>
      <c r="CJ48" s="58">
        <v>656.45699999999999</v>
      </c>
      <c r="CK48" s="58">
        <v>1066.7529999999999</v>
      </c>
      <c r="CL48" s="58">
        <v>443.45299999999997</v>
      </c>
      <c r="CM48" s="58">
        <v>623.29999999999995</v>
      </c>
      <c r="CN48" s="58">
        <v>1834</v>
      </c>
      <c r="CO48" s="58">
        <v>930.59</v>
      </c>
      <c r="CP48" s="58">
        <v>903.40899999999999</v>
      </c>
      <c r="CQ48" s="58">
        <v>807.822</v>
      </c>
      <c r="CR48" s="58">
        <v>477.036</v>
      </c>
      <c r="CS48" s="58">
        <v>330.786</v>
      </c>
      <c r="CT48" s="58">
        <v>1026.1780000000001</v>
      </c>
      <c r="CU48" s="58">
        <v>453.55399999999997</v>
      </c>
      <c r="CV48" s="58">
        <v>572.62300000000005</v>
      </c>
      <c r="CW48" s="58">
        <v>480.38499999999999</v>
      </c>
      <c r="CX48" s="58">
        <v>242.34</v>
      </c>
      <c r="CY48" s="58">
        <v>238.04499999999999</v>
      </c>
      <c r="CZ48" s="58">
        <v>74.760999999999996</v>
      </c>
      <c r="DA48" s="58">
        <v>40.551000000000002</v>
      </c>
      <c r="DB48" s="58">
        <v>34.21</v>
      </c>
      <c r="DC48" s="58">
        <v>14.297000000000001</v>
      </c>
      <c r="DD48" s="58">
        <v>10.407</v>
      </c>
      <c r="DE48" s="58">
        <v>3.89</v>
      </c>
      <c r="DF48" s="58">
        <v>11.746</v>
      </c>
      <c r="DG48" s="58">
        <v>8.9049999999999994</v>
      </c>
      <c r="DH48" s="58">
        <v>2.8410000000000002</v>
      </c>
      <c r="DI48" s="58">
        <v>2.5510000000000002</v>
      </c>
      <c r="DJ48" s="58">
        <v>1.502</v>
      </c>
      <c r="DK48" s="58">
        <v>1.0489999999999999</v>
      </c>
      <c r="DL48" s="58">
        <v>60.463999999999999</v>
      </c>
      <c r="DM48" s="58">
        <v>30.143999999999998</v>
      </c>
      <c r="DN48" s="58">
        <v>30.32</v>
      </c>
      <c r="DO48" s="58">
        <v>442.19200000000001</v>
      </c>
      <c r="DP48" s="58">
        <v>221.148</v>
      </c>
      <c r="DQ48" s="58">
        <v>221.04400000000001</v>
      </c>
      <c r="DR48" s="58">
        <v>93.622</v>
      </c>
      <c r="DS48" s="58">
        <v>65.23</v>
      </c>
      <c r="DT48" s="58">
        <v>28.391999999999999</v>
      </c>
      <c r="DU48" s="58">
        <v>348.57</v>
      </c>
      <c r="DV48" s="58">
        <v>155.91800000000001</v>
      </c>
      <c r="DW48" s="58">
        <v>192.65199999999999</v>
      </c>
      <c r="DX48" s="58">
        <v>103.229</v>
      </c>
      <c r="DY48" s="58">
        <v>72.575000000000003</v>
      </c>
      <c r="DZ48" s="58">
        <v>30.654</v>
      </c>
      <c r="EA48" s="58">
        <v>377.15600000000001</v>
      </c>
      <c r="EB48" s="58">
        <v>169.76499999999999</v>
      </c>
      <c r="EC48" s="58">
        <v>207.39099999999999</v>
      </c>
      <c r="ED48" s="58">
        <v>360.31599999999997</v>
      </c>
      <c r="EE48" s="58">
        <v>164.82300000000001</v>
      </c>
      <c r="EF48" s="58">
        <v>195.49299999999999</v>
      </c>
      <c r="EG48" s="58">
        <v>627.95799999999997</v>
      </c>
      <c r="EH48" s="58">
        <v>297.45299999999997</v>
      </c>
      <c r="EI48" s="58">
        <v>330.505</v>
      </c>
      <c r="EJ48" s="58">
        <v>133.316</v>
      </c>
      <c r="EK48" s="58">
        <v>88.495000000000005</v>
      </c>
      <c r="EL48" s="58">
        <v>44.820999999999998</v>
      </c>
      <c r="EM48" s="58">
        <v>494.642</v>
      </c>
      <c r="EN48" s="58">
        <v>208.958</v>
      </c>
      <c r="EO48" s="58">
        <v>285.68400000000003</v>
      </c>
      <c r="EP48" s="58">
        <v>195.07900000000001</v>
      </c>
      <c r="EQ48" s="58">
        <v>91.174000000000007</v>
      </c>
      <c r="ER48" s="58">
        <v>103.905</v>
      </c>
      <c r="ES48" s="58">
        <v>31.08</v>
      </c>
      <c r="ET48" s="58">
        <v>16.280999999999999</v>
      </c>
      <c r="EU48" s="58">
        <v>14.798999999999999</v>
      </c>
      <c r="EV48" s="58">
        <v>2.0979999999999999</v>
      </c>
      <c r="EW48" s="58">
        <v>1.5209999999999999</v>
      </c>
      <c r="EX48" s="58">
        <v>0.57699999999999996</v>
      </c>
      <c r="EY48" s="58">
        <v>2.0979999999999999</v>
      </c>
      <c r="EZ48" s="58">
        <v>1.5209999999999999</v>
      </c>
      <c r="FA48" s="58">
        <v>0.57699999999999996</v>
      </c>
      <c r="FB48" s="58">
        <v>0</v>
      </c>
      <c r="FC48" s="58">
        <v>0</v>
      </c>
      <c r="FD48" s="58">
        <v>0</v>
      </c>
      <c r="FE48" s="58">
        <v>28.981999999999999</v>
      </c>
      <c r="FF48" s="58">
        <v>14.76</v>
      </c>
      <c r="FG48" s="58">
        <v>14.222</v>
      </c>
      <c r="FH48" s="58">
        <v>176.13</v>
      </c>
      <c r="FI48" s="58">
        <v>82.096000000000004</v>
      </c>
      <c r="FJ48" s="58">
        <v>94.034000000000006</v>
      </c>
      <c r="FK48" s="58">
        <v>16.625</v>
      </c>
      <c r="FL48" s="58">
        <v>12.532</v>
      </c>
      <c r="FM48" s="58">
        <v>4.0940000000000003</v>
      </c>
      <c r="FN48" s="58">
        <v>159.505</v>
      </c>
      <c r="FO48" s="58">
        <v>69.563999999999993</v>
      </c>
      <c r="FP48" s="58">
        <v>89.941000000000003</v>
      </c>
      <c r="FQ48" s="58">
        <v>18.146000000000001</v>
      </c>
      <c r="FR48" s="58">
        <v>14.053000000000001</v>
      </c>
      <c r="FS48" s="58">
        <v>4.0940000000000003</v>
      </c>
      <c r="FT48" s="58">
        <v>176.93299999999999</v>
      </c>
      <c r="FU48" s="58">
        <v>77.122</v>
      </c>
      <c r="FV48" s="58">
        <v>99.811000000000007</v>
      </c>
      <c r="FW48" s="58">
        <v>161.60300000000001</v>
      </c>
      <c r="FX48" s="58">
        <v>71.084999999999994</v>
      </c>
      <c r="FY48" s="58">
        <v>90.518000000000001</v>
      </c>
      <c r="FZ48" s="58">
        <v>1206.0409999999999</v>
      </c>
      <c r="GA48" s="58">
        <v>633.13699999999994</v>
      </c>
      <c r="GB48" s="58">
        <v>572.904</v>
      </c>
      <c r="GC48" s="58">
        <v>674.50599999999997</v>
      </c>
      <c r="GD48" s="58">
        <v>388.541</v>
      </c>
      <c r="GE48" s="58">
        <v>285.96499999999997</v>
      </c>
      <c r="GF48" s="58">
        <v>531.53499999999997</v>
      </c>
      <c r="GG48" s="58">
        <v>244.596</v>
      </c>
      <c r="GH48" s="58">
        <v>286.94</v>
      </c>
      <c r="GI48" s="58">
        <v>285.30599999999998</v>
      </c>
      <c r="GJ48" s="58">
        <v>151.166</v>
      </c>
      <c r="GK48" s="58">
        <v>134.13999999999999</v>
      </c>
      <c r="GL48" s="58">
        <v>43.680999999999997</v>
      </c>
      <c r="GM48" s="58">
        <v>24.27</v>
      </c>
      <c r="GN48" s="58">
        <v>19.411000000000001</v>
      </c>
      <c r="GO48" s="58">
        <v>12.199</v>
      </c>
      <c r="GP48" s="58">
        <v>8.8859999999999992</v>
      </c>
      <c r="GQ48" s="58">
        <v>3.3130000000000002</v>
      </c>
      <c r="GR48" s="58">
        <v>9.6479999999999997</v>
      </c>
      <c r="GS48" s="58">
        <v>7.3840000000000003</v>
      </c>
      <c r="GT48" s="58">
        <v>2.2639999999999998</v>
      </c>
      <c r="GU48" s="58">
        <v>2.5510000000000002</v>
      </c>
      <c r="GV48" s="58">
        <v>1.502</v>
      </c>
      <c r="GW48" s="58">
        <v>1.0489999999999999</v>
      </c>
      <c r="GX48" s="58">
        <v>31.481999999999999</v>
      </c>
      <c r="GY48" s="58">
        <v>15.384</v>
      </c>
      <c r="GZ48" s="58">
        <v>16.097999999999999</v>
      </c>
      <c r="HA48" s="58">
        <v>266.06200000000001</v>
      </c>
      <c r="HB48" s="58">
        <v>139.05199999999999</v>
      </c>
      <c r="HC48" s="58">
        <v>127.01</v>
      </c>
      <c r="HD48" s="58">
        <v>76.995999999999995</v>
      </c>
      <c r="HE48" s="58">
        <v>52.698</v>
      </c>
      <c r="HF48" s="58">
        <v>24.297999999999998</v>
      </c>
      <c r="HG48" s="58">
        <v>189.065</v>
      </c>
      <c r="HH48" s="58">
        <v>86.353999999999999</v>
      </c>
      <c r="HI48" s="58">
        <v>102.711</v>
      </c>
      <c r="HJ48" s="58">
        <v>85.082999999999998</v>
      </c>
      <c r="HK48" s="58">
        <v>58.521999999999998</v>
      </c>
      <c r="HL48" s="58">
        <v>26.56</v>
      </c>
      <c r="HM48" s="58">
        <v>200.22300000000001</v>
      </c>
      <c r="HN48" s="58">
        <v>92.643000000000001</v>
      </c>
      <c r="HO48" s="58">
        <v>107.58</v>
      </c>
      <c r="HP48" s="58">
        <v>198.71299999999999</v>
      </c>
      <c r="HQ48" s="58">
        <v>93.738</v>
      </c>
      <c r="HR48" s="58">
        <v>104.97499999999999</v>
      </c>
      <c r="HS48" s="58">
        <v>2898.2060000000001</v>
      </c>
      <c r="HT48" s="58">
        <v>1569.2270000000001</v>
      </c>
      <c r="HU48" s="58">
        <v>1328.979</v>
      </c>
      <c r="HV48" s="58">
        <v>2250.5169999999998</v>
      </c>
      <c r="HW48" s="58">
        <v>1374.586</v>
      </c>
      <c r="HX48" s="58">
        <v>875.93100000000004</v>
      </c>
      <c r="HY48" s="58">
        <v>647.68899999999996</v>
      </c>
      <c r="HZ48" s="58">
        <v>194.64099999999999</v>
      </c>
      <c r="IA48" s="58">
        <v>453.048</v>
      </c>
      <c r="IB48" s="58">
        <v>396.80599999999998</v>
      </c>
      <c r="IC48" s="58">
        <v>228.846</v>
      </c>
      <c r="ID48" s="58">
        <v>167.96</v>
      </c>
      <c r="IE48" s="58">
        <v>62.649000000000001</v>
      </c>
      <c r="IF48" s="58">
        <v>36.417000000000002</v>
      </c>
      <c r="IG48" s="58">
        <v>26.231999999999999</v>
      </c>
      <c r="IH48" s="58">
        <v>30.777000000000001</v>
      </c>
      <c r="II48" s="58">
        <v>21.841999999999999</v>
      </c>
      <c r="IJ48" s="58">
        <v>8.9350000000000005</v>
      </c>
      <c r="IK48" s="58">
        <v>16.026</v>
      </c>
      <c r="IL48" s="58">
        <v>12.166</v>
      </c>
      <c r="IM48" s="58">
        <v>3.8610000000000002</v>
      </c>
      <c r="IN48" s="58">
        <v>14.750999999999999</v>
      </c>
      <c r="IO48" s="58">
        <v>9.6760000000000002</v>
      </c>
      <c r="IP48" s="58">
        <v>5.0750000000000002</v>
      </c>
      <c r="IQ48" s="58">
        <v>31.872</v>
      </c>
    </row>
    <row r="49" spans="1:251">
      <c r="A49" s="5">
        <v>42979</v>
      </c>
      <c r="B49" s="58">
        <v>12333.609</v>
      </c>
      <c r="C49" s="58">
        <v>6552.8720000000003</v>
      </c>
      <c r="D49" s="58">
        <v>5780.7370000000001</v>
      </c>
      <c r="E49" s="58">
        <v>8400.1409999999996</v>
      </c>
      <c r="F49" s="58">
        <v>5341.4709999999995</v>
      </c>
      <c r="G49" s="58">
        <v>3058.67</v>
      </c>
      <c r="H49" s="58">
        <v>3933.4679999999998</v>
      </c>
      <c r="I49" s="58">
        <v>1211.4010000000001</v>
      </c>
      <c r="J49" s="58">
        <v>2722.0680000000002</v>
      </c>
      <c r="K49" s="58">
        <v>1729.1869999999999</v>
      </c>
      <c r="L49" s="58">
        <v>906.22199999999998</v>
      </c>
      <c r="M49" s="58">
        <v>822.96400000000006</v>
      </c>
      <c r="N49" s="58">
        <v>334.59899999999999</v>
      </c>
      <c r="O49" s="58">
        <v>189.928</v>
      </c>
      <c r="P49" s="58">
        <v>144.67099999999999</v>
      </c>
      <c r="Q49" s="58">
        <v>126.495</v>
      </c>
      <c r="R49" s="58">
        <v>101.137</v>
      </c>
      <c r="S49" s="58">
        <v>25.359000000000002</v>
      </c>
      <c r="T49" s="58">
        <v>67.375</v>
      </c>
      <c r="U49" s="58">
        <v>53.027000000000001</v>
      </c>
      <c r="V49" s="58">
        <v>14.348000000000001</v>
      </c>
      <c r="W49" s="58">
        <v>59.12</v>
      </c>
      <c r="X49" s="58">
        <v>48.11</v>
      </c>
      <c r="Y49" s="58">
        <v>11.01</v>
      </c>
      <c r="Z49" s="58">
        <v>208.10400000000001</v>
      </c>
      <c r="AA49" s="58">
        <v>88.790999999999997</v>
      </c>
      <c r="AB49" s="58">
        <v>119.312</v>
      </c>
      <c r="AC49" s="58">
        <v>1550.654</v>
      </c>
      <c r="AD49" s="58">
        <v>799.24800000000005</v>
      </c>
      <c r="AE49" s="58">
        <v>751.40599999999995</v>
      </c>
      <c r="AF49" s="58">
        <v>548.58299999999997</v>
      </c>
      <c r="AG49" s="58">
        <v>407.52800000000002</v>
      </c>
      <c r="AH49" s="58">
        <v>141.05500000000001</v>
      </c>
      <c r="AI49" s="58">
        <v>1002.07</v>
      </c>
      <c r="AJ49" s="58">
        <v>391.71899999999999</v>
      </c>
      <c r="AK49" s="58">
        <v>610.351</v>
      </c>
      <c r="AL49" s="58">
        <v>641.03300000000002</v>
      </c>
      <c r="AM49" s="58">
        <v>479.87200000000001</v>
      </c>
      <c r="AN49" s="58">
        <v>161.16200000000001</v>
      </c>
      <c r="AO49" s="58">
        <v>1088.154</v>
      </c>
      <c r="AP49" s="58">
        <v>426.351</v>
      </c>
      <c r="AQ49" s="58">
        <v>661.803</v>
      </c>
      <c r="AR49" s="58">
        <v>1069.4459999999999</v>
      </c>
      <c r="AS49" s="58">
        <v>444.74599999999998</v>
      </c>
      <c r="AT49" s="58">
        <v>624.69899999999996</v>
      </c>
      <c r="AU49" s="58">
        <v>11844.72</v>
      </c>
      <c r="AV49" s="58">
        <v>6254.5590000000002</v>
      </c>
      <c r="AW49" s="58">
        <v>5590.1610000000001</v>
      </c>
      <c r="AX49" s="58">
        <v>8173.0439999999999</v>
      </c>
      <c r="AY49" s="58">
        <v>5170.2039999999997</v>
      </c>
      <c r="AZ49" s="58">
        <v>3002.84</v>
      </c>
      <c r="BA49" s="58">
        <v>3671.6759999999999</v>
      </c>
      <c r="BB49" s="58">
        <v>1084.355</v>
      </c>
      <c r="BC49" s="58">
        <v>2587.3209999999999</v>
      </c>
      <c r="BD49" s="58">
        <v>1692.0119999999999</v>
      </c>
      <c r="BE49" s="58">
        <v>878.47199999999998</v>
      </c>
      <c r="BF49" s="58">
        <v>813.54</v>
      </c>
      <c r="BG49" s="58">
        <v>320.14</v>
      </c>
      <c r="BH49" s="58">
        <v>179.05</v>
      </c>
      <c r="BI49" s="58">
        <v>141.09</v>
      </c>
      <c r="BJ49" s="58">
        <v>123.548</v>
      </c>
      <c r="BK49" s="58">
        <v>98.578000000000003</v>
      </c>
      <c r="BL49" s="58">
        <v>24.971</v>
      </c>
      <c r="BM49" s="58">
        <v>66.197999999999993</v>
      </c>
      <c r="BN49" s="58">
        <v>52.238</v>
      </c>
      <c r="BO49" s="58">
        <v>13.96</v>
      </c>
      <c r="BP49" s="58">
        <v>57.350999999999999</v>
      </c>
      <c r="BQ49" s="58">
        <v>46.34</v>
      </c>
      <c r="BR49" s="58">
        <v>11.01</v>
      </c>
      <c r="BS49" s="58">
        <v>196.59200000000001</v>
      </c>
      <c r="BT49" s="58">
        <v>80.471999999999994</v>
      </c>
      <c r="BU49" s="58">
        <v>116.12</v>
      </c>
      <c r="BV49" s="58">
        <v>1524.83</v>
      </c>
      <c r="BW49" s="58">
        <v>780.67600000000004</v>
      </c>
      <c r="BX49" s="58">
        <v>744.154</v>
      </c>
      <c r="BY49" s="58">
        <v>542.47400000000005</v>
      </c>
      <c r="BZ49" s="58">
        <v>403.1</v>
      </c>
      <c r="CA49" s="58">
        <v>139.374</v>
      </c>
      <c r="CB49" s="58">
        <v>982.35599999999999</v>
      </c>
      <c r="CC49" s="58">
        <v>377.57600000000002</v>
      </c>
      <c r="CD49" s="58">
        <v>604.78</v>
      </c>
      <c r="CE49" s="58">
        <v>631.97699999999998</v>
      </c>
      <c r="CF49" s="58">
        <v>472.88400000000001</v>
      </c>
      <c r="CG49" s="58">
        <v>159.09299999999999</v>
      </c>
      <c r="CH49" s="58">
        <v>1060.0350000000001</v>
      </c>
      <c r="CI49" s="58">
        <v>405.58800000000002</v>
      </c>
      <c r="CJ49" s="58">
        <v>654.447</v>
      </c>
      <c r="CK49" s="58">
        <v>1048.5540000000001</v>
      </c>
      <c r="CL49" s="58">
        <v>429.81299999999999</v>
      </c>
      <c r="CM49" s="58">
        <v>618.74099999999999</v>
      </c>
      <c r="CN49" s="58">
        <v>1874.9870000000001</v>
      </c>
      <c r="CO49" s="58">
        <v>943.84400000000005</v>
      </c>
      <c r="CP49" s="58">
        <v>931.14300000000003</v>
      </c>
      <c r="CQ49" s="58">
        <v>810.66600000000005</v>
      </c>
      <c r="CR49" s="58">
        <v>486.41199999999998</v>
      </c>
      <c r="CS49" s="58">
        <v>324.25299999999999</v>
      </c>
      <c r="CT49" s="58">
        <v>1064.3209999999999</v>
      </c>
      <c r="CU49" s="58">
        <v>457.43200000000002</v>
      </c>
      <c r="CV49" s="58">
        <v>606.89</v>
      </c>
      <c r="CW49" s="58">
        <v>475.55200000000002</v>
      </c>
      <c r="CX49" s="58">
        <v>234.76400000000001</v>
      </c>
      <c r="CY49" s="58">
        <v>240.78800000000001</v>
      </c>
      <c r="CZ49" s="58">
        <v>81.88</v>
      </c>
      <c r="DA49" s="58">
        <v>41.774000000000001</v>
      </c>
      <c r="DB49" s="58">
        <v>40.106000000000002</v>
      </c>
      <c r="DC49" s="58">
        <v>12.707000000000001</v>
      </c>
      <c r="DD49" s="58">
        <v>11.375999999999999</v>
      </c>
      <c r="DE49" s="58">
        <v>1.33</v>
      </c>
      <c r="DF49" s="58">
        <v>9.5299999999999994</v>
      </c>
      <c r="DG49" s="58">
        <v>8.5289999999999999</v>
      </c>
      <c r="DH49" s="58">
        <v>1.0009999999999999</v>
      </c>
      <c r="DI49" s="58">
        <v>3.177</v>
      </c>
      <c r="DJ49" s="58">
        <v>2.847</v>
      </c>
      <c r="DK49" s="58">
        <v>0.33</v>
      </c>
      <c r="DL49" s="58">
        <v>69.174000000000007</v>
      </c>
      <c r="DM49" s="58">
        <v>30.398</v>
      </c>
      <c r="DN49" s="58">
        <v>38.776000000000003</v>
      </c>
      <c r="DO49" s="58">
        <v>441.58499999999998</v>
      </c>
      <c r="DP49" s="58">
        <v>215.24799999999999</v>
      </c>
      <c r="DQ49" s="58">
        <v>226.33600000000001</v>
      </c>
      <c r="DR49" s="58">
        <v>88.448999999999998</v>
      </c>
      <c r="DS49" s="58">
        <v>57.973999999999997</v>
      </c>
      <c r="DT49" s="58">
        <v>30.475999999999999</v>
      </c>
      <c r="DU49" s="58">
        <v>353.13499999999999</v>
      </c>
      <c r="DV49" s="58">
        <v>157.27500000000001</v>
      </c>
      <c r="DW49" s="58">
        <v>195.86099999999999</v>
      </c>
      <c r="DX49" s="58">
        <v>96.936000000000007</v>
      </c>
      <c r="DY49" s="58">
        <v>65.718000000000004</v>
      </c>
      <c r="DZ49" s="58">
        <v>31.218</v>
      </c>
      <c r="EA49" s="58">
        <v>378.61599999999999</v>
      </c>
      <c r="EB49" s="58">
        <v>169.04599999999999</v>
      </c>
      <c r="EC49" s="58">
        <v>209.57</v>
      </c>
      <c r="ED49" s="58">
        <v>362.66500000000002</v>
      </c>
      <c r="EE49" s="58">
        <v>165.804</v>
      </c>
      <c r="EF49" s="58">
        <v>196.86099999999999</v>
      </c>
      <c r="EG49" s="58">
        <v>651.49699999999996</v>
      </c>
      <c r="EH49" s="58">
        <v>305.608</v>
      </c>
      <c r="EI49" s="58">
        <v>345.88900000000001</v>
      </c>
      <c r="EJ49" s="58">
        <v>134.02500000000001</v>
      </c>
      <c r="EK49" s="58">
        <v>91.772999999999996</v>
      </c>
      <c r="EL49" s="58">
        <v>42.250999999999998</v>
      </c>
      <c r="EM49" s="58">
        <v>517.47299999999996</v>
      </c>
      <c r="EN49" s="58">
        <v>213.83500000000001</v>
      </c>
      <c r="EO49" s="58">
        <v>303.63799999999998</v>
      </c>
      <c r="EP49" s="58">
        <v>204.852</v>
      </c>
      <c r="EQ49" s="58">
        <v>90.807000000000002</v>
      </c>
      <c r="ER49" s="58">
        <v>114.045</v>
      </c>
      <c r="ES49" s="58">
        <v>39.920999999999999</v>
      </c>
      <c r="ET49" s="58">
        <v>20.323</v>
      </c>
      <c r="EU49" s="58">
        <v>19.597999999999999</v>
      </c>
      <c r="EV49" s="58">
        <v>2.778</v>
      </c>
      <c r="EW49" s="58">
        <v>2.1909999999999998</v>
      </c>
      <c r="EX49" s="58">
        <v>0.58799999999999997</v>
      </c>
      <c r="EY49" s="58">
        <v>2.2130000000000001</v>
      </c>
      <c r="EZ49" s="58">
        <v>1.625</v>
      </c>
      <c r="FA49" s="58">
        <v>0.58799999999999997</v>
      </c>
      <c r="FB49" s="58">
        <v>0.56499999999999995</v>
      </c>
      <c r="FC49" s="58">
        <v>0.56499999999999995</v>
      </c>
      <c r="FD49" s="58">
        <v>0</v>
      </c>
      <c r="FE49" s="58">
        <v>37.143000000000001</v>
      </c>
      <c r="FF49" s="58">
        <v>18.132000000000001</v>
      </c>
      <c r="FG49" s="58">
        <v>19.010999999999999</v>
      </c>
      <c r="FH49" s="58">
        <v>185.92099999999999</v>
      </c>
      <c r="FI49" s="58">
        <v>79.534999999999997</v>
      </c>
      <c r="FJ49" s="58">
        <v>106.386</v>
      </c>
      <c r="FK49" s="58">
        <v>16.312999999999999</v>
      </c>
      <c r="FL49" s="58">
        <v>8.8800000000000008</v>
      </c>
      <c r="FM49" s="58">
        <v>7.4320000000000004</v>
      </c>
      <c r="FN49" s="58">
        <v>169.608</v>
      </c>
      <c r="FO49" s="58">
        <v>70.655000000000001</v>
      </c>
      <c r="FP49" s="58">
        <v>98.953000000000003</v>
      </c>
      <c r="FQ49" s="58">
        <v>18.032</v>
      </c>
      <c r="FR49" s="58">
        <v>10.6</v>
      </c>
      <c r="FS49" s="58">
        <v>7.4320000000000004</v>
      </c>
      <c r="FT49" s="58">
        <v>186.82</v>
      </c>
      <c r="FU49" s="58">
        <v>80.206999999999994</v>
      </c>
      <c r="FV49" s="58">
        <v>106.613</v>
      </c>
      <c r="FW49" s="58">
        <v>171.821</v>
      </c>
      <c r="FX49" s="58">
        <v>72.281000000000006</v>
      </c>
      <c r="FY49" s="58">
        <v>99.540999999999997</v>
      </c>
      <c r="FZ49" s="58">
        <v>1223.489</v>
      </c>
      <c r="GA49" s="58">
        <v>638.23599999999999</v>
      </c>
      <c r="GB49" s="58">
        <v>585.25400000000002</v>
      </c>
      <c r="GC49" s="58">
        <v>676.64099999999996</v>
      </c>
      <c r="GD49" s="58">
        <v>394.63900000000001</v>
      </c>
      <c r="GE49" s="58">
        <v>282.00200000000001</v>
      </c>
      <c r="GF49" s="58">
        <v>546.84799999999996</v>
      </c>
      <c r="GG49" s="58">
        <v>243.596</v>
      </c>
      <c r="GH49" s="58">
        <v>303.25200000000001</v>
      </c>
      <c r="GI49" s="58">
        <v>270.7</v>
      </c>
      <c r="GJ49" s="58">
        <v>143.958</v>
      </c>
      <c r="GK49" s="58">
        <v>126.74299999999999</v>
      </c>
      <c r="GL49" s="58">
        <v>41.959000000000003</v>
      </c>
      <c r="GM49" s="58">
        <v>21.452000000000002</v>
      </c>
      <c r="GN49" s="58">
        <v>20.507999999999999</v>
      </c>
      <c r="GO49" s="58">
        <v>9.9280000000000008</v>
      </c>
      <c r="GP49" s="58">
        <v>9.1859999999999999</v>
      </c>
      <c r="GQ49" s="58">
        <v>0.74299999999999999</v>
      </c>
      <c r="GR49" s="58">
        <v>7.3170000000000002</v>
      </c>
      <c r="GS49" s="58">
        <v>6.9039999999999999</v>
      </c>
      <c r="GT49" s="58">
        <v>0.41299999999999998</v>
      </c>
      <c r="GU49" s="58">
        <v>2.6110000000000002</v>
      </c>
      <c r="GV49" s="58">
        <v>2.282</v>
      </c>
      <c r="GW49" s="58">
        <v>0.33</v>
      </c>
      <c r="GX49" s="58">
        <v>32.030999999999999</v>
      </c>
      <c r="GY49" s="58">
        <v>12.266</v>
      </c>
      <c r="GZ49" s="58">
        <v>19.765000000000001</v>
      </c>
      <c r="HA49" s="58">
        <v>255.66399999999999</v>
      </c>
      <c r="HB49" s="58">
        <v>135.71299999999999</v>
      </c>
      <c r="HC49" s="58">
        <v>119.95099999999999</v>
      </c>
      <c r="HD49" s="58">
        <v>72.137</v>
      </c>
      <c r="HE49" s="58">
        <v>49.094000000000001</v>
      </c>
      <c r="HF49" s="58">
        <v>23.042999999999999</v>
      </c>
      <c r="HG49" s="58">
        <v>183.52699999999999</v>
      </c>
      <c r="HH49" s="58">
        <v>86.619</v>
      </c>
      <c r="HI49" s="58">
        <v>96.908000000000001</v>
      </c>
      <c r="HJ49" s="58">
        <v>78.903999999999996</v>
      </c>
      <c r="HK49" s="58">
        <v>55.118000000000002</v>
      </c>
      <c r="HL49" s="58">
        <v>23.786000000000001</v>
      </c>
      <c r="HM49" s="58">
        <v>191.79599999999999</v>
      </c>
      <c r="HN49" s="58">
        <v>88.84</v>
      </c>
      <c r="HO49" s="58">
        <v>102.95699999999999</v>
      </c>
      <c r="HP49" s="58">
        <v>190.84399999999999</v>
      </c>
      <c r="HQ49" s="58">
        <v>93.522999999999996</v>
      </c>
      <c r="HR49" s="58">
        <v>97.320999999999998</v>
      </c>
      <c r="HS49" s="58">
        <v>2907.9</v>
      </c>
      <c r="HT49" s="58">
        <v>1580.402</v>
      </c>
      <c r="HU49" s="58">
        <v>1327.498</v>
      </c>
      <c r="HV49" s="58">
        <v>2238.174</v>
      </c>
      <c r="HW49" s="58">
        <v>1382.1210000000001</v>
      </c>
      <c r="HX49" s="58">
        <v>856.05399999999997</v>
      </c>
      <c r="HY49" s="58">
        <v>669.726</v>
      </c>
      <c r="HZ49" s="58">
        <v>198.28200000000001</v>
      </c>
      <c r="IA49" s="58">
        <v>471.44400000000002</v>
      </c>
      <c r="IB49" s="58">
        <v>373.024</v>
      </c>
      <c r="IC49" s="58">
        <v>215.953</v>
      </c>
      <c r="ID49" s="58">
        <v>157.07</v>
      </c>
      <c r="IE49" s="58">
        <v>60.74</v>
      </c>
      <c r="IF49" s="58">
        <v>38.792000000000002</v>
      </c>
      <c r="IG49" s="58">
        <v>21.948</v>
      </c>
      <c r="IH49" s="58">
        <v>32.017000000000003</v>
      </c>
      <c r="II49" s="58">
        <v>25.545000000000002</v>
      </c>
      <c r="IJ49" s="58">
        <v>6.4720000000000004</v>
      </c>
      <c r="IK49" s="58">
        <v>17.780999999999999</v>
      </c>
      <c r="IL49" s="58">
        <v>15.026999999999999</v>
      </c>
      <c r="IM49" s="58">
        <v>2.7549999999999999</v>
      </c>
      <c r="IN49" s="58">
        <v>14.236000000000001</v>
      </c>
      <c r="IO49" s="58">
        <v>10.519</v>
      </c>
      <c r="IP49" s="58">
        <v>3.7170000000000001</v>
      </c>
      <c r="IQ49" s="58">
        <v>28.722999999999999</v>
      </c>
    </row>
    <row r="50" spans="1:251">
      <c r="A50" s="5">
        <v>43009</v>
      </c>
      <c r="B50" s="58">
        <v>12350.704</v>
      </c>
      <c r="C50" s="58">
        <v>6563.9870000000001</v>
      </c>
      <c r="D50" s="58">
        <v>5786.7160000000003</v>
      </c>
      <c r="E50" s="58">
        <v>8428.0759999999991</v>
      </c>
      <c r="F50" s="58">
        <v>5347.5770000000002</v>
      </c>
      <c r="G50" s="58">
        <v>3080.498</v>
      </c>
      <c r="H50" s="58">
        <v>3922.6280000000002</v>
      </c>
      <c r="I50" s="58">
        <v>1216.4100000000001</v>
      </c>
      <c r="J50" s="58">
        <v>2706.2179999999998</v>
      </c>
      <c r="K50" s="58">
        <v>1727.818</v>
      </c>
      <c r="L50" s="58">
        <v>894.28899999999999</v>
      </c>
      <c r="M50" s="58">
        <v>833.529</v>
      </c>
      <c r="N50" s="58">
        <v>307.99200000000002</v>
      </c>
      <c r="O50" s="58">
        <v>171.12100000000001</v>
      </c>
      <c r="P50" s="58">
        <v>136.87100000000001</v>
      </c>
      <c r="Q50" s="58">
        <v>98.649000000000001</v>
      </c>
      <c r="R50" s="58">
        <v>78.331999999999994</v>
      </c>
      <c r="S50" s="58">
        <v>20.317</v>
      </c>
      <c r="T50" s="58">
        <v>51.256</v>
      </c>
      <c r="U50" s="58">
        <v>40.466000000000001</v>
      </c>
      <c r="V50" s="58">
        <v>10.79</v>
      </c>
      <c r="W50" s="58">
        <v>47.393999999999998</v>
      </c>
      <c r="X50" s="58">
        <v>37.866</v>
      </c>
      <c r="Y50" s="58">
        <v>9.5269999999999992</v>
      </c>
      <c r="Z50" s="58">
        <v>209.34299999999999</v>
      </c>
      <c r="AA50" s="58">
        <v>92.789000000000001</v>
      </c>
      <c r="AB50" s="58">
        <v>116.554</v>
      </c>
      <c r="AC50" s="58">
        <v>1563.1690000000001</v>
      </c>
      <c r="AD50" s="58">
        <v>805.33</v>
      </c>
      <c r="AE50" s="58">
        <v>757.83900000000006</v>
      </c>
      <c r="AF50" s="58">
        <v>557.46799999999996</v>
      </c>
      <c r="AG50" s="58">
        <v>410.65899999999999</v>
      </c>
      <c r="AH50" s="58">
        <v>146.809</v>
      </c>
      <c r="AI50" s="58">
        <v>1005.7</v>
      </c>
      <c r="AJ50" s="58">
        <v>394.67099999999999</v>
      </c>
      <c r="AK50" s="58">
        <v>611.03</v>
      </c>
      <c r="AL50" s="58">
        <v>630.66300000000001</v>
      </c>
      <c r="AM50" s="58">
        <v>466.06200000000001</v>
      </c>
      <c r="AN50" s="58">
        <v>164.601</v>
      </c>
      <c r="AO50" s="58">
        <v>1097.155</v>
      </c>
      <c r="AP50" s="58">
        <v>428.22699999999998</v>
      </c>
      <c r="AQ50" s="58">
        <v>668.928</v>
      </c>
      <c r="AR50" s="58">
        <v>1056.9559999999999</v>
      </c>
      <c r="AS50" s="58">
        <v>435.13600000000002</v>
      </c>
      <c r="AT50" s="58">
        <v>621.82000000000005</v>
      </c>
      <c r="AU50" s="58">
        <v>11852.755999999999</v>
      </c>
      <c r="AV50" s="58">
        <v>6259.5079999999998</v>
      </c>
      <c r="AW50" s="58">
        <v>5593.2479999999996</v>
      </c>
      <c r="AX50" s="58">
        <v>8195.607</v>
      </c>
      <c r="AY50" s="58">
        <v>5172.7039999999997</v>
      </c>
      <c r="AZ50" s="58">
        <v>3022.9029999999998</v>
      </c>
      <c r="BA50" s="58">
        <v>3657.1489999999999</v>
      </c>
      <c r="BB50" s="58">
        <v>1086.8040000000001</v>
      </c>
      <c r="BC50" s="58">
        <v>2570.3449999999998</v>
      </c>
      <c r="BD50" s="58">
        <v>1684.3589999999999</v>
      </c>
      <c r="BE50" s="58">
        <v>865.05100000000004</v>
      </c>
      <c r="BF50" s="58">
        <v>819.30799999999999</v>
      </c>
      <c r="BG50" s="58">
        <v>289.93700000000001</v>
      </c>
      <c r="BH50" s="58">
        <v>158.428</v>
      </c>
      <c r="BI50" s="58">
        <v>131.50899999999999</v>
      </c>
      <c r="BJ50" s="58">
        <v>94.277000000000001</v>
      </c>
      <c r="BK50" s="58">
        <v>74.378</v>
      </c>
      <c r="BL50" s="58">
        <v>19.899000000000001</v>
      </c>
      <c r="BM50" s="58">
        <v>49.457999999999998</v>
      </c>
      <c r="BN50" s="58">
        <v>39.085999999999999</v>
      </c>
      <c r="BO50" s="58">
        <v>10.372</v>
      </c>
      <c r="BP50" s="58">
        <v>44.819000000000003</v>
      </c>
      <c r="BQ50" s="58">
        <v>35.292000000000002</v>
      </c>
      <c r="BR50" s="58">
        <v>9.5269999999999992</v>
      </c>
      <c r="BS50" s="58">
        <v>195.66</v>
      </c>
      <c r="BT50" s="58">
        <v>84.05</v>
      </c>
      <c r="BU50" s="58">
        <v>111.61</v>
      </c>
      <c r="BV50" s="58">
        <v>1532.1420000000001</v>
      </c>
      <c r="BW50" s="58">
        <v>784.33299999999997</v>
      </c>
      <c r="BX50" s="58">
        <v>747.81</v>
      </c>
      <c r="BY50" s="58">
        <v>547.55600000000004</v>
      </c>
      <c r="BZ50" s="58">
        <v>401.87900000000002</v>
      </c>
      <c r="CA50" s="58">
        <v>145.67699999999999</v>
      </c>
      <c r="CB50" s="58">
        <v>984.58600000000001</v>
      </c>
      <c r="CC50" s="58">
        <v>382.45299999999997</v>
      </c>
      <c r="CD50" s="58">
        <v>602.13300000000004</v>
      </c>
      <c r="CE50" s="58">
        <v>617.73500000000001</v>
      </c>
      <c r="CF50" s="58">
        <v>454.685</v>
      </c>
      <c r="CG50" s="58">
        <v>163.05099999999999</v>
      </c>
      <c r="CH50" s="58">
        <v>1066.624</v>
      </c>
      <c r="CI50" s="58">
        <v>410.36599999999999</v>
      </c>
      <c r="CJ50" s="58">
        <v>656.25699999999995</v>
      </c>
      <c r="CK50" s="58">
        <v>1034.0440000000001</v>
      </c>
      <c r="CL50" s="58">
        <v>421.53899999999999</v>
      </c>
      <c r="CM50" s="58">
        <v>612.505</v>
      </c>
      <c r="CN50" s="58">
        <v>1857.2059999999999</v>
      </c>
      <c r="CO50" s="58">
        <v>933.46799999999996</v>
      </c>
      <c r="CP50" s="58">
        <v>923.73800000000006</v>
      </c>
      <c r="CQ50" s="58">
        <v>816.88599999999997</v>
      </c>
      <c r="CR50" s="58">
        <v>484.86399999999998</v>
      </c>
      <c r="CS50" s="58">
        <v>332.02199999999999</v>
      </c>
      <c r="CT50" s="58">
        <v>1040.32</v>
      </c>
      <c r="CU50" s="58">
        <v>448.60399999999998</v>
      </c>
      <c r="CV50" s="58">
        <v>591.71699999999998</v>
      </c>
      <c r="CW50" s="58">
        <v>469.322</v>
      </c>
      <c r="CX50" s="58">
        <v>238.374</v>
      </c>
      <c r="CY50" s="58">
        <v>230.94800000000001</v>
      </c>
      <c r="CZ50" s="58">
        <v>81.119</v>
      </c>
      <c r="DA50" s="58">
        <v>38.658999999999999</v>
      </c>
      <c r="DB50" s="58">
        <v>42.46</v>
      </c>
      <c r="DC50" s="58">
        <v>10.599</v>
      </c>
      <c r="DD50" s="58">
        <v>6.3559999999999999</v>
      </c>
      <c r="DE50" s="58">
        <v>4.242</v>
      </c>
      <c r="DF50" s="58">
        <v>6.2519999999999998</v>
      </c>
      <c r="DG50" s="58">
        <v>2.6669999999999998</v>
      </c>
      <c r="DH50" s="58">
        <v>3.585</v>
      </c>
      <c r="DI50" s="58">
        <v>4.3470000000000004</v>
      </c>
      <c r="DJ50" s="58">
        <v>3.6890000000000001</v>
      </c>
      <c r="DK50" s="58">
        <v>0.65800000000000003</v>
      </c>
      <c r="DL50" s="58">
        <v>70.52</v>
      </c>
      <c r="DM50" s="58">
        <v>32.302999999999997</v>
      </c>
      <c r="DN50" s="58">
        <v>38.216999999999999</v>
      </c>
      <c r="DO50" s="58">
        <v>437.96199999999999</v>
      </c>
      <c r="DP50" s="58">
        <v>224.23699999999999</v>
      </c>
      <c r="DQ50" s="58">
        <v>213.72399999999999</v>
      </c>
      <c r="DR50" s="58">
        <v>91.915999999999997</v>
      </c>
      <c r="DS50" s="58">
        <v>66.225999999999999</v>
      </c>
      <c r="DT50" s="58">
        <v>25.69</v>
      </c>
      <c r="DU50" s="58">
        <v>346.04599999999999</v>
      </c>
      <c r="DV50" s="58">
        <v>158.012</v>
      </c>
      <c r="DW50" s="58">
        <v>188.03399999999999</v>
      </c>
      <c r="DX50" s="58">
        <v>98.096000000000004</v>
      </c>
      <c r="DY50" s="58">
        <v>69.274000000000001</v>
      </c>
      <c r="DZ50" s="58">
        <v>28.821999999999999</v>
      </c>
      <c r="EA50" s="58">
        <v>371.226</v>
      </c>
      <c r="EB50" s="58">
        <v>169.1</v>
      </c>
      <c r="EC50" s="58">
        <v>202.126</v>
      </c>
      <c r="ED50" s="58">
        <v>352.29700000000003</v>
      </c>
      <c r="EE50" s="58">
        <v>160.678</v>
      </c>
      <c r="EF50" s="58">
        <v>191.619</v>
      </c>
      <c r="EG50" s="58">
        <v>641.63199999999995</v>
      </c>
      <c r="EH50" s="58">
        <v>302.62799999999999</v>
      </c>
      <c r="EI50" s="58">
        <v>339.00400000000002</v>
      </c>
      <c r="EJ50" s="58">
        <v>142.92099999999999</v>
      </c>
      <c r="EK50" s="58">
        <v>97.885000000000005</v>
      </c>
      <c r="EL50" s="58">
        <v>45.036000000000001</v>
      </c>
      <c r="EM50" s="58">
        <v>498.71199999999999</v>
      </c>
      <c r="EN50" s="58">
        <v>204.74299999999999</v>
      </c>
      <c r="EO50" s="58">
        <v>293.96800000000002</v>
      </c>
      <c r="EP50" s="58">
        <v>193.72900000000001</v>
      </c>
      <c r="EQ50" s="58">
        <v>86.933999999999997</v>
      </c>
      <c r="ER50" s="58">
        <v>106.795</v>
      </c>
      <c r="ES50" s="58">
        <v>35.33</v>
      </c>
      <c r="ET50" s="58">
        <v>14.416</v>
      </c>
      <c r="EU50" s="58">
        <v>20.913</v>
      </c>
      <c r="EV50" s="58">
        <v>1.304</v>
      </c>
      <c r="EW50" s="58">
        <v>0.81</v>
      </c>
      <c r="EX50" s="58">
        <v>0.49399999999999999</v>
      </c>
      <c r="EY50" s="58">
        <v>1.304</v>
      </c>
      <c r="EZ50" s="58">
        <v>0.81</v>
      </c>
      <c r="FA50" s="58">
        <v>0.49399999999999999</v>
      </c>
      <c r="FB50" s="58">
        <v>0</v>
      </c>
      <c r="FC50" s="58">
        <v>0</v>
      </c>
      <c r="FD50" s="58">
        <v>0</v>
      </c>
      <c r="FE50" s="58">
        <v>34.026000000000003</v>
      </c>
      <c r="FF50" s="58">
        <v>13.606</v>
      </c>
      <c r="FG50" s="58">
        <v>20.419</v>
      </c>
      <c r="FH50" s="58">
        <v>181.77799999999999</v>
      </c>
      <c r="FI50" s="58">
        <v>82.814999999999998</v>
      </c>
      <c r="FJ50" s="58">
        <v>98.962000000000003</v>
      </c>
      <c r="FK50" s="58">
        <v>17.923999999999999</v>
      </c>
      <c r="FL50" s="58">
        <v>13.362</v>
      </c>
      <c r="FM50" s="58">
        <v>4.5620000000000003</v>
      </c>
      <c r="FN50" s="58">
        <v>163.85400000000001</v>
      </c>
      <c r="FO50" s="58">
        <v>69.453999999999994</v>
      </c>
      <c r="FP50" s="58">
        <v>94.4</v>
      </c>
      <c r="FQ50" s="58">
        <v>18.606000000000002</v>
      </c>
      <c r="FR50" s="58">
        <v>13.548999999999999</v>
      </c>
      <c r="FS50" s="58">
        <v>5.056</v>
      </c>
      <c r="FT50" s="58">
        <v>175.12299999999999</v>
      </c>
      <c r="FU50" s="58">
        <v>73.384</v>
      </c>
      <c r="FV50" s="58">
        <v>101.739</v>
      </c>
      <c r="FW50" s="58">
        <v>165.15799999999999</v>
      </c>
      <c r="FX50" s="58">
        <v>70.263999999999996</v>
      </c>
      <c r="FY50" s="58">
        <v>94.894000000000005</v>
      </c>
      <c r="FZ50" s="58">
        <v>1215.5740000000001</v>
      </c>
      <c r="GA50" s="58">
        <v>630.84</v>
      </c>
      <c r="GB50" s="58">
        <v>584.73400000000004</v>
      </c>
      <c r="GC50" s="58">
        <v>673.96500000000003</v>
      </c>
      <c r="GD50" s="58">
        <v>386.97899999999998</v>
      </c>
      <c r="GE50" s="58">
        <v>286.98599999999999</v>
      </c>
      <c r="GF50" s="58">
        <v>541.60900000000004</v>
      </c>
      <c r="GG50" s="58">
        <v>243.86</v>
      </c>
      <c r="GH50" s="58">
        <v>297.74799999999999</v>
      </c>
      <c r="GI50" s="58">
        <v>275.59300000000002</v>
      </c>
      <c r="GJ50" s="58">
        <v>151.44</v>
      </c>
      <c r="GK50" s="58">
        <v>124.15300000000001</v>
      </c>
      <c r="GL50" s="58">
        <v>45.789000000000001</v>
      </c>
      <c r="GM50" s="58">
        <v>24.242999999999999</v>
      </c>
      <c r="GN50" s="58">
        <v>21.545999999999999</v>
      </c>
      <c r="GO50" s="58">
        <v>9.2940000000000005</v>
      </c>
      <c r="GP50" s="58">
        <v>5.5460000000000003</v>
      </c>
      <c r="GQ50" s="58">
        <v>3.7480000000000002</v>
      </c>
      <c r="GR50" s="58">
        <v>4.9470000000000001</v>
      </c>
      <c r="GS50" s="58">
        <v>1.857</v>
      </c>
      <c r="GT50" s="58">
        <v>3.0910000000000002</v>
      </c>
      <c r="GU50" s="58">
        <v>4.3470000000000004</v>
      </c>
      <c r="GV50" s="58">
        <v>3.6890000000000001</v>
      </c>
      <c r="GW50" s="58">
        <v>0.65800000000000003</v>
      </c>
      <c r="GX50" s="58">
        <v>36.494999999999997</v>
      </c>
      <c r="GY50" s="58">
        <v>18.696999999999999</v>
      </c>
      <c r="GZ50" s="58">
        <v>17.797999999999998</v>
      </c>
      <c r="HA50" s="58">
        <v>256.18400000000003</v>
      </c>
      <c r="HB50" s="58">
        <v>141.422</v>
      </c>
      <c r="HC50" s="58">
        <v>114.762</v>
      </c>
      <c r="HD50" s="58">
        <v>73.992000000000004</v>
      </c>
      <c r="HE50" s="58">
        <v>52.863999999999997</v>
      </c>
      <c r="HF50" s="58">
        <v>21.128</v>
      </c>
      <c r="HG50" s="58">
        <v>182.19200000000001</v>
      </c>
      <c r="HH50" s="58">
        <v>88.558000000000007</v>
      </c>
      <c r="HI50" s="58">
        <v>93.634</v>
      </c>
      <c r="HJ50" s="58">
        <v>79.489999999999995</v>
      </c>
      <c r="HK50" s="58">
        <v>55.723999999999997</v>
      </c>
      <c r="HL50" s="58">
        <v>23.765999999999998</v>
      </c>
      <c r="HM50" s="58">
        <v>196.10300000000001</v>
      </c>
      <c r="HN50" s="58">
        <v>95.715999999999994</v>
      </c>
      <c r="HO50" s="58">
        <v>100.387</v>
      </c>
      <c r="HP50" s="58">
        <v>187.13900000000001</v>
      </c>
      <c r="HQ50" s="58">
        <v>90.415000000000006</v>
      </c>
      <c r="HR50" s="58">
        <v>96.724999999999994</v>
      </c>
      <c r="HS50" s="58">
        <v>2923.252</v>
      </c>
      <c r="HT50" s="58">
        <v>1585.279</v>
      </c>
      <c r="HU50" s="58">
        <v>1337.973</v>
      </c>
      <c r="HV50" s="58">
        <v>2244.1759999999999</v>
      </c>
      <c r="HW50" s="58">
        <v>1370.6869999999999</v>
      </c>
      <c r="HX50" s="58">
        <v>873.49</v>
      </c>
      <c r="HY50" s="58">
        <v>679.07600000000002</v>
      </c>
      <c r="HZ50" s="58">
        <v>214.59299999999999</v>
      </c>
      <c r="IA50" s="58">
        <v>464.483</v>
      </c>
      <c r="IB50" s="58">
        <v>385.38499999999999</v>
      </c>
      <c r="IC50" s="58">
        <v>234.36600000000001</v>
      </c>
      <c r="ID50" s="58">
        <v>151.01900000000001</v>
      </c>
      <c r="IE50" s="58">
        <v>51.42</v>
      </c>
      <c r="IF50" s="58">
        <v>35.741</v>
      </c>
      <c r="IG50" s="58">
        <v>15.679</v>
      </c>
      <c r="IH50" s="58">
        <v>22.745000000000001</v>
      </c>
      <c r="II50" s="58">
        <v>19.664000000000001</v>
      </c>
      <c r="IJ50" s="58">
        <v>3.081</v>
      </c>
      <c r="IK50" s="58">
        <v>11.099</v>
      </c>
      <c r="IL50" s="58">
        <v>9.0510000000000002</v>
      </c>
      <c r="IM50" s="58">
        <v>2.0489999999999999</v>
      </c>
      <c r="IN50" s="58">
        <v>11.646000000000001</v>
      </c>
      <c r="IO50" s="58">
        <v>10.614000000000001</v>
      </c>
      <c r="IP50" s="58">
        <v>1.0329999999999999</v>
      </c>
      <c r="IQ50" s="58">
        <v>28.675000000000001</v>
      </c>
    </row>
    <row r="51" spans="1:251">
      <c r="A51" s="5">
        <v>43040</v>
      </c>
      <c r="B51" s="58">
        <v>12453.630999999999</v>
      </c>
      <c r="C51" s="58">
        <v>6609.1120000000001</v>
      </c>
      <c r="D51" s="58">
        <v>5844.5190000000002</v>
      </c>
      <c r="E51" s="58">
        <v>8543.5110000000004</v>
      </c>
      <c r="F51" s="58">
        <v>5400.5469999999996</v>
      </c>
      <c r="G51" s="58">
        <v>3142.9650000000001</v>
      </c>
      <c r="H51" s="58">
        <v>3910.12</v>
      </c>
      <c r="I51" s="58">
        <v>1208.5650000000001</v>
      </c>
      <c r="J51" s="58">
        <v>2701.5549999999998</v>
      </c>
      <c r="K51" s="58">
        <v>1819.0730000000001</v>
      </c>
      <c r="L51" s="58">
        <v>950.92499999999995</v>
      </c>
      <c r="M51" s="58">
        <v>868.14800000000002</v>
      </c>
      <c r="N51" s="58">
        <v>306.22000000000003</v>
      </c>
      <c r="O51" s="58">
        <v>170.77500000000001</v>
      </c>
      <c r="P51" s="58">
        <v>135.446</v>
      </c>
      <c r="Q51" s="58">
        <v>111.187</v>
      </c>
      <c r="R51" s="58">
        <v>88.305999999999997</v>
      </c>
      <c r="S51" s="58">
        <v>22.881</v>
      </c>
      <c r="T51" s="58">
        <v>54.149000000000001</v>
      </c>
      <c r="U51" s="58">
        <v>41.320999999999998</v>
      </c>
      <c r="V51" s="58">
        <v>12.827999999999999</v>
      </c>
      <c r="W51" s="58">
        <v>57.037999999999997</v>
      </c>
      <c r="X51" s="58">
        <v>46.984999999999999</v>
      </c>
      <c r="Y51" s="58">
        <v>10.054</v>
      </c>
      <c r="Z51" s="58">
        <v>195.03299999999999</v>
      </c>
      <c r="AA51" s="58">
        <v>82.468999999999994</v>
      </c>
      <c r="AB51" s="58">
        <v>112.56399999999999</v>
      </c>
      <c r="AC51" s="58">
        <v>1653.67</v>
      </c>
      <c r="AD51" s="58">
        <v>853.64200000000005</v>
      </c>
      <c r="AE51" s="58">
        <v>800.02800000000002</v>
      </c>
      <c r="AF51" s="58">
        <v>586.42999999999995</v>
      </c>
      <c r="AG51" s="58">
        <v>426.59800000000001</v>
      </c>
      <c r="AH51" s="58">
        <v>159.83199999999999</v>
      </c>
      <c r="AI51" s="58">
        <v>1067.24</v>
      </c>
      <c r="AJ51" s="58">
        <v>427.04399999999998</v>
      </c>
      <c r="AK51" s="58">
        <v>640.197</v>
      </c>
      <c r="AL51" s="58">
        <v>668.94100000000003</v>
      </c>
      <c r="AM51" s="58">
        <v>494.42200000000003</v>
      </c>
      <c r="AN51" s="58">
        <v>174.51900000000001</v>
      </c>
      <c r="AO51" s="58">
        <v>1150.133</v>
      </c>
      <c r="AP51" s="58">
        <v>456.50299999999999</v>
      </c>
      <c r="AQ51" s="58">
        <v>693.62900000000002</v>
      </c>
      <c r="AR51" s="58">
        <v>1121.3889999999999</v>
      </c>
      <c r="AS51" s="58">
        <v>468.36500000000001</v>
      </c>
      <c r="AT51" s="58">
        <v>653.024</v>
      </c>
      <c r="AU51" s="58">
        <v>11946.424000000001</v>
      </c>
      <c r="AV51" s="58">
        <v>6301.4059999999999</v>
      </c>
      <c r="AW51" s="58">
        <v>5645.018</v>
      </c>
      <c r="AX51" s="58">
        <v>8314.241</v>
      </c>
      <c r="AY51" s="58">
        <v>5228.5590000000002</v>
      </c>
      <c r="AZ51" s="58">
        <v>3085.6819999999998</v>
      </c>
      <c r="BA51" s="58">
        <v>3632.1840000000002</v>
      </c>
      <c r="BB51" s="58">
        <v>1072.847</v>
      </c>
      <c r="BC51" s="58">
        <v>2559.3359999999998</v>
      </c>
      <c r="BD51" s="58">
        <v>1784.413</v>
      </c>
      <c r="BE51" s="58">
        <v>927.47699999999998</v>
      </c>
      <c r="BF51" s="58">
        <v>856.93600000000004</v>
      </c>
      <c r="BG51" s="58">
        <v>290.29000000000002</v>
      </c>
      <c r="BH51" s="58">
        <v>160.571</v>
      </c>
      <c r="BI51" s="58">
        <v>129.71899999999999</v>
      </c>
      <c r="BJ51" s="58">
        <v>109.194</v>
      </c>
      <c r="BK51" s="58">
        <v>86.49</v>
      </c>
      <c r="BL51" s="58">
        <v>22.704000000000001</v>
      </c>
      <c r="BM51" s="58">
        <v>52.847999999999999</v>
      </c>
      <c r="BN51" s="58">
        <v>40.020000000000003</v>
      </c>
      <c r="BO51" s="58">
        <v>12.827999999999999</v>
      </c>
      <c r="BP51" s="58">
        <v>56.345999999999997</v>
      </c>
      <c r="BQ51" s="58">
        <v>46.47</v>
      </c>
      <c r="BR51" s="58">
        <v>9.8759999999999994</v>
      </c>
      <c r="BS51" s="58">
        <v>181.096</v>
      </c>
      <c r="BT51" s="58">
        <v>74.081000000000003</v>
      </c>
      <c r="BU51" s="58">
        <v>107.015</v>
      </c>
      <c r="BV51" s="58">
        <v>1631.6790000000001</v>
      </c>
      <c r="BW51" s="58">
        <v>838.66499999999996</v>
      </c>
      <c r="BX51" s="58">
        <v>793.01400000000001</v>
      </c>
      <c r="BY51" s="58">
        <v>580.77099999999996</v>
      </c>
      <c r="BZ51" s="58">
        <v>422.12099999999998</v>
      </c>
      <c r="CA51" s="58">
        <v>158.65</v>
      </c>
      <c r="CB51" s="58">
        <v>1050.9079999999999</v>
      </c>
      <c r="CC51" s="58">
        <v>416.54399999999998</v>
      </c>
      <c r="CD51" s="58">
        <v>634.36400000000003</v>
      </c>
      <c r="CE51" s="58">
        <v>661.28899999999999</v>
      </c>
      <c r="CF51" s="58">
        <v>488.12900000000002</v>
      </c>
      <c r="CG51" s="58">
        <v>173.16</v>
      </c>
      <c r="CH51" s="58">
        <v>1123.125</v>
      </c>
      <c r="CI51" s="58">
        <v>439.34800000000001</v>
      </c>
      <c r="CJ51" s="58">
        <v>683.77599999999995</v>
      </c>
      <c r="CK51" s="58">
        <v>1103.7550000000001</v>
      </c>
      <c r="CL51" s="58">
        <v>456.56400000000002</v>
      </c>
      <c r="CM51" s="58">
        <v>647.19200000000001</v>
      </c>
      <c r="CN51" s="58">
        <v>1877.5119999999999</v>
      </c>
      <c r="CO51" s="58">
        <v>949.46600000000001</v>
      </c>
      <c r="CP51" s="58">
        <v>928.04600000000005</v>
      </c>
      <c r="CQ51" s="58">
        <v>834.86400000000003</v>
      </c>
      <c r="CR51" s="58">
        <v>498.55599999999998</v>
      </c>
      <c r="CS51" s="58">
        <v>336.30799999999999</v>
      </c>
      <c r="CT51" s="58">
        <v>1042.6479999999999</v>
      </c>
      <c r="CU51" s="58">
        <v>450.91</v>
      </c>
      <c r="CV51" s="58">
        <v>591.73800000000006</v>
      </c>
      <c r="CW51" s="58">
        <v>539.202</v>
      </c>
      <c r="CX51" s="58">
        <v>269.35700000000003</v>
      </c>
      <c r="CY51" s="58">
        <v>269.84500000000003</v>
      </c>
      <c r="CZ51" s="58">
        <v>71.388000000000005</v>
      </c>
      <c r="DA51" s="58">
        <v>35.023000000000003</v>
      </c>
      <c r="DB51" s="58">
        <v>36.365000000000002</v>
      </c>
      <c r="DC51" s="58">
        <v>10.016999999999999</v>
      </c>
      <c r="DD51" s="58">
        <v>6.7320000000000002</v>
      </c>
      <c r="DE51" s="58">
        <v>3.2839999999999998</v>
      </c>
      <c r="DF51" s="58">
        <v>5.6429999999999998</v>
      </c>
      <c r="DG51" s="58">
        <v>4.2359999999999998</v>
      </c>
      <c r="DH51" s="58">
        <v>1.407</v>
      </c>
      <c r="DI51" s="58">
        <v>4.3730000000000002</v>
      </c>
      <c r="DJ51" s="58">
        <v>2.496</v>
      </c>
      <c r="DK51" s="58">
        <v>1.877</v>
      </c>
      <c r="DL51" s="58">
        <v>61.372</v>
      </c>
      <c r="DM51" s="58">
        <v>28.291</v>
      </c>
      <c r="DN51" s="58">
        <v>33.081000000000003</v>
      </c>
      <c r="DO51" s="58">
        <v>512.47400000000005</v>
      </c>
      <c r="DP51" s="58">
        <v>258.06299999999999</v>
      </c>
      <c r="DQ51" s="58">
        <v>254.41200000000001</v>
      </c>
      <c r="DR51" s="58">
        <v>107.97</v>
      </c>
      <c r="DS51" s="58">
        <v>71.849000000000004</v>
      </c>
      <c r="DT51" s="58">
        <v>36.121000000000002</v>
      </c>
      <c r="DU51" s="58">
        <v>404.50400000000002</v>
      </c>
      <c r="DV51" s="58">
        <v>186.21299999999999</v>
      </c>
      <c r="DW51" s="58">
        <v>218.291</v>
      </c>
      <c r="DX51" s="58">
        <v>113.346</v>
      </c>
      <c r="DY51" s="58">
        <v>75.462000000000003</v>
      </c>
      <c r="DZ51" s="58">
        <v>37.884999999999998</v>
      </c>
      <c r="EA51" s="58">
        <v>425.85599999999999</v>
      </c>
      <c r="EB51" s="58">
        <v>193.89500000000001</v>
      </c>
      <c r="EC51" s="58">
        <v>231.96</v>
      </c>
      <c r="ED51" s="58">
        <v>410.14699999999999</v>
      </c>
      <c r="EE51" s="58">
        <v>190.45</v>
      </c>
      <c r="EF51" s="58">
        <v>219.69800000000001</v>
      </c>
      <c r="EG51" s="58">
        <v>643.23500000000001</v>
      </c>
      <c r="EH51" s="58">
        <v>310.89299999999997</v>
      </c>
      <c r="EI51" s="58">
        <v>332.34300000000002</v>
      </c>
      <c r="EJ51" s="58">
        <v>144.31299999999999</v>
      </c>
      <c r="EK51" s="58">
        <v>99.087000000000003</v>
      </c>
      <c r="EL51" s="58">
        <v>45.225999999999999</v>
      </c>
      <c r="EM51" s="58">
        <v>498.92200000000003</v>
      </c>
      <c r="EN51" s="58">
        <v>211.80500000000001</v>
      </c>
      <c r="EO51" s="58">
        <v>287.11700000000002</v>
      </c>
      <c r="EP51" s="58">
        <v>230.82400000000001</v>
      </c>
      <c r="EQ51" s="58">
        <v>106.07</v>
      </c>
      <c r="ER51" s="58">
        <v>124.754</v>
      </c>
      <c r="ES51" s="58">
        <v>36.204000000000001</v>
      </c>
      <c r="ET51" s="58">
        <v>14.853999999999999</v>
      </c>
      <c r="EU51" s="58">
        <v>21.35</v>
      </c>
      <c r="EV51" s="58">
        <v>2.0880000000000001</v>
      </c>
      <c r="EW51" s="58">
        <v>1.208</v>
      </c>
      <c r="EX51" s="58">
        <v>0.88</v>
      </c>
      <c r="EY51" s="58">
        <v>1.2929999999999999</v>
      </c>
      <c r="EZ51" s="58">
        <v>1.0209999999999999</v>
      </c>
      <c r="FA51" s="58">
        <v>0.27200000000000002</v>
      </c>
      <c r="FB51" s="58">
        <v>0.79500000000000004</v>
      </c>
      <c r="FC51" s="58">
        <v>0.187</v>
      </c>
      <c r="FD51" s="58">
        <v>0.60799999999999998</v>
      </c>
      <c r="FE51" s="58">
        <v>34.116</v>
      </c>
      <c r="FF51" s="58">
        <v>13.646000000000001</v>
      </c>
      <c r="FG51" s="58">
        <v>20.47</v>
      </c>
      <c r="FH51" s="58">
        <v>216.55799999999999</v>
      </c>
      <c r="FI51" s="58">
        <v>101.29600000000001</v>
      </c>
      <c r="FJ51" s="58">
        <v>115.262</v>
      </c>
      <c r="FK51" s="58">
        <v>20.402000000000001</v>
      </c>
      <c r="FL51" s="58">
        <v>11.852</v>
      </c>
      <c r="FM51" s="58">
        <v>8.5500000000000007</v>
      </c>
      <c r="FN51" s="58">
        <v>196.15600000000001</v>
      </c>
      <c r="FO51" s="58">
        <v>89.444000000000003</v>
      </c>
      <c r="FP51" s="58">
        <v>106.712</v>
      </c>
      <c r="FQ51" s="58">
        <v>20.588999999999999</v>
      </c>
      <c r="FR51" s="58">
        <v>12.039</v>
      </c>
      <c r="FS51" s="58">
        <v>8.5500000000000007</v>
      </c>
      <c r="FT51" s="58">
        <v>210.23500000000001</v>
      </c>
      <c r="FU51" s="58">
        <v>94.031000000000006</v>
      </c>
      <c r="FV51" s="58">
        <v>116.203</v>
      </c>
      <c r="FW51" s="58">
        <v>197.44900000000001</v>
      </c>
      <c r="FX51" s="58">
        <v>90.465000000000003</v>
      </c>
      <c r="FY51" s="58">
        <v>106.98399999999999</v>
      </c>
      <c r="FZ51" s="58">
        <v>1234.277</v>
      </c>
      <c r="GA51" s="58">
        <v>638.57299999999998</v>
      </c>
      <c r="GB51" s="58">
        <v>595.70399999999995</v>
      </c>
      <c r="GC51" s="58">
        <v>690.55100000000004</v>
      </c>
      <c r="GD51" s="58">
        <v>399.46800000000002</v>
      </c>
      <c r="GE51" s="58">
        <v>291.08300000000003</v>
      </c>
      <c r="GF51" s="58">
        <v>543.726</v>
      </c>
      <c r="GG51" s="58">
        <v>239.10499999999999</v>
      </c>
      <c r="GH51" s="58">
        <v>304.62099999999998</v>
      </c>
      <c r="GI51" s="58">
        <v>308.37799999999999</v>
      </c>
      <c r="GJ51" s="58">
        <v>163.28700000000001</v>
      </c>
      <c r="GK51" s="58">
        <v>145.09200000000001</v>
      </c>
      <c r="GL51" s="58">
        <v>35.183999999999997</v>
      </c>
      <c r="GM51" s="58">
        <v>20.169</v>
      </c>
      <c r="GN51" s="58">
        <v>15.015000000000001</v>
      </c>
      <c r="GO51" s="58">
        <v>7.9279999999999999</v>
      </c>
      <c r="GP51" s="58">
        <v>5.524</v>
      </c>
      <c r="GQ51" s="58">
        <v>2.4039999999999999</v>
      </c>
      <c r="GR51" s="58">
        <v>4.351</v>
      </c>
      <c r="GS51" s="58">
        <v>3.2149999999999999</v>
      </c>
      <c r="GT51" s="58">
        <v>1.135</v>
      </c>
      <c r="GU51" s="58">
        <v>3.5779999999999998</v>
      </c>
      <c r="GV51" s="58">
        <v>2.3090000000000002</v>
      </c>
      <c r="GW51" s="58">
        <v>1.2689999999999999</v>
      </c>
      <c r="GX51" s="58">
        <v>27.256</v>
      </c>
      <c r="GY51" s="58">
        <v>14.645</v>
      </c>
      <c r="GZ51" s="58">
        <v>12.611000000000001</v>
      </c>
      <c r="HA51" s="58">
        <v>295.916</v>
      </c>
      <c r="HB51" s="58">
        <v>156.767</v>
      </c>
      <c r="HC51" s="58">
        <v>139.149</v>
      </c>
      <c r="HD51" s="58">
        <v>87.567999999999998</v>
      </c>
      <c r="HE51" s="58">
        <v>59.997</v>
      </c>
      <c r="HF51" s="58">
        <v>27.571000000000002</v>
      </c>
      <c r="HG51" s="58">
        <v>208.34800000000001</v>
      </c>
      <c r="HH51" s="58">
        <v>96.77</v>
      </c>
      <c r="HI51" s="58">
        <v>111.57899999999999</v>
      </c>
      <c r="HJ51" s="58">
        <v>92.757000000000005</v>
      </c>
      <c r="HK51" s="58">
        <v>63.423000000000002</v>
      </c>
      <c r="HL51" s="58">
        <v>29.334</v>
      </c>
      <c r="HM51" s="58">
        <v>215.62100000000001</v>
      </c>
      <c r="HN51" s="58">
        <v>99.864000000000004</v>
      </c>
      <c r="HO51" s="58">
        <v>115.75700000000001</v>
      </c>
      <c r="HP51" s="58">
        <v>212.69900000000001</v>
      </c>
      <c r="HQ51" s="58">
        <v>99.984999999999999</v>
      </c>
      <c r="HR51" s="58">
        <v>112.714</v>
      </c>
      <c r="HS51" s="58">
        <v>2947.1930000000002</v>
      </c>
      <c r="HT51" s="58">
        <v>1587.7650000000001</v>
      </c>
      <c r="HU51" s="58">
        <v>1359.4280000000001</v>
      </c>
      <c r="HV51" s="58">
        <v>2285.672</v>
      </c>
      <c r="HW51" s="58">
        <v>1393.3989999999999</v>
      </c>
      <c r="HX51" s="58">
        <v>892.27300000000002</v>
      </c>
      <c r="HY51" s="58">
        <v>661.52099999999996</v>
      </c>
      <c r="HZ51" s="58">
        <v>194.36600000000001</v>
      </c>
      <c r="IA51" s="58">
        <v>467.15499999999997</v>
      </c>
      <c r="IB51" s="58">
        <v>402.84500000000003</v>
      </c>
      <c r="IC51" s="58">
        <v>235.38200000000001</v>
      </c>
      <c r="ID51" s="58">
        <v>167.464</v>
      </c>
      <c r="IE51" s="58">
        <v>49.95</v>
      </c>
      <c r="IF51" s="58">
        <v>29.712</v>
      </c>
      <c r="IG51" s="58">
        <v>20.238</v>
      </c>
      <c r="IH51" s="58">
        <v>24.431000000000001</v>
      </c>
      <c r="II51" s="58">
        <v>18.843</v>
      </c>
      <c r="IJ51" s="58">
        <v>5.5880000000000001</v>
      </c>
      <c r="IK51" s="58">
        <v>10.914999999999999</v>
      </c>
      <c r="IL51" s="58">
        <v>8.1980000000000004</v>
      </c>
      <c r="IM51" s="58">
        <v>2.7160000000000002</v>
      </c>
      <c r="IN51" s="58">
        <v>13.516</v>
      </c>
      <c r="IO51" s="58">
        <v>10.644</v>
      </c>
      <c r="IP51" s="58">
        <v>2.8719999999999999</v>
      </c>
      <c r="IQ51" s="58">
        <v>25.518999999999998</v>
      </c>
    </row>
    <row r="52" spans="1:251">
      <c r="A52" s="5">
        <v>43070</v>
      </c>
      <c r="B52" s="58">
        <v>12567.804</v>
      </c>
      <c r="C52" s="58">
        <v>6654.3890000000001</v>
      </c>
      <c r="D52" s="58">
        <v>5913.4139999999998</v>
      </c>
      <c r="E52" s="58">
        <v>8660.6710000000003</v>
      </c>
      <c r="F52" s="58">
        <v>5460.6750000000002</v>
      </c>
      <c r="G52" s="58">
        <v>3199.9960000000001</v>
      </c>
      <c r="H52" s="58">
        <v>3907.1329999999998</v>
      </c>
      <c r="I52" s="58">
        <v>1193.7149999999999</v>
      </c>
      <c r="J52" s="58">
        <v>2713.4180000000001</v>
      </c>
      <c r="K52" s="58">
        <v>1918.6849999999999</v>
      </c>
      <c r="L52" s="58">
        <v>976.01099999999997</v>
      </c>
      <c r="M52" s="58">
        <v>942.673</v>
      </c>
      <c r="N52" s="58">
        <v>326.43099999999998</v>
      </c>
      <c r="O52" s="58">
        <v>184.18600000000001</v>
      </c>
      <c r="P52" s="58">
        <v>142.244</v>
      </c>
      <c r="Q52" s="58">
        <v>121.74</v>
      </c>
      <c r="R52" s="58">
        <v>90.56</v>
      </c>
      <c r="S52" s="58">
        <v>31.181000000000001</v>
      </c>
      <c r="T52" s="58">
        <v>64.123999999999995</v>
      </c>
      <c r="U52" s="58">
        <v>48.618000000000002</v>
      </c>
      <c r="V52" s="58">
        <v>15.507</v>
      </c>
      <c r="W52" s="58">
        <v>57.616</v>
      </c>
      <c r="X52" s="58">
        <v>41.942</v>
      </c>
      <c r="Y52" s="58">
        <v>15.673999999999999</v>
      </c>
      <c r="Z52" s="58">
        <v>204.691</v>
      </c>
      <c r="AA52" s="58">
        <v>93.626999999999995</v>
      </c>
      <c r="AB52" s="58">
        <v>111.06399999999999</v>
      </c>
      <c r="AC52" s="58">
        <v>1727.789</v>
      </c>
      <c r="AD52" s="58">
        <v>863.65300000000002</v>
      </c>
      <c r="AE52" s="58">
        <v>864.13599999999997</v>
      </c>
      <c r="AF52" s="58">
        <v>605.125</v>
      </c>
      <c r="AG52" s="58">
        <v>435.36200000000002</v>
      </c>
      <c r="AH52" s="58">
        <v>169.762</v>
      </c>
      <c r="AI52" s="58">
        <v>1122.664</v>
      </c>
      <c r="AJ52" s="58">
        <v>428.29</v>
      </c>
      <c r="AK52" s="58">
        <v>694.37400000000002</v>
      </c>
      <c r="AL52" s="58">
        <v>702.00900000000001</v>
      </c>
      <c r="AM52" s="58">
        <v>506.93799999999999</v>
      </c>
      <c r="AN52" s="58">
        <v>195.071</v>
      </c>
      <c r="AO52" s="58">
        <v>1216.675</v>
      </c>
      <c r="AP52" s="58">
        <v>469.07299999999998</v>
      </c>
      <c r="AQ52" s="58">
        <v>747.60199999999998</v>
      </c>
      <c r="AR52" s="58">
        <v>1186.788</v>
      </c>
      <c r="AS52" s="58">
        <v>476.90800000000002</v>
      </c>
      <c r="AT52" s="58">
        <v>709.88</v>
      </c>
      <c r="AU52" s="58">
        <v>12047.813</v>
      </c>
      <c r="AV52" s="58">
        <v>6343.1019999999999</v>
      </c>
      <c r="AW52" s="58">
        <v>5704.7110000000002</v>
      </c>
      <c r="AX52" s="58">
        <v>8419.652</v>
      </c>
      <c r="AY52" s="58">
        <v>5286.4290000000001</v>
      </c>
      <c r="AZ52" s="58">
        <v>3133.223</v>
      </c>
      <c r="BA52" s="58">
        <v>3628.1610000000001</v>
      </c>
      <c r="BB52" s="58">
        <v>1056.673</v>
      </c>
      <c r="BC52" s="58">
        <v>2571.4879999999998</v>
      </c>
      <c r="BD52" s="58">
        <v>1877.6869999999999</v>
      </c>
      <c r="BE52" s="58">
        <v>948.44100000000003</v>
      </c>
      <c r="BF52" s="58">
        <v>929.24599999999998</v>
      </c>
      <c r="BG52" s="58">
        <v>308.30900000000003</v>
      </c>
      <c r="BH52" s="58">
        <v>170.345</v>
      </c>
      <c r="BI52" s="58">
        <v>137.964</v>
      </c>
      <c r="BJ52" s="58">
        <v>117.476</v>
      </c>
      <c r="BK52" s="58">
        <v>86.56</v>
      </c>
      <c r="BL52" s="58">
        <v>30.916</v>
      </c>
      <c r="BM52" s="58">
        <v>60.968000000000004</v>
      </c>
      <c r="BN52" s="58">
        <v>45.725999999999999</v>
      </c>
      <c r="BO52" s="58">
        <v>15.242000000000001</v>
      </c>
      <c r="BP52" s="58">
        <v>56.508000000000003</v>
      </c>
      <c r="BQ52" s="58">
        <v>40.834000000000003</v>
      </c>
      <c r="BR52" s="58">
        <v>15.673999999999999</v>
      </c>
      <c r="BS52" s="58">
        <v>190.833</v>
      </c>
      <c r="BT52" s="58">
        <v>83.784999999999997</v>
      </c>
      <c r="BU52" s="58">
        <v>107.04900000000001</v>
      </c>
      <c r="BV52" s="58">
        <v>1701.5070000000001</v>
      </c>
      <c r="BW52" s="58">
        <v>847.33500000000004</v>
      </c>
      <c r="BX52" s="58">
        <v>854.17200000000003</v>
      </c>
      <c r="BY52" s="58">
        <v>595.30899999999997</v>
      </c>
      <c r="BZ52" s="58">
        <v>428.82100000000003</v>
      </c>
      <c r="CA52" s="58">
        <v>166.489</v>
      </c>
      <c r="CB52" s="58">
        <v>1106.1980000000001</v>
      </c>
      <c r="CC52" s="58">
        <v>418.51499999999999</v>
      </c>
      <c r="CD52" s="58">
        <v>687.68299999999999</v>
      </c>
      <c r="CE52" s="58">
        <v>688.55700000000002</v>
      </c>
      <c r="CF52" s="58">
        <v>497.024</v>
      </c>
      <c r="CG52" s="58">
        <v>191.53299999999999</v>
      </c>
      <c r="CH52" s="58">
        <v>1189.1300000000001</v>
      </c>
      <c r="CI52" s="58">
        <v>451.41699999999997</v>
      </c>
      <c r="CJ52" s="58">
        <v>737.71299999999997</v>
      </c>
      <c r="CK52" s="58">
        <v>1167.1659999999999</v>
      </c>
      <c r="CL52" s="58">
        <v>464.24099999999999</v>
      </c>
      <c r="CM52" s="58">
        <v>702.92499999999995</v>
      </c>
      <c r="CN52" s="58">
        <v>1961.78</v>
      </c>
      <c r="CO52" s="58">
        <v>986.05399999999997</v>
      </c>
      <c r="CP52" s="58">
        <v>975.726</v>
      </c>
      <c r="CQ52" s="58">
        <v>921.75</v>
      </c>
      <c r="CR52" s="58">
        <v>547.73900000000003</v>
      </c>
      <c r="CS52" s="58">
        <v>374.01100000000002</v>
      </c>
      <c r="CT52" s="58">
        <v>1040.03</v>
      </c>
      <c r="CU52" s="58">
        <v>438.31599999999997</v>
      </c>
      <c r="CV52" s="58">
        <v>601.71400000000006</v>
      </c>
      <c r="CW52" s="58">
        <v>605.05899999999997</v>
      </c>
      <c r="CX52" s="58">
        <v>296.75599999999997</v>
      </c>
      <c r="CY52" s="58">
        <v>308.303</v>
      </c>
      <c r="CZ52" s="58">
        <v>70.77</v>
      </c>
      <c r="DA52" s="58">
        <v>37.938000000000002</v>
      </c>
      <c r="DB52" s="58">
        <v>32.832000000000001</v>
      </c>
      <c r="DC52" s="58">
        <v>13.516</v>
      </c>
      <c r="DD52" s="58">
        <v>7.9420000000000002</v>
      </c>
      <c r="DE52" s="58">
        <v>5.5739999999999998</v>
      </c>
      <c r="DF52" s="58">
        <v>7.8849999999999998</v>
      </c>
      <c r="DG52" s="58">
        <v>3.8410000000000002</v>
      </c>
      <c r="DH52" s="58">
        <v>4.0439999999999996</v>
      </c>
      <c r="DI52" s="58">
        <v>5.6310000000000002</v>
      </c>
      <c r="DJ52" s="58">
        <v>4.101</v>
      </c>
      <c r="DK52" s="58">
        <v>1.53</v>
      </c>
      <c r="DL52" s="58">
        <v>57.253999999999998</v>
      </c>
      <c r="DM52" s="58">
        <v>29.997</v>
      </c>
      <c r="DN52" s="58">
        <v>27.257000000000001</v>
      </c>
      <c r="DO52" s="58">
        <v>573.47900000000004</v>
      </c>
      <c r="DP52" s="58">
        <v>278.95</v>
      </c>
      <c r="DQ52" s="58">
        <v>294.52999999999997</v>
      </c>
      <c r="DR52" s="58">
        <v>117.315</v>
      </c>
      <c r="DS52" s="58">
        <v>76.156000000000006</v>
      </c>
      <c r="DT52" s="58">
        <v>41.158999999999999</v>
      </c>
      <c r="DU52" s="58">
        <v>456.16399999999999</v>
      </c>
      <c r="DV52" s="58">
        <v>202.79400000000001</v>
      </c>
      <c r="DW52" s="58">
        <v>253.37</v>
      </c>
      <c r="DX52" s="58">
        <v>126.63200000000001</v>
      </c>
      <c r="DY52" s="58">
        <v>82.191999999999993</v>
      </c>
      <c r="DZ52" s="58">
        <v>44.44</v>
      </c>
      <c r="EA52" s="58">
        <v>478.42599999999999</v>
      </c>
      <c r="EB52" s="58">
        <v>214.56299999999999</v>
      </c>
      <c r="EC52" s="58">
        <v>263.863</v>
      </c>
      <c r="ED52" s="58">
        <v>464.04899999999998</v>
      </c>
      <c r="EE52" s="58">
        <v>206.63399999999999</v>
      </c>
      <c r="EF52" s="58">
        <v>257.41399999999999</v>
      </c>
      <c r="EG52" s="58">
        <v>687.35</v>
      </c>
      <c r="EH52" s="58">
        <v>328.072</v>
      </c>
      <c r="EI52" s="58">
        <v>359.27800000000002</v>
      </c>
      <c r="EJ52" s="58">
        <v>172.14</v>
      </c>
      <c r="EK52" s="58">
        <v>114.89</v>
      </c>
      <c r="EL52" s="58">
        <v>57.249000000000002</v>
      </c>
      <c r="EM52" s="58">
        <v>515.21100000000001</v>
      </c>
      <c r="EN52" s="58">
        <v>213.18199999999999</v>
      </c>
      <c r="EO52" s="58">
        <v>302.029</v>
      </c>
      <c r="EP52" s="58">
        <v>276.245</v>
      </c>
      <c r="EQ52" s="58">
        <v>128.251</v>
      </c>
      <c r="ER52" s="58">
        <v>147.994</v>
      </c>
      <c r="ES52" s="58">
        <v>28.93</v>
      </c>
      <c r="ET52" s="58">
        <v>14.359</v>
      </c>
      <c r="EU52" s="58">
        <v>14.571</v>
      </c>
      <c r="EV52" s="58">
        <v>3.524</v>
      </c>
      <c r="EW52" s="58">
        <v>2.2770000000000001</v>
      </c>
      <c r="EX52" s="58">
        <v>1.248</v>
      </c>
      <c r="EY52" s="58">
        <v>3.1720000000000002</v>
      </c>
      <c r="EZ52" s="58">
        <v>1.9239999999999999</v>
      </c>
      <c r="FA52" s="58">
        <v>1.248</v>
      </c>
      <c r="FB52" s="58">
        <v>0.35299999999999998</v>
      </c>
      <c r="FC52" s="58">
        <v>0.35299999999999998</v>
      </c>
      <c r="FD52" s="58">
        <v>0</v>
      </c>
      <c r="FE52" s="58">
        <v>25.405000000000001</v>
      </c>
      <c r="FF52" s="58">
        <v>12.082000000000001</v>
      </c>
      <c r="FG52" s="58">
        <v>13.323</v>
      </c>
      <c r="FH52" s="58">
        <v>262.60300000000001</v>
      </c>
      <c r="FI52" s="58">
        <v>120.886</v>
      </c>
      <c r="FJ52" s="58">
        <v>141.71700000000001</v>
      </c>
      <c r="FK52" s="58">
        <v>24.105</v>
      </c>
      <c r="FL52" s="58">
        <v>15.885999999999999</v>
      </c>
      <c r="FM52" s="58">
        <v>8.2189999999999994</v>
      </c>
      <c r="FN52" s="58">
        <v>238.49799999999999</v>
      </c>
      <c r="FO52" s="58">
        <v>105</v>
      </c>
      <c r="FP52" s="58">
        <v>133.49799999999999</v>
      </c>
      <c r="FQ52" s="58">
        <v>26.858000000000001</v>
      </c>
      <c r="FR52" s="58">
        <v>17.718</v>
      </c>
      <c r="FS52" s="58">
        <v>9.14</v>
      </c>
      <c r="FT52" s="58">
        <v>249.387</v>
      </c>
      <c r="FU52" s="58">
        <v>110.533</v>
      </c>
      <c r="FV52" s="58">
        <v>138.85400000000001</v>
      </c>
      <c r="FW52" s="58">
        <v>241.67</v>
      </c>
      <c r="FX52" s="58">
        <v>106.92400000000001</v>
      </c>
      <c r="FY52" s="58">
        <v>134.74600000000001</v>
      </c>
      <c r="FZ52" s="58">
        <v>1274.43</v>
      </c>
      <c r="GA52" s="58">
        <v>657.98199999999997</v>
      </c>
      <c r="GB52" s="58">
        <v>616.44799999999998</v>
      </c>
      <c r="GC52" s="58">
        <v>749.61099999999999</v>
      </c>
      <c r="GD52" s="58">
        <v>432.84899999999999</v>
      </c>
      <c r="GE52" s="58">
        <v>316.762</v>
      </c>
      <c r="GF52" s="58">
        <v>524.81899999999996</v>
      </c>
      <c r="GG52" s="58">
        <v>225.13399999999999</v>
      </c>
      <c r="GH52" s="58">
        <v>299.685</v>
      </c>
      <c r="GI52" s="58">
        <v>328.81400000000002</v>
      </c>
      <c r="GJ52" s="58">
        <v>168.505</v>
      </c>
      <c r="GK52" s="58">
        <v>160.309</v>
      </c>
      <c r="GL52" s="58">
        <v>41.84</v>
      </c>
      <c r="GM52" s="58">
        <v>23.579000000000001</v>
      </c>
      <c r="GN52" s="58">
        <v>18.260999999999999</v>
      </c>
      <c r="GO52" s="58">
        <v>9.9920000000000009</v>
      </c>
      <c r="GP52" s="58">
        <v>5.665</v>
      </c>
      <c r="GQ52" s="58">
        <v>4.327</v>
      </c>
      <c r="GR52" s="58">
        <v>4.7130000000000001</v>
      </c>
      <c r="GS52" s="58">
        <v>1.917</v>
      </c>
      <c r="GT52" s="58">
        <v>2.7959999999999998</v>
      </c>
      <c r="GU52" s="58">
        <v>5.2789999999999999</v>
      </c>
      <c r="GV52" s="58">
        <v>3.7480000000000002</v>
      </c>
      <c r="GW52" s="58">
        <v>1.53</v>
      </c>
      <c r="GX52" s="58">
        <v>31.849</v>
      </c>
      <c r="GY52" s="58">
        <v>17.914000000000001</v>
      </c>
      <c r="GZ52" s="58">
        <v>13.933999999999999</v>
      </c>
      <c r="HA52" s="58">
        <v>310.87599999999998</v>
      </c>
      <c r="HB52" s="58">
        <v>158.06399999999999</v>
      </c>
      <c r="HC52" s="58">
        <v>152.81200000000001</v>
      </c>
      <c r="HD52" s="58">
        <v>93.21</v>
      </c>
      <c r="HE52" s="58">
        <v>60.27</v>
      </c>
      <c r="HF52" s="58">
        <v>32.94</v>
      </c>
      <c r="HG52" s="58">
        <v>217.666</v>
      </c>
      <c r="HH52" s="58">
        <v>97.793000000000006</v>
      </c>
      <c r="HI52" s="58">
        <v>119.872</v>
      </c>
      <c r="HJ52" s="58">
        <v>99.774000000000001</v>
      </c>
      <c r="HK52" s="58">
        <v>64.474999999999994</v>
      </c>
      <c r="HL52" s="58">
        <v>35.298999999999999</v>
      </c>
      <c r="HM52" s="58">
        <v>229.03899999999999</v>
      </c>
      <c r="HN52" s="58">
        <v>104.03</v>
      </c>
      <c r="HO52" s="58">
        <v>125.01</v>
      </c>
      <c r="HP52" s="58">
        <v>222.37899999999999</v>
      </c>
      <c r="HQ52" s="58">
        <v>99.71</v>
      </c>
      <c r="HR52" s="58">
        <v>122.66800000000001</v>
      </c>
      <c r="HS52" s="58">
        <v>2979.4690000000001</v>
      </c>
      <c r="HT52" s="58">
        <v>1598.8440000000001</v>
      </c>
      <c r="HU52" s="58">
        <v>1380.624</v>
      </c>
      <c r="HV52" s="58">
        <v>2291.7930000000001</v>
      </c>
      <c r="HW52" s="58">
        <v>1399.4179999999999</v>
      </c>
      <c r="HX52" s="58">
        <v>892.37599999999998</v>
      </c>
      <c r="HY52" s="58">
        <v>687.67499999999995</v>
      </c>
      <c r="HZ52" s="58">
        <v>199.42699999999999</v>
      </c>
      <c r="IA52" s="58">
        <v>488.24799999999999</v>
      </c>
      <c r="IB52" s="58">
        <v>429.06299999999999</v>
      </c>
      <c r="IC52" s="58">
        <v>237.161</v>
      </c>
      <c r="ID52" s="58">
        <v>191.90199999999999</v>
      </c>
      <c r="IE52" s="58">
        <v>66.075000000000003</v>
      </c>
      <c r="IF52" s="58">
        <v>35.801000000000002</v>
      </c>
      <c r="IG52" s="58">
        <v>30.274999999999999</v>
      </c>
      <c r="IH52" s="58">
        <v>33.345999999999997</v>
      </c>
      <c r="II52" s="58">
        <v>22.782</v>
      </c>
      <c r="IJ52" s="58">
        <v>10.564</v>
      </c>
      <c r="IK52" s="58">
        <v>13.837999999999999</v>
      </c>
      <c r="IL52" s="58">
        <v>10.212</v>
      </c>
      <c r="IM52" s="58">
        <v>3.6259999999999999</v>
      </c>
      <c r="IN52" s="58">
        <v>19.507999999999999</v>
      </c>
      <c r="IO52" s="58">
        <v>12.57</v>
      </c>
      <c r="IP52" s="58">
        <v>6.9379999999999997</v>
      </c>
      <c r="IQ52" s="58">
        <v>32.728999999999999</v>
      </c>
    </row>
    <row r="53" spans="1:251">
      <c r="A53" s="5">
        <v>43101</v>
      </c>
      <c r="B53" s="58">
        <v>12305.065000000001</v>
      </c>
      <c r="C53" s="58">
        <v>6557.7479999999996</v>
      </c>
      <c r="D53" s="58">
        <v>5747.3159999999998</v>
      </c>
      <c r="E53" s="58">
        <v>8444.7180000000008</v>
      </c>
      <c r="F53" s="58">
        <v>5327.1210000000001</v>
      </c>
      <c r="G53" s="58">
        <v>3117.5970000000002</v>
      </c>
      <c r="H53" s="58">
        <v>3860.3470000000002</v>
      </c>
      <c r="I53" s="58">
        <v>1230.6279999999999</v>
      </c>
      <c r="J53" s="58">
        <v>2629.7190000000001</v>
      </c>
      <c r="K53" s="58">
        <v>1916.7660000000001</v>
      </c>
      <c r="L53" s="58">
        <v>1000.623</v>
      </c>
      <c r="M53" s="58">
        <v>916.14300000000003</v>
      </c>
      <c r="N53" s="58">
        <v>356.86099999999999</v>
      </c>
      <c r="O53" s="58">
        <v>198.483</v>
      </c>
      <c r="P53" s="58">
        <v>158.37700000000001</v>
      </c>
      <c r="Q53" s="58">
        <v>145.67599999999999</v>
      </c>
      <c r="R53" s="58">
        <v>103.684</v>
      </c>
      <c r="S53" s="58">
        <v>41.991999999999997</v>
      </c>
      <c r="T53" s="58">
        <v>88.23</v>
      </c>
      <c r="U53" s="58">
        <v>61.405000000000001</v>
      </c>
      <c r="V53" s="58">
        <v>26.826000000000001</v>
      </c>
      <c r="W53" s="58">
        <v>57.445999999999998</v>
      </c>
      <c r="X53" s="58">
        <v>42.28</v>
      </c>
      <c r="Y53" s="58">
        <v>15.166</v>
      </c>
      <c r="Z53" s="58">
        <v>211.184</v>
      </c>
      <c r="AA53" s="58">
        <v>94.799000000000007</v>
      </c>
      <c r="AB53" s="58">
        <v>116.386</v>
      </c>
      <c r="AC53" s="58">
        <v>1700.99</v>
      </c>
      <c r="AD53" s="58">
        <v>878.25699999999995</v>
      </c>
      <c r="AE53" s="58">
        <v>822.73400000000004</v>
      </c>
      <c r="AF53" s="58">
        <v>604.4</v>
      </c>
      <c r="AG53" s="58">
        <v>437.1</v>
      </c>
      <c r="AH53" s="58">
        <v>167.30099999999999</v>
      </c>
      <c r="AI53" s="58">
        <v>1096.5899999999999</v>
      </c>
      <c r="AJ53" s="58">
        <v>441.15699999999998</v>
      </c>
      <c r="AK53" s="58">
        <v>655.43299999999999</v>
      </c>
      <c r="AL53" s="58">
        <v>726.71600000000001</v>
      </c>
      <c r="AM53" s="58">
        <v>522.24099999999999</v>
      </c>
      <c r="AN53" s="58">
        <v>204.476</v>
      </c>
      <c r="AO53" s="58">
        <v>1190.049</v>
      </c>
      <c r="AP53" s="58">
        <v>478.38200000000001</v>
      </c>
      <c r="AQ53" s="58">
        <v>711.66700000000003</v>
      </c>
      <c r="AR53" s="58">
        <v>1184.8209999999999</v>
      </c>
      <c r="AS53" s="58">
        <v>502.56200000000001</v>
      </c>
      <c r="AT53" s="58">
        <v>682.25900000000001</v>
      </c>
      <c r="AU53" s="58">
        <v>11809.44</v>
      </c>
      <c r="AV53" s="58">
        <v>6256.299</v>
      </c>
      <c r="AW53" s="58">
        <v>5553.14</v>
      </c>
      <c r="AX53" s="58">
        <v>8223.8780000000006</v>
      </c>
      <c r="AY53" s="58">
        <v>5164.5889999999999</v>
      </c>
      <c r="AZ53" s="58">
        <v>3059.2890000000002</v>
      </c>
      <c r="BA53" s="58">
        <v>3585.5610000000001</v>
      </c>
      <c r="BB53" s="58">
        <v>1091.71</v>
      </c>
      <c r="BC53" s="58">
        <v>2493.8510000000001</v>
      </c>
      <c r="BD53" s="58">
        <v>1874.509</v>
      </c>
      <c r="BE53" s="58">
        <v>974.24900000000002</v>
      </c>
      <c r="BF53" s="58">
        <v>900.26</v>
      </c>
      <c r="BG53" s="58">
        <v>337.42599999999999</v>
      </c>
      <c r="BH53" s="58">
        <v>186.298</v>
      </c>
      <c r="BI53" s="58">
        <v>151.12799999999999</v>
      </c>
      <c r="BJ53" s="58">
        <v>139.56399999999999</v>
      </c>
      <c r="BK53" s="58">
        <v>98.909000000000006</v>
      </c>
      <c r="BL53" s="58">
        <v>40.655000000000001</v>
      </c>
      <c r="BM53" s="58">
        <v>85.251000000000005</v>
      </c>
      <c r="BN53" s="58">
        <v>59.761000000000003</v>
      </c>
      <c r="BO53" s="58">
        <v>25.489000000000001</v>
      </c>
      <c r="BP53" s="58">
        <v>54.314</v>
      </c>
      <c r="BQ53" s="58">
        <v>39.146999999999998</v>
      </c>
      <c r="BR53" s="58">
        <v>15.166</v>
      </c>
      <c r="BS53" s="58">
        <v>197.86199999999999</v>
      </c>
      <c r="BT53" s="58">
        <v>87.388999999999996</v>
      </c>
      <c r="BU53" s="58">
        <v>110.47199999999999</v>
      </c>
      <c r="BV53" s="58">
        <v>1675.297</v>
      </c>
      <c r="BW53" s="58">
        <v>862.19200000000001</v>
      </c>
      <c r="BX53" s="58">
        <v>813.10500000000002</v>
      </c>
      <c r="BY53" s="58">
        <v>596.76099999999997</v>
      </c>
      <c r="BZ53" s="58">
        <v>431.30399999999997</v>
      </c>
      <c r="CA53" s="58">
        <v>165.45699999999999</v>
      </c>
      <c r="CB53" s="58">
        <v>1078.5360000000001</v>
      </c>
      <c r="CC53" s="58">
        <v>430.88799999999998</v>
      </c>
      <c r="CD53" s="58">
        <v>647.64700000000005</v>
      </c>
      <c r="CE53" s="58">
        <v>712.96500000000003</v>
      </c>
      <c r="CF53" s="58">
        <v>511.66899999999998</v>
      </c>
      <c r="CG53" s="58">
        <v>201.29599999999999</v>
      </c>
      <c r="CH53" s="58">
        <v>1161.5440000000001</v>
      </c>
      <c r="CI53" s="58">
        <v>462.57900000000001</v>
      </c>
      <c r="CJ53" s="58">
        <v>698.96500000000003</v>
      </c>
      <c r="CK53" s="58">
        <v>1163.7860000000001</v>
      </c>
      <c r="CL53" s="58">
        <v>490.65</v>
      </c>
      <c r="CM53" s="58">
        <v>673.13699999999994</v>
      </c>
      <c r="CN53" s="58">
        <v>1925.6220000000001</v>
      </c>
      <c r="CO53" s="58">
        <v>972.82600000000002</v>
      </c>
      <c r="CP53" s="58">
        <v>952.79600000000005</v>
      </c>
      <c r="CQ53" s="58">
        <v>921.45699999999999</v>
      </c>
      <c r="CR53" s="58">
        <v>538.78099999999995</v>
      </c>
      <c r="CS53" s="58">
        <v>382.67599999999999</v>
      </c>
      <c r="CT53" s="58">
        <v>1004.165</v>
      </c>
      <c r="CU53" s="58">
        <v>434.04500000000002</v>
      </c>
      <c r="CV53" s="58">
        <v>570.12099999999998</v>
      </c>
      <c r="CW53" s="58">
        <v>580.14200000000005</v>
      </c>
      <c r="CX53" s="58">
        <v>298.346</v>
      </c>
      <c r="CY53" s="58">
        <v>281.79700000000003</v>
      </c>
      <c r="CZ53" s="58">
        <v>89.700999999999993</v>
      </c>
      <c r="DA53" s="58">
        <v>45.567</v>
      </c>
      <c r="DB53" s="58">
        <v>44.134</v>
      </c>
      <c r="DC53" s="58">
        <v>21.808</v>
      </c>
      <c r="DD53" s="58">
        <v>13.026</v>
      </c>
      <c r="DE53" s="58">
        <v>8.782</v>
      </c>
      <c r="DF53" s="58">
        <v>15.442</v>
      </c>
      <c r="DG53" s="58">
        <v>8.2870000000000008</v>
      </c>
      <c r="DH53" s="58">
        <v>7.1550000000000002</v>
      </c>
      <c r="DI53" s="58">
        <v>6.3659999999999997</v>
      </c>
      <c r="DJ53" s="58">
        <v>4.74</v>
      </c>
      <c r="DK53" s="58">
        <v>1.627</v>
      </c>
      <c r="DL53" s="58">
        <v>67.893000000000001</v>
      </c>
      <c r="DM53" s="58">
        <v>32.540999999999997</v>
      </c>
      <c r="DN53" s="58">
        <v>35.351999999999997</v>
      </c>
      <c r="DO53" s="58">
        <v>537.19299999999998</v>
      </c>
      <c r="DP53" s="58">
        <v>277.14299999999997</v>
      </c>
      <c r="DQ53" s="58">
        <v>260.05</v>
      </c>
      <c r="DR53" s="58">
        <v>114.27800000000001</v>
      </c>
      <c r="DS53" s="58">
        <v>73.992999999999995</v>
      </c>
      <c r="DT53" s="58">
        <v>40.283999999999999</v>
      </c>
      <c r="DU53" s="58">
        <v>422.91500000000002</v>
      </c>
      <c r="DV53" s="58">
        <v>203.15</v>
      </c>
      <c r="DW53" s="58">
        <v>219.76599999999999</v>
      </c>
      <c r="DX53" s="58">
        <v>133.48099999999999</v>
      </c>
      <c r="DY53" s="58">
        <v>85.725999999999999</v>
      </c>
      <c r="DZ53" s="58">
        <v>47.755000000000003</v>
      </c>
      <c r="EA53" s="58">
        <v>446.66199999999998</v>
      </c>
      <c r="EB53" s="58">
        <v>212.619</v>
      </c>
      <c r="EC53" s="58">
        <v>234.042</v>
      </c>
      <c r="ED53" s="58">
        <v>438.35700000000003</v>
      </c>
      <c r="EE53" s="58">
        <v>211.43600000000001</v>
      </c>
      <c r="EF53" s="58">
        <v>226.92099999999999</v>
      </c>
      <c r="EG53" s="58">
        <v>680.69399999999996</v>
      </c>
      <c r="EH53" s="58">
        <v>327.3</v>
      </c>
      <c r="EI53" s="58">
        <v>353.39400000000001</v>
      </c>
      <c r="EJ53" s="58">
        <v>169.59100000000001</v>
      </c>
      <c r="EK53" s="58">
        <v>114.35899999999999</v>
      </c>
      <c r="EL53" s="58">
        <v>55.231000000000002</v>
      </c>
      <c r="EM53" s="58">
        <v>511.10300000000001</v>
      </c>
      <c r="EN53" s="58">
        <v>212.94</v>
      </c>
      <c r="EO53" s="58">
        <v>298.16300000000001</v>
      </c>
      <c r="EP53" s="58">
        <v>252.101</v>
      </c>
      <c r="EQ53" s="58">
        <v>119.066</v>
      </c>
      <c r="ER53" s="58">
        <v>133.036</v>
      </c>
      <c r="ES53" s="58">
        <v>41.186999999999998</v>
      </c>
      <c r="ET53" s="58">
        <v>18.986000000000001</v>
      </c>
      <c r="EU53" s="58">
        <v>22.2</v>
      </c>
      <c r="EV53" s="58">
        <v>3.3359999999999999</v>
      </c>
      <c r="EW53" s="58">
        <v>1.681</v>
      </c>
      <c r="EX53" s="58">
        <v>1.655</v>
      </c>
      <c r="EY53" s="58">
        <v>2.8639999999999999</v>
      </c>
      <c r="EZ53" s="58">
        <v>1.681</v>
      </c>
      <c r="FA53" s="58">
        <v>1.1830000000000001</v>
      </c>
      <c r="FB53" s="58">
        <v>0.47199999999999998</v>
      </c>
      <c r="FC53" s="58">
        <v>0</v>
      </c>
      <c r="FD53" s="58">
        <v>0.47199999999999998</v>
      </c>
      <c r="FE53" s="58">
        <v>37.85</v>
      </c>
      <c r="FF53" s="58">
        <v>17.305</v>
      </c>
      <c r="FG53" s="58">
        <v>20.545000000000002</v>
      </c>
      <c r="FH53" s="58">
        <v>237.43899999999999</v>
      </c>
      <c r="FI53" s="58">
        <v>113.238</v>
      </c>
      <c r="FJ53" s="58">
        <v>124.20099999999999</v>
      </c>
      <c r="FK53" s="58">
        <v>21.422999999999998</v>
      </c>
      <c r="FL53" s="58">
        <v>11.586</v>
      </c>
      <c r="FM53" s="58">
        <v>9.8369999999999997</v>
      </c>
      <c r="FN53" s="58">
        <v>216.01599999999999</v>
      </c>
      <c r="FO53" s="58">
        <v>101.652</v>
      </c>
      <c r="FP53" s="58">
        <v>114.364</v>
      </c>
      <c r="FQ53" s="58">
        <v>24.492000000000001</v>
      </c>
      <c r="FR53" s="58">
        <v>13.266999999999999</v>
      </c>
      <c r="FS53" s="58">
        <v>11.225</v>
      </c>
      <c r="FT53" s="58">
        <v>227.61</v>
      </c>
      <c r="FU53" s="58">
        <v>105.79900000000001</v>
      </c>
      <c r="FV53" s="58">
        <v>121.81100000000001</v>
      </c>
      <c r="FW53" s="58">
        <v>218.881</v>
      </c>
      <c r="FX53" s="58">
        <v>103.334</v>
      </c>
      <c r="FY53" s="58">
        <v>115.547</v>
      </c>
      <c r="FZ53" s="58">
        <v>1244.9290000000001</v>
      </c>
      <c r="GA53" s="58">
        <v>645.52599999999995</v>
      </c>
      <c r="GB53" s="58">
        <v>599.40200000000004</v>
      </c>
      <c r="GC53" s="58">
        <v>751.86599999999999</v>
      </c>
      <c r="GD53" s="58">
        <v>424.42200000000003</v>
      </c>
      <c r="GE53" s="58">
        <v>327.44400000000002</v>
      </c>
      <c r="GF53" s="58">
        <v>493.06299999999999</v>
      </c>
      <c r="GG53" s="58">
        <v>221.10499999999999</v>
      </c>
      <c r="GH53" s="58">
        <v>271.95800000000003</v>
      </c>
      <c r="GI53" s="58">
        <v>328.041</v>
      </c>
      <c r="GJ53" s="58">
        <v>179.28</v>
      </c>
      <c r="GK53" s="58">
        <v>148.761</v>
      </c>
      <c r="GL53" s="58">
        <v>48.514000000000003</v>
      </c>
      <c r="GM53" s="58">
        <v>26.581</v>
      </c>
      <c r="GN53" s="58">
        <v>21.933</v>
      </c>
      <c r="GO53" s="58">
        <v>18.472000000000001</v>
      </c>
      <c r="GP53" s="58">
        <v>11.345000000000001</v>
      </c>
      <c r="GQ53" s="58">
        <v>7.1269999999999998</v>
      </c>
      <c r="GR53" s="58">
        <v>12.577</v>
      </c>
      <c r="GS53" s="58">
        <v>6.6050000000000004</v>
      </c>
      <c r="GT53" s="58">
        <v>5.9720000000000004</v>
      </c>
      <c r="GU53" s="58">
        <v>5.8940000000000001</v>
      </c>
      <c r="GV53" s="58">
        <v>4.74</v>
      </c>
      <c r="GW53" s="58">
        <v>1.155</v>
      </c>
      <c r="GX53" s="58">
        <v>30.042000000000002</v>
      </c>
      <c r="GY53" s="58">
        <v>15.236000000000001</v>
      </c>
      <c r="GZ53" s="58">
        <v>14.805999999999999</v>
      </c>
      <c r="HA53" s="58">
        <v>299.75400000000002</v>
      </c>
      <c r="HB53" s="58">
        <v>163.905</v>
      </c>
      <c r="HC53" s="58">
        <v>135.84899999999999</v>
      </c>
      <c r="HD53" s="58">
        <v>92.855000000000004</v>
      </c>
      <c r="HE53" s="58">
        <v>62.408000000000001</v>
      </c>
      <c r="HF53" s="58">
        <v>30.446999999999999</v>
      </c>
      <c r="HG53" s="58">
        <v>206.899</v>
      </c>
      <c r="HH53" s="58">
        <v>101.497</v>
      </c>
      <c r="HI53" s="58">
        <v>105.402</v>
      </c>
      <c r="HJ53" s="58">
        <v>108.989</v>
      </c>
      <c r="HK53" s="58">
        <v>72.459000000000003</v>
      </c>
      <c r="HL53" s="58">
        <v>36.53</v>
      </c>
      <c r="HM53" s="58">
        <v>219.05199999999999</v>
      </c>
      <c r="HN53" s="58">
        <v>106.821</v>
      </c>
      <c r="HO53" s="58">
        <v>112.23099999999999</v>
      </c>
      <c r="HP53" s="58">
        <v>219.476</v>
      </c>
      <c r="HQ53" s="58">
        <v>108.10299999999999</v>
      </c>
      <c r="HR53" s="58">
        <v>111.374</v>
      </c>
      <c r="HS53" s="58">
        <v>2927.1559999999999</v>
      </c>
      <c r="HT53" s="58">
        <v>1572.605</v>
      </c>
      <c r="HU53" s="58">
        <v>1354.5509999999999</v>
      </c>
      <c r="HV53" s="58">
        <v>2257.7449999999999</v>
      </c>
      <c r="HW53" s="58">
        <v>1369.0229999999999</v>
      </c>
      <c r="HX53" s="58">
        <v>888.72199999999998</v>
      </c>
      <c r="HY53" s="58">
        <v>669.41099999999994</v>
      </c>
      <c r="HZ53" s="58">
        <v>203.58199999999999</v>
      </c>
      <c r="IA53" s="58">
        <v>465.82799999999997</v>
      </c>
      <c r="IB53" s="58">
        <v>445.45499999999998</v>
      </c>
      <c r="IC53" s="58">
        <v>246.863</v>
      </c>
      <c r="ID53" s="58">
        <v>198.59299999999999</v>
      </c>
      <c r="IE53" s="58">
        <v>64.402000000000001</v>
      </c>
      <c r="IF53" s="58">
        <v>36.215000000000003</v>
      </c>
      <c r="IG53" s="58">
        <v>28.187999999999999</v>
      </c>
      <c r="IH53" s="58">
        <v>32.432000000000002</v>
      </c>
      <c r="II53" s="58">
        <v>23</v>
      </c>
      <c r="IJ53" s="58">
        <v>9.4320000000000004</v>
      </c>
      <c r="IK53" s="58">
        <v>19.198</v>
      </c>
      <c r="IL53" s="58">
        <v>13.334</v>
      </c>
      <c r="IM53" s="58">
        <v>5.8639999999999999</v>
      </c>
      <c r="IN53" s="58">
        <v>13.234</v>
      </c>
      <c r="IO53" s="58">
        <v>9.6660000000000004</v>
      </c>
      <c r="IP53" s="58">
        <v>3.5680000000000001</v>
      </c>
      <c r="IQ53" s="58">
        <v>31.971</v>
      </c>
    </row>
    <row r="54" spans="1:251">
      <c r="A54" s="5">
        <v>43132</v>
      </c>
      <c r="B54" s="58">
        <v>12528.184999999999</v>
      </c>
      <c r="C54" s="58">
        <v>6661.241</v>
      </c>
      <c r="D54" s="58">
        <v>5866.9430000000002</v>
      </c>
      <c r="E54" s="58">
        <v>8623.8950000000004</v>
      </c>
      <c r="F54" s="58">
        <v>5451.5469999999996</v>
      </c>
      <c r="G54" s="58">
        <v>3172.3470000000002</v>
      </c>
      <c r="H54" s="58">
        <v>3904.29</v>
      </c>
      <c r="I54" s="58">
        <v>1209.694</v>
      </c>
      <c r="J54" s="58">
        <v>2694.596</v>
      </c>
      <c r="K54" s="58">
        <v>1838.777</v>
      </c>
      <c r="L54" s="58">
        <v>966.22199999999998</v>
      </c>
      <c r="M54" s="58">
        <v>872.55499999999995</v>
      </c>
      <c r="N54" s="58">
        <v>395.40300000000002</v>
      </c>
      <c r="O54" s="58">
        <v>218.73699999999999</v>
      </c>
      <c r="P54" s="58">
        <v>176.666</v>
      </c>
      <c r="Q54" s="58">
        <v>149.554</v>
      </c>
      <c r="R54" s="58">
        <v>116.495</v>
      </c>
      <c r="S54" s="58">
        <v>33.058999999999997</v>
      </c>
      <c r="T54" s="58">
        <v>81.957999999999998</v>
      </c>
      <c r="U54" s="58">
        <v>64.555999999999997</v>
      </c>
      <c r="V54" s="58">
        <v>17.402000000000001</v>
      </c>
      <c r="W54" s="58">
        <v>67.596000000000004</v>
      </c>
      <c r="X54" s="58">
        <v>51.938000000000002</v>
      </c>
      <c r="Y54" s="58">
        <v>15.657</v>
      </c>
      <c r="Z54" s="58">
        <v>245.84899999999999</v>
      </c>
      <c r="AA54" s="58">
        <v>102.24299999999999</v>
      </c>
      <c r="AB54" s="58">
        <v>143.607</v>
      </c>
      <c r="AC54" s="58">
        <v>1611.943</v>
      </c>
      <c r="AD54" s="58">
        <v>836.76</v>
      </c>
      <c r="AE54" s="58">
        <v>775.18299999999999</v>
      </c>
      <c r="AF54" s="58">
        <v>590.928</v>
      </c>
      <c r="AG54" s="58">
        <v>433.72800000000001</v>
      </c>
      <c r="AH54" s="58">
        <v>157.19999999999999</v>
      </c>
      <c r="AI54" s="58">
        <v>1021.015</v>
      </c>
      <c r="AJ54" s="58">
        <v>403.03199999999998</v>
      </c>
      <c r="AK54" s="58">
        <v>617.98299999999995</v>
      </c>
      <c r="AL54" s="58">
        <v>705.46400000000006</v>
      </c>
      <c r="AM54" s="58">
        <v>518.95100000000002</v>
      </c>
      <c r="AN54" s="58">
        <v>186.51300000000001</v>
      </c>
      <c r="AO54" s="58">
        <v>1133.3130000000001</v>
      </c>
      <c r="AP54" s="58">
        <v>447.27100000000002</v>
      </c>
      <c r="AQ54" s="58">
        <v>686.04200000000003</v>
      </c>
      <c r="AR54" s="58">
        <v>1102.973</v>
      </c>
      <c r="AS54" s="58">
        <v>467.58800000000002</v>
      </c>
      <c r="AT54" s="58">
        <v>635.38499999999999</v>
      </c>
      <c r="AU54" s="58">
        <v>12000.938</v>
      </c>
      <c r="AV54" s="58">
        <v>6341.9480000000003</v>
      </c>
      <c r="AW54" s="58">
        <v>5658.99</v>
      </c>
      <c r="AX54" s="58">
        <v>8382.0120000000006</v>
      </c>
      <c r="AY54" s="58">
        <v>5275.741</v>
      </c>
      <c r="AZ54" s="58">
        <v>3106.2710000000002</v>
      </c>
      <c r="BA54" s="58">
        <v>3618.9259999999999</v>
      </c>
      <c r="BB54" s="58">
        <v>1066.2070000000001</v>
      </c>
      <c r="BC54" s="58">
        <v>2552.7179999999998</v>
      </c>
      <c r="BD54" s="58">
        <v>1786.912</v>
      </c>
      <c r="BE54" s="58">
        <v>929.78499999999997</v>
      </c>
      <c r="BF54" s="58">
        <v>857.12699999999995</v>
      </c>
      <c r="BG54" s="58">
        <v>367.24900000000002</v>
      </c>
      <c r="BH54" s="58">
        <v>198.23400000000001</v>
      </c>
      <c r="BI54" s="58">
        <v>169.01499999999999</v>
      </c>
      <c r="BJ54" s="58">
        <v>141.71</v>
      </c>
      <c r="BK54" s="58">
        <v>109.52</v>
      </c>
      <c r="BL54" s="58">
        <v>32.19</v>
      </c>
      <c r="BM54" s="58">
        <v>77.227000000000004</v>
      </c>
      <c r="BN54" s="58">
        <v>60.694000000000003</v>
      </c>
      <c r="BO54" s="58">
        <v>16.533000000000001</v>
      </c>
      <c r="BP54" s="58">
        <v>64.483000000000004</v>
      </c>
      <c r="BQ54" s="58">
        <v>48.825000000000003</v>
      </c>
      <c r="BR54" s="58">
        <v>15.657</v>
      </c>
      <c r="BS54" s="58">
        <v>225.53899999999999</v>
      </c>
      <c r="BT54" s="58">
        <v>88.715000000000003</v>
      </c>
      <c r="BU54" s="58">
        <v>136.82400000000001</v>
      </c>
      <c r="BV54" s="58">
        <v>1582.597</v>
      </c>
      <c r="BW54" s="58">
        <v>816.33900000000006</v>
      </c>
      <c r="BX54" s="58">
        <v>766.25800000000004</v>
      </c>
      <c r="BY54" s="58">
        <v>583.92899999999997</v>
      </c>
      <c r="BZ54" s="58">
        <v>428.05099999999999</v>
      </c>
      <c r="CA54" s="58">
        <v>155.87799999999999</v>
      </c>
      <c r="CB54" s="58">
        <v>998.66800000000001</v>
      </c>
      <c r="CC54" s="58">
        <v>388.28800000000001</v>
      </c>
      <c r="CD54" s="58">
        <v>610.38099999999997</v>
      </c>
      <c r="CE54" s="58">
        <v>691.60400000000004</v>
      </c>
      <c r="CF54" s="58">
        <v>507.28300000000002</v>
      </c>
      <c r="CG54" s="58">
        <v>184.321</v>
      </c>
      <c r="CH54" s="58">
        <v>1095.308</v>
      </c>
      <c r="CI54" s="58">
        <v>422.50200000000001</v>
      </c>
      <c r="CJ54" s="58">
        <v>672.80600000000004</v>
      </c>
      <c r="CK54" s="58">
        <v>1075.895</v>
      </c>
      <c r="CL54" s="58">
        <v>448.98200000000003</v>
      </c>
      <c r="CM54" s="58">
        <v>626.91300000000001</v>
      </c>
      <c r="CN54" s="58">
        <v>1919.1079999999999</v>
      </c>
      <c r="CO54" s="58">
        <v>978.18</v>
      </c>
      <c r="CP54" s="58">
        <v>940.92700000000002</v>
      </c>
      <c r="CQ54" s="58">
        <v>934.37900000000002</v>
      </c>
      <c r="CR54" s="58">
        <v>560.51599999999996</v>
      </c>
      <c r="CS54" s="58">
        <v>373.863</v>
      </c>
      <c r="CT54" s="58">
        <v>984.72900000000004</v>
      </c>
      <c r="CU54" s="58">
        <v>417.66399999999999</v>
      </c>
      <c r="CV54" s="58">
        <v>567.06500000000005</v>
      </c>
      <c r="CW54" s="58">
        <v>506.40100000000001</v>
      </c>
      <c r="CX54" s="58">
        <v>261.94</v>
      </c>
      <c r="CY54" s="58">
        <v>244.46100000000001</v>
      </c>
      <c r="CZ54" s="58">
        <v>82.043000000000006</v>
      </c>
      <c r="DA54" s="58">
        <v>38.393999999999998</v>
      </c>
      <c r="DB54" s="58">
        <v>43.649000000000001</v>
      </c>
      <c r="DC54" s="58">
        <v>15.643000000000001</v>
      </c>
      <c r="DD54" s="58">
        <v>10.038</v>
      </c>
      <c r="DE54" s="58">
        <v>5.6059999999999999</v>
      </c>
      <c r="DF54" s="58">
        <v>9.4329999999999998</v>
      </c>
      <c r="DG54" s="58">
        <v>6.08</v>
      </c>
      <c r="DH54" s="58">
        <v>3.3530000000000002</v>
      </c>
      <c r="DI54" s="58">
        <v>6.2110000000000003</v>
      </c>
      <c r="DJ54" s="58">
        <v>3.9580000000000002</v>
      </c>
      <c r="DK54" s="58">
        <v>2.2530000000000001</v>
      </c>
      <c r="DL54" s="58">
        <v>66.399000000000001</v>
      </c>
      <c r="DM54" s="58">
        <v>28.356000000000002</v>
      </c>
      <c r="DN54" s="58">
        <v>38.042999999999999</v>
      </c>
      <c r="DO54" s="58">
        <v>469.58699999999999</v>
      </c>
      <c r="DP54" s="58">
        <v>243.68299999999999</v>
      </c>
      <c r="DQ54" s="58">
        <v>225.904</v>
      </c>
      <c r="DR54" s="58">
        <v>109.063</v>
      </c>
      <c r="DS54" s="58">
        <v>77.802000000000007</v>
      </c>
      <c r="DT54" s="58">
        <v>31.26</v>
      </c>
      <c r="DU54" s="58">
        <v>360.524</v>
      </c>
      <c r="DV54" s="58">
        <v>165.88</v>
      </c>
      <c r="DW54" s="58">
        <v>194.64400000000001</v>
      </c>
      <c r="DX54" s="58">
        <v>120.16200000000001</v>
      </c>
      <c r="DY54" s="58">
        <v>84.433000000000007</v>
      </c>
      <c r="DZ54" s="58">
        <v>35.728000000000002</v>
      </c>
      <c r="EA54" s="58">
        <v>386.23899999999998</v>
      </c>
      <c r="EB54" s="58">
        <v>177.506</v>
      </c>
      <c r="EC54" s="58">
        <v>208.733</v>
      </c>
      <c r="ED54" s="58">
        <v>369.95699999999999</v>
      </c>
      <c r="EE54" s="58">
        <v>171.96</v>
      </c>
      <c r="EF54" s="58">
        <v>197.99700000000001</v>
      </c>
      <c r="EG54" s="58">
        <v>672.46</v>
      </c>
      <c r="EH54" s="58">
        <v>326.72399999999999</v>
      </c>
      <c r="EI54" s="58">
        <v>345.73599999999999</v>
      </c>
      <c r="EJ54" s="58">
        <v>166.09100000000001</v>
      </c>
      <c r="EK54" s="58">
        <v>114.598</v>
      </c>
      <c r="EL54" s="58">
        <v>51.493000000000002</v>
      </c>
      <c r="EM54" s="58">
        <v>506.37</v>
      </c>
      <c r="EN54" s="58">
        <v>212.126</v>
      </c>
      <c r="EO54" s="58">
        <v>294.24299999999999</v>
      </c>
      <c r="EP54" s="58">
        <v>218.62100000000001</v>
      </c>
      <c r="EQ54" s="58">
        <v>109.43</v>
      </c>
      <c r="ER54" s="58">
        <v>109.191</v>
      </c>
      <c r="ES54" s="58">
        <v>39.286999999999999</v>
      </c>
      <c r="ET54" s="58">
        <v>18.556000000000001</v>
      </c>
      <c r="EU54" s="58">
        <v>20.731000000000002</v>
      </c>
      <c r="EV54" s="58">
        <v>3.9980000000000002</v>
      </c>
      <c r="EW54" s="58">
        <v>1.86</v>
      </c>
      <c r="EX54" s="58">
        <v>2.1379999999999999</v>
      </c>
      <c r="EY54" s="58">
        <v>3.6709999999999998</v>
      </c>
      <c r="EZ54" s="58">
        <v>1.5329999999999999</v>
      </c>
      <c r="FA54" s="58">
        <v>2.1379999999999999</v>
      </c>
      <c r="FB54" s="58">
        <v>0.32700000000000001</v>
      </c>
      <c r="FC54" s="58">
        <v>0.32700000000000001</v>
      </c>
      <c r="FD54" s="58">
        <v>0</v>
      </c>
      <c r="FE54" s="58">
        <v>35.289000000000001</v>
      </c>
      <c r="FF54" s="58">
        <v>16.696000000000002</v>
      </c>
      <c r="FG54" s="58">
        <v>18.593</v>
      </c>
      <c r="FH54" s="58">
        <v>202.744</v>
      </c>
      <c r="FI54" s="58">
        <v>101.739</v>
      </c>
      <c r="FJ54" s="58">
        <v>101.004</v>
      </c>
      <c r="FK54" s="58">
        <v>20</v>
      </c>
      <c r="FL54" s="58">
        <v>14.601000000000001</v>
      </c>
      <c r="FM54" s="58">
        <v>5.399</v>
      </c>
      <c r="FN54" s="58">
        <v>182.74299999999999</v>
      </c>
      <c r="FO54" s="58">
        <v>87.138000000000005</v>
      </c>
      <c r="FP54" s="58">
        <v>95.605000000000004</v>
      </c>
      <c r="FQ54" s="58">
        <v>22.538</v>
      </c>
      <c r="FR54" s="58">
        <v>16.138000000000002</v>
      </c>
      <c r="FS54" s="58">
        <v>6.399</v>
      </c>
      <c r="FT54" s="58">
        <v>196.083</v>
      </c>
      <c r="FU54" s="58">
        <v>93.292000000000002</v>
      </c>
      <c r="FV54" s="58">
        <v>102.791</v>
      </c>
      <c r="FW54" s="58">
        <v>186.41499999999999</v>
      </c>
      <c r="FX54" s="58">
        <v>88.671000000000006</v>
      </c>
      <c r="FY54" s="58">
        <v>97.742999999999995</v>
      </c>
      <c r="FZ54" s="58">
        <v>1246.6469999999999</v>
      </c>
      <c r="GA54" s="58">
        <v>651.45600000000002</v>
      </c>
      <c r="GB54" s="58">
        <v>595.19100000000003</v>
      </c>
      <c r="GC54" s="58">
        <v>768.28800000000001</v>
      </c>
      <c r="GD54" s="58">
        <v>445.91899999999998</v>
      </c>
      <c r="GE54" s="58">
        <v>322.37</v>
      </c>
      <c r="GF54" s="58">
        <v>478.35899999999998</v>
      </c>
      <c r="GG54" s="58">
        <v>205.53800000000001</v>
      </c>
      <c r="GH54" s="58">
        <v>272.82100000000003</v>
      </c>
      <c r="GI54" s="58">
        <v>287.77999999999997</v>
      </c>
      <c r="GJ54" s="58">
        <v>152.51</v>
      </c>
      <c r="GK54" s="58">
        <v>135.27099999999999</v>
      </c>
      <c r="GL54" s="58">
        <v>42.756</v>
      </c>
      <c r="GM54" s="58">
        <v>19.838000000000001</v>
      </c>
      <c r="GN54" s="58">
        <v>22.917999999999999</v>
      </c>
      <c r="GO54" s="58">
        <v>11.646000000000001</v>
      </c>
      <c r="GP54" s="58">
        <v>8.1780000000000008</v>
      </c>
      <c r="GQ54" s="58">
        <v>3.468</v>
      </c>
      <c r="GR54" s="58">
        <v>5.7619999999999996</v>
      </c>
      <c r="GS54" s="58">
        <v>4.5469999999999997</v>
      </c>
      <c r="GT54" s="58">
        <v>1.2150000000000001</v>
      </c>
      <c r="GU54" s="58">
        <v>5.8840000000000003</v>
      </c>
      <c r="GV54" s="58">
        <v>3.6309999999999998</v>
      </c>
      <c r="GW54" s="58">
        <v>2.2530000000000001</v>
      </c>
      <c r="GX54" s="58">
        <v>31.111000000000001</v>
      </c>
      <c r="GY54" s="58">
        <v>11.66</v>
      </c>
      <c r="GZ54" s="58">
        <v>19.45</v>
      </c>
      <c r="HA54" s="58">
        <v>266.84300000000002</v>
      </c>
      <c r="HB54" s="58">
        <v>141.94300000000001</v>
      </c>
      <c r="HC54" s="58">
        <v>124.9</v>
      </c>
      <c r="HD54" s="58">
        <v>89.063000000000002</v>
      </c>
      <c r="HE54" s="58">
        <v>63.201999999999998</v>
      </c>
      <c r="HF54" s="58">
        <v>25.861000000000001</v>
      </c>
      <c r="HG54" s="58">
        <v>177.78</v>
      </c>
      <c r="HH54" s="58">
        <v>78.742000000000004</v>
      </c>
      <c r="HI54" s="58">
        <v>99.039000000000001</v>
      </c>
      <c r="HJ54" s="58">
        <v>97.623999999999995</v>
      </c>
      <c r="HK54" s="58">
        <v>68.295000000000002</v>
      </c>
      <c r="HL54" s="58">
        <v>29.329000000000001</v>
      </c>
      <c r="HM54" s="58">
        <v>190.15600000000001</v>
      </c>
      <c r="HN54" s="58">
        <v>84.215000000000003</v>
      </c>
      <c r="HO54" s="58">
        <v>105.94199999999999</v>
      </c>
      <c r="HP54" s="58">
        <v>183.542</v>
      </c>
      <c r="HQ54" s="58">
        <v>83.287999999999997</v>
      </c>
      <c r="HR54" s="58">
        <v>100.254</v>
      </c>
      <c r="HS54" s="58">
        <v>2979.2539999999999</v>
      </c>
      <c r="HT54" s="58">
        <v>1605.4280000000001</v>
      </c>
      <c r="HU54" s="58">
        <v>1373.826</v>
      </c>
      <c r="HV54" s="58">
        <v>2284.0729999999999</v>
      </c>
      <c r="HW54" s="58">
        <v>1395.97</v>
      </c>
      <c r="HX54" s="58">
        <v>888.10299999999995</v>
      </c>
      <c r="HY54" s="58">
        <v>695.18100000000004</v>
      </c>
      <c r="HZ54" s="58">
        <v>209.458</v>
      </c>
      <c r="IA54" s="58">
        <v>485.72300000000001</v>
      </c>
      <c r="IB54" s="58">
        <v>422.66300000000001</v>
      </c>
      <c r="IC54" s="58">
        <v>241.97200000000001</v>
      </c>
      <c r="ID54" s="58">
        <v>180.69</v>
      </c>
      <c r="IE54" s="58">
        <v>74.763999999999996</v>
      </c>
      <c r="IF54" s="58">
        <v>40.283999999999999</v>
      </c>
      <c r="IG54" s="58">
        <v>34.479999999999997</v>
      </c>
      <c r="IH54" s="58">
        <v>35.192</v>
      </c>
      <c r="II54" s="58">
        <v>28.864000000000001</v>
      </c>
      <c r="IJ54" s="58">
        <v>6.3280000000000003</v>
      </c>
      <c r="IK54" s="58">
        <v>18.614999999999998</v>
      </c>
      <c r="IL54" s="58">
        <v>15.103999999999999</v>
      </c>
      <c r="IM54" s="58">
        <v>3.5110000000000001</v>
      </c>
      <c r="IN54" s="58">
        <v>16.577000000000002</v>
      </c>
      <c r="IO54" s="58">
        <v>13.759</v>
      </c>
      <c r="IP54" s="58">
        <v>2.8170000000000002</v>
      </c>
      <c r="IQ54" s="58">
        <v>39.573</v>
      </c>
    </row>
    <row r="55" spans="1:251">
      <c r="A55" s="5">
        <v>43160</v>
      </c>
      <c r="B55" s="58">
        <v>12494.835999999999</v>
      </c>
      <c r="C55" s="58">
        <v>6631.7219999999998</v>
      </c>
      <c r="D55" s="58">
        <v>5863.1139999999996</v>
      </c>
      <c r="E55" s="58">
        <v>8485.0679999999993</v>
      </c>
      <c r="F55" s="58">
        <v>5384.433</v>
      </c>
      <c r="G55" s="58">
        <v>3100.6350000000002</v>
      </c>
      <c r="H55" s="58">
        <v>4009.768</v>
      </c>
      <c r="I55" s="58">
        <v>1247.289</v>
      </c>
      <c r="J55" s="58">
        <v>2762.4789999999998</v>
      </c>
      <c r="K55" s="58">
        <v>1792.6489999999999</v>
      </c>
      <c r="L55" s="58">
        <v>918.23599999999999</v>
      </c>
      <c r="M55" s="58">
        <v>874.41200000000003</v>
      </c>
      <c r="N55" s="58">
        <v>333.28199999999998</v>
      </c>
      <c r="O55" s="58">
        <v>187.87299999999999</v>
      </c>
      <c r="P55" s="58">
        <v>145.40899999999999</v>
      </c>
      <c r="Q55" s="58">
        <v>129.68</v>
      </c>
      <c r="R55" s="58">
        <v>97.269000000000005</v>
      </c>
      <c r="S55" s="58">
        <v>32.409999999999997</v>
      </c>
      <c r="T55" s="58">
        <v>76.756</v>
      </c>
      <c r="U55" s="58">
        <v>52.939</v>
      </c>
      <c r="V55" s="58">
        <v>23.817</v>
      </c>
      <c r="W55" s="58">
        <v>52.923999999999999</v>
      </c>
      <c r="X55" s="58">
        <v>44.331000000000003</v>
      </c>
      <c r="Y55" s="58">
        <v>8.593</v>
      </c>
      <c r="Z55" s="58">
        <v>203.602</v>
      </c>
      <c r="AA55" s="58">
        <v>90.602999999999994</v>
      </c>
      <c r="AB55" s="58">
        <v>112.998</v>
      </c>
      <c r="AC55" s="58">
        <v>1598.7919999999999</v>
      </c>
      <c r="AD55" s="58">
        <v>807.47500000000002</v>
      </c>
      <c r="AE55" s="58">
        <v>791.31700000000001</v>
      </c>
      <c r="AF55" s="58">
        <v>560.89800000000002</v>
      </c>
      <c r="AG55" s="58">
        <v>407.98500000000001</v>
      </c>
      <c r="AH55" s="58">
        <v>152.91300000000001</v>
      </c>
      <c r="AI55" s="58">
        <v>1037.894</v>
      </c>
      <c r="AJ55" s="58">
        <v>399.49</v>
      </c>
      <c r="AK55" s="58">
        <v>638.40300000000002</v>
      </c>
      <c r="AL55" s="58">
        <v>662.21</v>
      </c>
      <c r="AM55" s="58">
        <v>482.16399999999999</v>
      </c>
      <c r="AN55" s="58">
        <v>180.04599999999999</v>
      </c>
      <c r="AO55" s="58">
        <v>1130.4380000000001</v>
      </c>
      <c r="AP55" s="58">
        <v>436.072</v>
      </c>
      <c r="AQ55" s="58">
        <v>694.36599999999999</v>
      </c>
      <c r="AR55" s="58">
        <v>1114.6500000000001</v>
      </c>
      <c r="AS55" s="58">
        <v>452.42899999999997</v>
      </c>
      <c r="AT55" s="58">
        <v>662.22</v>
      </c>
      <c r="AU55" s="58">
        <v>11971.053</v>
      </c>
      <c r="AV55" s="58">
        <v>6317.9</v>
      </c>
      <c r="AW55" s="58">
        <v>5653.1530000000002</v>
      </c>
      <c r="AX55" s="58">
        <v>8253.4850000000006</v>
      </c>
      <c r="AY55" s="58">
        <v>5214.4080000000004</v>
      </c>
      <c r="AZ55" s="58">
        <v>3039.0770000000002</v>
      </c>
      <c r="BA55" s="58">
        <v>3717.569</v>
      </c>
      <c r="BB55" s="58">
        <v>1103.492</v>
      </c>
      <c r="BC55" s="58">
        <v>2614.0770000000002</v>
      </c>
      <c r="BD55" s="58">
        <v>1743.0229999999999</v>
      </c>
      <c r="BE55" s="58">
        <v>890.40800000000002</v>
      </c>
      <c r="BF55" s="58">
        <v>852.61500000000001</v>
      </c>
      <c r="BG55" s="58">
        <v>314.411</v>
      </c>
      <c r="BH55" s="58">
        <v>176.31100000000001</v>
      </c>
      <c r="BI55" s="58">
        <v>138.1</v>
      </c>
      <c r="BJ55" s="58">
        <v>127.056</v>
      </c>
      <c r="BK55" s="58">
        <v>95.257999999999996</v>
      </c>
      <c r="BL55" s="58">
        <v>31.797000000000001</v>
      </c>
      <c r="BM55" s="58">
        <v>75.503</v>
      </c>
      <c r="BN55" s="58">
        <v>51.963999999999999</v>
      </c>
      <c r="BO55" s="58">
        <v>23.539000000000001</v>
      </c>
      <c r="BP55" s="58">
        <v>51.552999999999997</v>
      </c>
      <c r="BQ55" s="58">
        <v>43.293999999999997</v>
      </c>
      <c r="BR55" s="58">
        <v>8.2590000000000003</v>
      </c>
      <c r="BS55" s="58">
        <v>187.35499999999999</v>
      </c>
      <c r="BT55" s="58">
        <v>81.052999999999997</v>
      </c>
      <c r="BU55" s="58">
        <v>106.30200000000001</v>
      </c>
      <c r="BV55" s="58">
        <v>1563.7760000000001</v>
      </c>
      <c r="BW55" s="58">
        <v>788.07600000000002</v>
      </c>
      <c r="BX55" s="58">
        <v>775.70100000000002</v>
      </c>
      <c r="BY55" s="58">
        <v>554.09</v>
      </c>
      <c r="BZ55" s="58">
        <v>403.12799999999999</v>
      </c>
      <c r="CA55" s="58">
        <v>150.96299999999999</v>
      </c>
      <c r="CB55" s="58">
        <v>1009.686</v>
      </c>
      <c r="CC55" s="58">
        <v>384.94799999999998</v>
      </c>
      <c r="CD55" s="58">
        <v>624.73800000000006</v>
      </c>
      <c r="CE55" s="58">
        <v>652.779</v>
      </c>
      <c r="CF55" s="58">
        <v>475.29599999999999</v>
      </c>
      <c r="CG55" s="58">
        <v>177.483</v>
      </c>
      <c r="CH55" s="58">
        <v>1090.2439999999999</v>
      </c>
      <c r="CI55" s="58">
        <v>415.11200000000002</v>
      </c>
      <c r="CJ55" s="58">
        <v>675.13199999999995</v>
      </c>
      <c r="CK55" s="58">
        <v>1085.1890000000001</v>
      </c>
      <c r="CL55" s="58">
        <v>436.91199999999998</v>
      </c>
      <c r="CM55" s="58">
        <v>648.27700000000004</v>
      </c>
      <c r="CN55" s="58">
        <v>1905.309</v>
      </c>
      <c r="CO55" s="58">
        <v>966.79</v>
      </c>
      <c r="CP55" s="58">
        <v>938.52</v>
      </c>
      <c r="CQ55" s="58">
        <v>869.68799999999999</v>
      </c>
      <c r="CR55" s="58">
        <v>527.07000000000005</v>
      </c>
      <c r="CS55" s="58">
        <v>342.61799999999999</v>
      </c>
      <c r="CT55" s="58">
        <v>1035.6210000000001</v>
      </c>
      <c r="CU55" s="58">
        <v>439.72</v>
      </c>
      <c r="CV55" s="58">
        <v>595.90099999999995</v>
      </c>
      <c r="CW55" s="58">
        <v>488.50299999999999</v>
      </c>
      <c r="CX55" s="58">
        <v>244.535</v>
      </c>
      <c r="CY55" s="58">
        <v>243.96799999999999</v>
      </c>
      <c r="CZ55" s="58">
        <v>80.301000000000002</v>
      </c>
      <c r="DA55" s="58">
        <v>40.984000000000002</v>
      </c>
      <c r="DB55" s="58">
        <v>39.317</v>
      </c>
      <c r="DC55" s="58">
        <v>17.818000000000001</v>
      </c>
      <c r="DD55" s="58">
        <v>11.548</v>
      </c>
      <c r="DE55" s="58">
        <v>6.27</v>
      </c>
      <c r="DF55" s="58">
        <v>11.702</v>
      </c>
      <c r="DG55" s="58">
        <v>6.4020000000000001</v>
      </c>
      <c r="DH55" s="58">
        <v>5.3</v>
      </c>
      <c r="DI55" s="58">
        <v>6.1159999999999997</v>
      </c>
      <c r="DJ55" s="58">
        <v>5.1459999999999999</v>
      </c>
      <c r="DK55" s="58">
        <v>0.97099999999999997</v>
      </c>
      <c r="DL55" s="58">
        <v>62.482999999999997</v>
      </c>
      <c r="DM55" s="58">
        <v>29.436</v>
      </c>
      <c r="DN55" s="58">
        <v>33.045999999999999</v>
      </c>
      <c r="DO55" s="58">
        <v>452.65499999999997</v>
      </c>
      <c r="DP55" s="58">
        <v>225.95500000000001</v>
      </c>
      <c r="DQ55" s="58">
        <v>226.69900000000001</v>
      </c>
      <c r="DR55" s="58">
        <v>96.191000000000003</v>
      </c>
      <c r="DS55" s="58">
        <v>67.454999999999998</v>
      </c>
      <c r="DT55" s="58">
        <v>28.734999999999999</v>
      </c>
      <c r="DU55" s="58">
        <v>356.464</v>
      </c>
      <c r="DV55" s="58">
        <v>158.5</v>
      </c>
      <c r="DW55" s="58">
        <v>197.964</v>
      </c>
      <c r="DX55" s="58">
        <v>108.98699999999999</v>
      </c>
      <c r="DY55" s="58">
        <v>75.430999999999997</v>
      </c>
      <c r="DZ55" s="58">
        <v>33.555999999999997</v>
      </c>
      <c r="EA55" s="58">
        <v>379.51600000000002</v>
      </c>
      <c r="EB55" s="58">
        <v>169.10400000000001</v>
      </c>
      <c r="EC55" s="58">
        <v>210.41200000000001</v>
      </c>
      <c r="ED55" s="58">
        <v>368.166</v>
      </c>
      <c r="EE55" s="58">
        <v>164.90199999999999</v>
      </c>
      <c r="EF55" s="58">
        <v>203.26400000000001</v>
      </c>
      <c r="EG55" s="58">
        <v>667.08699999999999</v>
      </c>
      <c r="EH55" s="58">
        <v>321.81200000000001</v>
      </c>
      <c r="EI55" s="58">
        <v>345.27499999999998</v>
      </c>
      <c r="EJ55" s="58">
        <v>157.63399999999999</v>
      </c>
      <c r="EK55" s="58">
        <v>111.096</v>
      </c>
      <c r="EL55" s="58">
        <v>46.537999999999997</v>
      </c>
      <c r="EM55" s="58">
        <v>509.45299999999997</v>
      </c>
      <c r="EN55" s="58">
        <v>210.71600000000001</v>
      </c>
      <c r="EO55" s="58">
        <v>298.73700000000002</v>
      </c>
      <c r="EP55" s="58">
        <v>223.804</v>
      </c>
      <c r="EQ55" s="58">
        <v>108.675</v>
      </c>
      <c r="ER55" s="58">
        <v>115.129</v>
      </c>
      <c r="ES55" s="58">
        <v>39.712000000000003</v>
      </c>
      <c r="ET55" s="58">
        <v>20.100000000000001</v>
      </c>
      <c r="EU55" s="58">
        <v>19.611999999999998</v>
      </c>
      <c r="EV55" s="58">
        <v>3.1280000000000001</v>
      </c>
      <c r="EW55" s="58">
        <v>1.64</v>
      </c>
      <c r="EX55" s="58">
        <v>1.488</v>
      </c>
      <c r="EY55" s="58">
        <v>2.262</v>
      </c>
      <c r="EZ55" s="58">
        <v>1.1619999999999999</v>
      </c>
      <c r="FA55" s="58">
        <v>1.101</v>
      </c>
      <c r="FB55" s="58">
        <v>0.86499999999999999</v>
      </c>
      <c r="FC55" s="58">
        <v>0.47799999999999998</v>
      </c>
      <c r="FD55" s="58">
        <v>0.38700000000000001</v>
      </c>
      <c r="FE55" s="58">
        <v>36.584000000000003</v>
      </c>
      <c r="FF55" s="58">
        <v>18.46</v>
      </c>
      <c r="FG55" s="58">
        <v>18.123999999999999</v>
      </c>
      <c r="FH55" s="58">
        <v>206.04300000000001</v>
      </c>
      <c r="FI55" s="58">
        <v>99.872</v>
      </c>
      <c r="FJ55" s="58">
        <v>106.17100000000001</v>
      </c>
      <c r="FK55" s="58">
        <v>23.827999999999999</v>
      </c>
      <c r="FL55" s="58">
        <v>14.673</v>
      </c>
      <c r="FM55" s="58">
        <v>9.1549999999999994</v>
      </c>
      <c r="FN55" s="58">
        <v>182.215</v>
      </c>
      <c r="FO55" s="58">
        <v>85.198999999999998</v>
      </c>
      <c r="FP55" s="58">
        <v>97.015000000000001</v>
      </c>
      <c r="FQ55" s="58">
        <v>26.584</v>
      </c>
      <c r="FR55" s="58">
        <v>16.312000000000001</v>
      </c>
      <c r="FS55" s="58">
        <v>10.272</v>
      </c>
      <c r="FT55" s="58">
        <v>197.22</v>
      </c>
      <c r="FU55" s="58">
        <v>92.361999999999995</v>
      </c>
      <c r="FV55" s="58">
        <v>104.857</v>
      </c>
      <c r="FW55" s="58">
        <v>184.477</v>
      </c>
      <c r="FX55" s="58">
        <v>86.361000000000004</v>
      </c>
      <c r="FY55" s="58">
        <v>98.116</v>
      </c>
      <c r="FZ55" s="58">
        <v>1238.222</v>
      </c>
      <c r="GA55" s="58">
        <v>644.97799999999995</v>
      </c>
      <c r="GB55" s="58">
        <v>593.24400000000003</v>
      </c>
      <c r="GC55" s="58">
        <v>712.05399999999997</v>
      </c>
      <c r="GD55" s="58">
        <v>415.97399999999999</v>
      </c>
      <c r="GE55" s="58">
        <v>296.08</v>
      </c>
      <c r="GF55" s="58">
        <v>526.16800000000001</v>
      </c>
      <c r="GG55" s="58">
        <v>229.00399999999999</v>
      </c>
      <c r="GH55" s="58">
        <v>297.16399999999999</v>
      </c>
      <c r="GI55" s="58">
        <v>264.69900000000001</v>
      </c>
      <c r="GJ55" s="58">
        <v>135.86000000000001</v>
      </c>
      <c r="GK55" s="58">
        <v>128.83799999999999</v>
      </c>
      <c r="GL55" s="58">
        <v>40.588999999999999</v>
      </c>
      <c r="GM55" s="58">
        <v>20.884</v>
      </c>
      <c r="GN55" s="58">
        <v>19.704999999999998</v>
      </c>
      <c r="GO55" s="58">
        <v>14.69</v>
      </c>
      <c r="GP55" s="58">
        <v>9.9079999999999995</v>
      </c>
      <c r="GQ55" s="58">
        <v>4.7830000000000004</v>
      </c>
      <c r="GR55" s="58">
        <v>9.44</v>
      </c>
      <c r="GS55" s="58">
        <v>5.24</v>
      </c>
      <c r="GT55" s="58">
        <v>4.1989999999999998</v>
      </c>
      <c r="GU55" s="58">
        <v>5.2510000000000003</v>
      </c>
      <c r="GV55" s="58">
        <v>4.6669999999999998</v>
      </c>
      <c r="GW55" s="58">
        <v>0.58299999999999996</v>
      </c>
      <c r="GX55" s="58">
        <v>25.899000000000001</v>
      </c>
      <c r="GY55" s="58">
        <v>10.976000000000001</v>
      </c>
      <c r="GZ55" s="58">
        <v>14.922000000000001</v>
      </c>
      <c r="HA55" s="58">
        <v>246.61199999999999</v>
      </c>
      <c r="HB55" s="58">
        <v>126.083</v>
      </c>
      <c r="HC55" s="58">
        <v>120.529</v>
      </c>
      <c r="HD55" s="58">
        <v>72.363</v>
      </c>
      <c r="HE55" s="58">
        <v>52.783000000000001</v>
      </c>
      <c r="HF55" s="58">
        <v>19.579999999999998</v>
      </c>
      <c r="HG55" s="58">
        <v>174.249</v>
      </c>
      <c r="HH55" s="58">
        <v>73.301000000000002</v>
      </c>
      <c r="HI55" s="58">
        <v>100.949</v>
      </c>
      <c r="HJ55" s="58">
        <v>82.403000000000006</v>
      </c>
      <c r="HK55" s="58">
        <v>59.119</v>
      </c>
      <c r="HL55" s="58">
        <v>23.283999999999999</v>
      </c>
      <c r="HM55" s="58">
        <v>182.29599999999999</v>
      </c>
      <c r="HN55" s="58">
        <v>76.741</v>
      </c>
      <c r="HO55" s="58">
        <v>105.554</v>
      </c>
      <c r="HP55" s="58">
        <v>183.68899999999999</v>
      </c>
      <c r="HQ55" s="58">
        <v>78.540999999999997</v>
      </c>
      <c r="HR55" s="58">
        <v>105.148</v>
      </c>
      <c r="HS55" s="58">
        <v>2977.748</v>
      </c>
      <c r="HT55" s="58">
        <v>1598.1130000000001</v>
      </c>
      <c r="HU55" s="58">
        <v>1379.636</v>
      </c>
      <c r="HV55" s="58">
        <v>2248.8969999999999</v>
      </c>
      <c r="HW55" s="58">
        <v>1382.0219999999999</v>
      </c>
      <c r="HX55" s="58">
        <v>866.87400000000002</v>
      </c>
      <c r="HY55" s="58">
        <v>728.851</v>
      </c>
      <c r="HZ55" s="58">
        <v>216.09</v>
      </c>
      <c r="IA55" s="58">
        <v>512.76099999999997</v>
      </c>
      <c r="IB55" s="58">
        <v>432.62099999999998</v>
      </c>
      <c r="IC55" s="58">
        <v>240.06800000000001</v>
      </c>
      <c r="ID55" s="58">
        <v>192.553</v>
      </c>
      <c r="IE55" s="58">
        <v>65.867000000000004</v>
      </c>
      <c r="IF55" s="58">
        <v>39.709000000000003</v>
      </c>
      <c r="IG55" s="58">
        <v>26.158000000000001</v>
      </c>
      <c r="IH55" s="58">
        <v>31.957999999999998</v>
      </c>
      <c r="II55" s="58">
        <v>23.827000000000002</v>
      </c>
      <c r="IJ55" s="58">
        <v>8.1310000000000002</v>
      </c>
      <c r="IK55" s="58">
        <v>16.640999999999998</v>
      </c>
      <c r="IL55" s="58">
        <v>11.076000000000001</v>
      </c>
      <c r="IM55" s="58">
        <v>5.5650000000000004</v>
      </c>
      <c r="IN55" s="58">
        <v>15.317</v>
      </c>
      <c r="IO55" s="58">
        <v>12.752000000000001</v>
      </c>
      <c r="IP55" s="58">
        <v>2.5659999999999998</v>
      </c>
      <c r="IQ55" s="58">
        <v>33.908999999999999</v>
      </c>
    </row>
    <row r="56" spans="1:251">
      <c r="A56" s="5">
        <v>43191</v>
      </c>
      <c r="B56" s="58">
        <v>12525.912</v>
      </c>
      <c r="C56" s="58">
        <v>6652.335</v>
      </c>
      <c r="D56" s="58">
        <v>5873.5770000000002</v>
      </c>
      <c r="E56" s="58">
        <v>8515.1820000000007</v>
      </c>
      <c r="F56" s="58">
        <v>5391.2849999999999</v>
      </c>
      <c r="G56" s="58">
        <v>3123.8969999999999</v>
      </c>
      <c r="H56" s="58">
        <v>4010.73</v>
      </c>
      <c r="I56" s="58">
        <v>1261.05</v>
      </c>
      <c r="J56" s="58">
        <v>2749.68</v>
      </c>
      <c r="K56" s="58">
        <v>1795.3040000000001</v>
      </c>
      <c r="L56" s="58">
        <v>928.93</v>
      </c>
      <c r="M56" s="58">
        <v>866.37300000000005</v>
      </c>
      <c r="N56" s="58">
        <v>315.68</v>
      </c>
      <c r="O56" s="58">
        <v>176.06899999999999</v>
      </c>
      <c r="P56" s="58">
        <v>139.61000000000001</v>
      </c>
      <c r="Q56" s="58">
        <v>103.098</v>
      </c>
      <c r="R56" s="58">
        <v>79.59</v>
      </c>
      <c r="S56" s="58">
        <v>23.507999999999999</v>
      </c>
      <c r="T56" s="58">
        <v>61.951000000000001</v>
      </c>
      <c r="U56" s="58">
        <v>47.703000000000003</v>
      </c>
      <c r="V56" s="58">
        <v>14.247999999999999</v>
      </c>
      <c r="W56" s="58">
        <v>41.146000000000001</v>
      </c>
      <c r="X56" s="58">
        <v>31.887</v>
      </c>
      <c r="Y56" s="58">
        <v>9.26</v>
      </c>
      <c r="Z56" s="58">
        <v>212.58199999999999</v>
      </c>
      <c r="AA56" s="58">
        <v>96.478999999999999</v>
      </c>
      <c r="AB56" s="58">
        <v>116.102</v>
      </c>
      <c r="AC56" s="58">
        <v>1625.8330000000001</v>
      </c>
      <c r="AD56" s="58">
        <v>832.06299999999999</v>
      </c>
      <c r="AE56" s="58">
        <v>793.77</v>
      </c>
      <c r="AF56" s="58">
        <v>581.79399999999998</v>
      </c>
      <c r="AG56" s="58">
        <v>433.30599999999998</v>
      </c>
      <c r="AH56" s="58">
        <v>148.48699999999999</v>
      </c>
      <c r="AI56" s="58">
        <v>1044.039</v>
      </c>
      <c r="AJ56" s="58">
        <v>398.75599999999997</v>
      </c>
      <c r="AK56" s="58">
        <v>645.28200000000004</v>
      </c>
      <c r="AL56" s="58">
        <v>658.16600000000005</v>
      </c>
      <c r="AM56" s="58">
        <v>491.44600000000003</v>
      </c>
      <c r="AN56" s="58">
        <v>166.72</v>
      </c>
      <c r="AO56" s="58">
        <v>1137.1379999999999</v>
      </c>
      <c r="AP56" s="58">
        <v>437.48500000000001</v>
      </c>
      <c r="AQ56" s="58">
        <v>699.65300000000002</v>
      </c>
      <c r="AR56" s="58">
        <v>1105.99</v>
      </c>
      <c r="AS56" s="58">
        <v>446.459</v>
      </c>
      <c r="AT56" s="58">
        <v>659.53099999999995</v>
      </c>
      <c r="AU56" s="58">
        <v>11996.057000000001</v>
      </c>
      <c r="AV56" s="58">
        <v>6332.5429999999997</v>
      </c>
      <c r="AW56" s="58">
        <v>5663.5140000000001</v>
      </c>
      <c r="AX56" s="58">
        <v>8280.2219999999998</v>
      </c>
      <c r="AY56" s="58">
        <v>5218.5829999999996</v>
      </c>
      <c r="AZ56" s="58">
        <v>3061.6390000000001</v>
      </c>
      <c r="BA56" s="58">
        <v>3715.835</v>
      </c>
      <c r="BB56" s="58">
        <v>1113.96</v>
      </c>
      <c r="BC56" s="58">
        <v>2601.875</v>
      </c>
      <c r="BD56" s="58">
        <v>1744.568</v>
      </c>
      <c r="BE56" s="58">
        <v>900.72199999999998</v>
      </c>
      <c r="BF56" s="58">
        <v>843.84699999999998</v>
      </c>
      <c r="BG56" s="58">
        <v>291.66500000000002</v>
      </c>
      <c r="BH56" s="58">
        <v>162.85400000000001</v>
      </c>
      <c r="BI56" s="58">
        <v>128.81100000000001</v>
      </c>
      <c r="BJ56" s="58">
        <v>98.613</v>
      </c>
      <c r="BK56" s="58">
        <v>76.573999999999998</v>
      </c>
      <c r="BL56" s="58">
        <v>22.04</v>
      </c>
      <c r="BM56" s="58">
        <v>58.500999999999998</v>
      </c>
      <c r="BN56" s="58">
        <v>45.720999999999997</v>
      </c>
      <c r="BO56" s="58">
        <v>12.78</v>
      </c>
      <c r="BP56" s="58">
        <v>40.112000000000002</v>
      </c>
      <c r="BQ56" s="58">
        <v>30.853000000000002</v>
      </c>
      <c r="BR56" s="58">
        <v>9.26</v>
      </c>
      <c r="BS56" s="58">
        <v>193.05099999999999</v>
      </c>
      <c r="BT56" s="58">
        <v>86.28</v>
      </c>
      <c r="BU56" s="58">
        <v>106.771</v>
      </c>
      <c r="BV56" s="58">
        <v>1592.789</v>
      </c>
      <c r="BW56" s="58">
        <v>812.81</v>
      </c>
      <c r="BX56" s="58">
        <v>779.98</v>
      </c>
      <c r="BY56" s="58">
        <v>576.154</v>
      </c>
      <c r="BZ56" s="58">
        <v>428.69799999999998</v>
      </c>
      <c r="CA56" s="58">
        <v>147.45500000000001</v>
      </c>
      <c r="CB56" s="58">
        <v>1016.636</v>
      </c>
      <c r="CC56" s="58">
        <v>384.11200000000002</v>
      </c>
      <c r="CD56" s="58">
        <v>632.524</v>
      </c>
      <c r="CE56" s="58">
        <v>648.06700000000001</v>
      </c>
      <c r="CF56" s="58">
        <v>483.84699999999998</v>
      </c>
      <c r="CG56" s="58">
        <v>164.22</v>
      </c>
      <c r="CH56" s="58">
        <v>1096.501</v>
      </c>
      <c r="CI56" s="58">
        <v>416.87400000000002</v>
      </c>
      <c r="CJ56" s="58">
        <v>679.62699999999995</v>
      </c>
      <c r="CK56" s="58">
        <v>1075.1369999999999</v>
      </c>
      <c r="CL56" s="58">
        <v>429.83300000000003</v>
      </c>
      <c r="CM56" s="58">
        <v>645.30399999999997</v>
      </c>
      <c r="CN56" s="58">
        <v>1922.7429999999999</v>
      </c>
      <c r="CO56" s="58">
        <v>981.83</v>
      </c>
      <c r="CP56" s="58">
        <v>940.91300000000001</v>
      </c>
      <c r="CQ56" s="58">
        <v>855.13</v>
      </c>
      <c r="CR56" s="58">
        <v>529.14400000000001</v>
      </c>
      <c r="CS56" s="58">
        <v>325.98599999999999</v>
      </c>
      <c r="CT56" s="58">
        <v>1067.614</v>
      </c>
      <c r="CU56" s="58">
        <v>452.68599999999998</v>
      </c>
      <c r="CV56" s="58">
        <v>614.928</v>
      </c>
      <c r="CW56" s="58">
        <v>504.09699999999998</v>
      </c>
      <c r="CX56" s="58">
        <v>260.71300000000002</v>
      </c>
      <c r="CY56" s="58">
        <v>243.38499999999999</v>
      </c>
      <c r="CZ56" s="58">
        <v>79.674000000000007</v>
      </c>
      <c r="DA56" s="58">
        <v>39.600999999999999</v>
      </c>
      <c r="DB56" s="58">
        <v>40.073</v>
      </c>
      <c r="DC56" s="58">
        <v>14.625999999999999</v>
      </c>
      <c r="DD56" s="58">
        <v>10.891999999999999</v>
      </c>
      <c r="DE56" s="58">
        <v>3.734</v>
      </c>
      <c r="DF56" s="58">
        <v>10.010999999999999</v>
      </c>
      <c r="DG56" s="58">
        <v>7.2990000000000004</v>
      </c>
      <c r="DH56" s="58">
        <v>2.7130000000000001</v>
      </c>
      <c r="DI56" s="58">
        <v>4.6150000000000002</v>
      </c>
      <c r="DJ56" s="58">
        <v>3.5939999999999999</v>
      </c>
      <c r="DK56" s="58">
        <v>1.0209999999999999</v>
      </c>
      <c r="DL56" s="58">
        <v>65.048000000000002</v>
      </c>
      <c r="DM56" s="58">
        <v>28.709</v>
      </c>
      <c r="DN56" s="58">
        <v>36.338999999999999</v>
      </c>
      <c r="DO56" s="58">
        <v>464.82499999999999</v>
      </c>
      <c r="DP56" s="58">
        <v>239.54400000000001</v>
      </c>
      <c r="DQ56" s="58">
        <v>225.28100000000001</v>
      </c>
      <c r="DR56" s="58">
        <v>100.914</v>
      </c>
      <c r="DS56" s="58">
        <v>74.703000000000003</v>
      </c>
      <c r="DT56" s="58">
        <v>26.210999999999999</v>
      </c>
      <c r="DU56" s="58">
        <v>363.911</v>
      </c>
      <c r="DV56" s="58">
        <v>164.84100000000001</v>
      </c>
      <c r="DW56" s="58">
        <v>199.07</v>
      </c>
      <c r="DX56" s="58">
        <v>110.465</v>
      </c>
      <c r="DY56" s="58">
        <v>82.269000000000005</v>
      </c>
      <c r="DZ56" s="58">
        <v>28.195</v>
      </c>
      <c r="EA56" s="58">
        <v>393.63299999999998</v>
      </c>
      <c r="EB56" s="58">
        <v>178.44300000000001</v>
      </c>
      <c r="EC56" s="58">
        <v>215.18899999999999</v>
      </c>
      <c r="ED56" s="58">
        <v>373.923</v>
      </c>
      <c r="EE56" s="58">
        <v>172.14</v>
      </c>
      <c r="EF56" s="58">
        <v>201.78299999999999</v>
      </c>
      <c r="EG56" s="58">
        <v>696.09500000000003</v>
      </c>
      <c r="EH56" s="58">
        <v>343.32400000000001</v>
      </c>
      <c r="EI56" s="58">
        <v>352.77100000000002</v>
      </c>
      <c r="EJ56" s="58">
        <v>165.26400000000001</v>
      </c>
      <c r="EK56" s="58">
        <v>119.752</v>
      </c>
      <c r="EL56" s="58">
        <v>45.512</v>
      </c>
      <c r="EM56" s="58">
        <v>530.83000000000004</v>
      </c>
      <c r="EN56" s="58">
        <v>223.571</v>
      </c>
      <c r="EO56" s="58">
        <v>307.25900000000001</v>
      </c>
      <c r="EP56" s="58">
        <v>228.53299999999999</v>
      </c>
      <c r="EQ56" s="58">
        <v>116.217</v>
      </c>
      <c r="ER56" s="58">
        <v>112.316</v>
      </c>
      <c r="ES56" s="58">
        <v>39.898000000000003</v>
      </c>
      <c r="ET56" s="58">
        <v>19.526</v>
      </c>
      <c r="EU56" s="58">
        <v>20.372</v>
      </c>
      <c r="EV56" s="58">
        <v>4.4969999999999999</v>
      </c>
      <c r="EW56" s="58">
        <v>3.4260000000000002</v>
      </c>
      <c r="EX56" s="58">
        <v>1.071</v>
      </c>
      <c r="EY56" s="58">
        <v>3.343</v>
      </c>
      <c r="EZ56" s="58">
        <v>2.6829999999999998</v>
      </c>
      <c r="FA56" s="58">
        <v>0.66</v>
      </c>
      <c r="FB56" s="58">
        <v>1.1539999999999999</v>
      </c>
      <c r="FC56" s="58">
        <v>0.74299999999999999</v>
      </c>
      <c r="FD56" s="58">
        <v>0.41099999999999998</v>
      </c>
      <c r="FE56" s="58">
        <v>35.401000000000003</v>
      </c>
      <c r="FF56" s="58">
        <v>16.100999999999999</v>
      </c>
      <c r="FG56" s="58">
        <v>19.300999999999998</v>
      </c>
      <c r="FH56" s="58">
        <v>208.84899999999999</v>
      </c>
      <c r="FI56" s="58">
        <v>105.753</v>
      </c>
      <c r="FJ56" s="58">
        <v>103.096</v>
      </c>
      <c r="FK56" s="58">
        <v>22.119</v>
      </c>
      <c r="FL56" s="58">
        <v>16.074999999999999</v>
      </c>
      <c r="FM56" s="58">
        <v>6.0449999999999999</v>
      </c>
      <c r="FN56" s="58">
        <v>186.73</v>
      </c>
      <c r="FO56" s="58">
        <v>89.679000000000002</v>
      </c>
      <c r="FP56" s="58">
        <v>97.051000000000002</v>
      </c>
      <c r="FQ56" s="58">
        <v>24.803000000000001</v>
      </c>
      <c r="FR56" s="58">
        <v>18.498000000000001</v>
      </c>
      <c r="FS56" s="58">
        <v>6.3049999999999997</v>
      </c>
      <c r="FT56" s="58">
        <v>203.72900000000001</v>
      </c>
      <c r="FU56" s="58">
        <v>97.718999999999994</v>
      </c>
      <c r="FV56" s="58">
        <v>106.01</v>
      </c>
      <c r="FW56" s="58">
        <v>190.07300000000001</v>
      </c>
      <c r="FX56" s="58">
        <v>92.361999999999995</v>
      </c>
      <c r="FY56" s="58">
        <v>97.710999999999999</v>
      </c>
      <c r="FZ56" s="58">
        <v>1226.6489999999999</v>
      </c>
      <c r="GA56" s="58">
        <v>638.50599999999997</v>
      </c>
      <c r="GB56" s="58">
        <v>588.14200000000005</v>
      </c>
      <c r="GC56" s="58">
        <v>689.86500000000001</v>
      </c>
      <c r="GD56" s="58">
        <v>409.392</v>
      </c>
      <c r="GE56" s="58">
        <v>280.47399999999999</v>
      </c>
      <c r="GF56" s="58">
        <v>536.78300000000002</v>
      </c>
      <c r="GG56" s="58">
        <v>229.11500000000001</v>
      </c>
      <c r="GH56" s="58">
        <v>307.66899999999998</v>
      </c>
      <c r="GI56" s="58">
        <v>275.565</v>
      </c>
      <c r="GJ56" s="58">
        <v>144.49600000000001</v>
      </c>
      <c r="GK56" s="58">
        <v>131.06899999999999</v>
      </c>
      <c r="GL56" s="58">
        <v>39.776000000000003</v>
      </c>
      <c r="GM56" s="58">
        <v>20.074999999999999</v>
      </c>
      <c r="GN56" s="58">
        <v>19.701000000000001</v>
      </c>
      <c r="GO56" s="58">
        <v>10.129</v>
      </c>
      <c r="GP56" s="58">
        <v>7.4669999999999996</v>
      </c>
      <c r="GQ56" s="58">
        <v>2.6629999999999998</v>
      </c>
      <c r="GR56" s="58">
        <v>6.6689999999999996</v>
      </c>
      <c r="GS56" s="58">
        <v>4.6159999999999997</v>
      </c>
      <c r="GT56" s="58">
        <v>2.0529999999999999</v>
      </c>
      <c r="GU56" s="58">
        <v>3.4609999999999999</v>
      </c>
      <c r="GV56" s="58">
        <v>2.851</v>
      </c>
      <c r="GW56" s="58">
        <v>0.61</v>
      </c>
      <c r="GX56" s="58">
        <v>29.646999999999998</v>
      </c>
      <c r="GY56" s="58">
        <v>12.608000000000001</v>
      </c>
      <c r="GZ56" s="58">
        <v>17.038</v>
      </c>
      <c r="HA56" s="58">
        <v>255.97499999999999</v>
      </c>
      <c r="HB56" s="58">
        <v>133.791</v>
      </c>
      <c r="HC56" s="58">
        <v>122.185</v>
      </c>
      <c r="HD56" s="58">
        <v>78.793999999999997</v>
      </c>
      <c r="HE56" s="58">
        <v>58.628</v>
      </c>
      <c r="HF56" s="58">
        <v>20.166</v>
      </c>
      <c r="HG56" s="58">
        <v>177.18100000000001</v>
      </c>
      <c r="HH56" s="58">
        <v>75.162999999999997</v>
      </c>
      <c r="HI56" s="58">
        <v>102.01900000000001</v>
      </c>
      <c r="HJ56" s="58">
        <v>85.662000000000006</v>
      </c>
      <c r="HK56" s="58">
        <v>63.771999999999998</v>
      </c>
      <c r="HL56" s="58">
        <v>21.89</v>
      </c>
      <c r="HM56" s="58">
        <v>189.90299999999999</v>
      </c>
      <c r="HN56" s="58">
        <v>80.724000000000004</v>
      </c>
      <c r="HO56" s="58">
        <v>109.179</v>
      </c>
      <c r="HP56" s="58">
        <v>183.85</v>
      </c>
      <c r="HQ56" s="58">
        <v>79.778000000000006</v>
      </c>
      <c r="HR56" s="58">
        <v>104.072</v>
      </c>
      <c r="HS56" s="58">
        <v>2991.8829999999998</v>
      </c>
      <c r="HT56" s="58">
        <v>1609.454</v>
      </c>
      <c r="HU56" s="58">
        <v>1382.4290000000001</v>
      </c>
      <c r="HV56" s="58">
        <v>2276.373</v>
      </c>
      <c r="HW56" s="58">
        <v>1391.0260000000001</v>
      </c>
      <c r="HX56" s="58">
        <v>885.34699999999998</v>
      </c>
      <c r="HY56" s="58">
        <v>715.51099999999997</v>
      </c>
      <c r="HZ56" s="58">
        <v>218.428</v>
      </c>
      <c r="IA56" s="58">
        <v>497.08300000000003</v>
      </c>
      <c r="IB56" s="58">
        <v>431.99799999999999</v>
      </c>
      <c r="IC56" s="58">
        <v>247.89699999999999</v>
      </c>
      <c r="ID56" s="58">
        <v>184.102</v>
      </c>
      <c r="IE56" s="58">
        <v>57.052</v>
      </c>
      <c r="IF56" s="58">
        <v>32.094999999999999</v>
      </c>
      <c r="IG56" s="58">
        <v>24.957000000000001</v>
      </c>
      <c r="IH56" s="58">
        <v>22.888000000000002</v>
      </c>
      <c r="II56" s="58">
        <v>16.945</v>
      </c>
      <c r="IJ56" s="58">
        <v>5.9429999999999996</v>
      </c>
      <c r="IK56" s="58">
        <v>11.31</v>
      </c>
      <c r="IL56" s="58">
        <v>7.0640000000000001</v>
      </c>
      <c r="IM56" s="58">
        <v>4.2460000000000004</v>
      </c>
      <c r="IN56" s="58">
        <v>11.577999999999999</v>
      </c>
      <c r="IO56" s="58">
        <v>9.8810000000000002</v>
      </c>
      <c r="IP56" s="58">
        <v>1.6970000000000001</v>
      </c>
      <c r="IQ56" s="58">
        <v>34.164000000000001</v>
      </c>
    </row>
    <row r="57" spans="1:251">
      <c r="A57" s="5">
        <v>43221</v>
      </c>
      <c r="B57" s="58">
        <v>12572.697</v>
      </c>
      <c r="C57" s="58">
        <v>6665.3850000000002</v>
      </c>
      <c r="D57" s="58">
        <v>5907.3119999999999</v>
      </c>
      <c r="E57" s="58">
        <v>8516.2019999999993</v>
      </c>
      <c r="F57" s="58">
        <v>5400.1540000000005</v>
      </c>
      <c r="G57" s="58">
        <v>3116.0479999999998</v>
      </c>
      <c r="H57" s="58">
        <v>4056.4960000000001</v>
      </c>
      <c r="I57" s="58">
        <v>1265.231</v>
      </c>
      <c r="J57" s="58">
        <v>2791.2640000000001</v>
      </c>
      <c r="K57" s="58">
        <v>1785.89</v>
      </c>
      <c r="L57" s="58">
        <v>928.04100000000005</v>
      </c>
      <c r="M57" s="58">
        <v>857.84799999999996</v>
      </c>
      <c r="N57" s="58">
        <v>349.86700000000002</v>
      </c>
      <c r="O57" s="58">
        <v>198.89400000000001</v>
      </c>
      <c r="P57" s="58">
        <v>150.97300000000001</v>
      </c>
      <c r="Q57" s="58">
        <v>132.68</v>
      </c>
      <c r="R57" s="58">
        <v>104.126</v>
      </c>
      <c r="S57" s="58">
        <v>28.553999999999998</v>
      </c>
      <c r="T57" s="58">
        <v>71.617000000000004</v>
      </c>
      <c r="U57" s="58">
        <v>56.612000000000002</v>
      </c>
      <c r="V57" s="58">
        <v>15.004</v>
      </c>
      <c r="W57" s="58">
        <v>61.064</v>
      </c>
      <c r="X57" s="58">
        <v>47.514000000000003</v>
      </c>
      <c r="Y57" s="58">
        <v>13.55</v>
      </c>
      <c r="Z57" s="58">
        <v>217.18700000000001</v>
      </c>
      <c r="AA57" s="58">
        <v>94.768000000000001</v>
      </c>
      <c r="AB57" s="58">
        <v>122.419</v>
      </c>
      <c r="AC57" s="58">
        <v>1579.557</v>
      </c>
      <c r="AD57" s="58">
        <v>806.63199999999995</v>
      </c>
      <c r="AE57" s="58">
        <v>772.92499999999995</v>
      </c>
      <c r="AF57" s="58">
        <v>549.11</v>
      </c>
      <c r="AG57" s="58">
        <v>414.62700000000001</v>
      </c>
      <c r="AH57" s="58">
        <v>134.483</v>
      </c>
      <c r="AI57" s="58">
        <v>1030.4469999999999</v>
      </c>
      <c r="AJ57" s="58">
        <v>392.005</v>
      </c>
      <c r="AK57" s="58">
        <v>638.44200000000001</v>
      </c>
      <c r="AL57" s="58">
        <v>649.91300000000001</v>
      </c>
      <c r="AM57" s="58">
        <v>492.45699999999999</v>
      </c>
      <c r="AN57" s="58">
        <v>157.45599999999999</v>
      </c>
      <c r="AO57" s="58">
        <v>1135.9770000000001</v>
      </c>
      <c r="AP57" s="58">
        <v>435.584</v>
      </c>
      <c r="AQ57" s="58">
        <v>700.39300000000003</v>
      </c>
      <c r="AR57" s="58">
        <v>1102.0640000000001</v>
      </c>
      <c r="AS57" s="58">
        <v>448.61700000000002</v>
      </c>
      <c r="AT57" s="58">
        <v>653.447</v>
      </c>
      <c r="AU57" s="58">
        <v>12039.328</v>
      </c>
      <c r="AV57" s="58">
        <v>6339.9189999999999</v>
      </c>
      <c r="AW57" s="58">
        <v>5699.4089999999997</v>
      </c>
      <c r="AX57" s="58">
        <v>8278.5</v>
      </c>
      <c r="AY57" s="58">
        <v>5227.2939999999999</v>
      </c>
      <c r="AZ57" s="58">
        <v>3051.2060000000001</v>
      </c>
      <c r="BA57" s="58">
        <v>3760.828</v>
      </c>
      <c r="BB57" s="58">
        <v>1112.625</v>
      </c>
      <c r="BC57" s="58">
        <v>2648.203</v>
      </c>
      <c r="BD57" s="58">
        <v>1734.8440000000001</v>
      </c>
      <c r="BE57" s="58">
        <v>894.17200000000003</v>
      </c>
      <c r="BF57" s="58">
        <v>840.67200000000003</v>
      </c>
      <c r="BG57" s="58">
        <v>321.42599999999999</v>
      </c>
      <c r="BH57" s="58">
        <v>180.24199999999999</v>
      </c>
      <c r="BI57" s="58">
        <v>141.184</v>
      </c>
      <c r="BJ57" s="58">
        <v>126.932</v>
      </c>
      <c r="BK57" s="58">
        <v>98.959000000000003</v>
      </c>
      <c r="BL57" s="58">
        <v>27.972999999999999</v>
      </c>
      <c r="BM57" s="58">
        <v>67.039000000000001</v>
      </c>
      <c r="BN57" s="58">
        <v>52.616</v>
      </c>
      <c r="BO57" s="58">
        <v>14.423</v>
      </c>
      <c r="BP57" s="58">
        <v>59.893000000000001</v>
      </c>
      <c r="BQ57" s="58">
        <v>46.343000000000004</v>
      </c>
      <c r="BR57" s="58">
        <v>13.55</v>
      </c>
      <c r="BS57" s="58">
        <v>194.494</v>
      </c>
      <c r="BT57" s="58">
        <v>81.283000000000001</v>
      </c>
      <c r="BU57" s="58">
        <v>113.211</v>
      </c>
      <c r="BV57" s="58">
        <v>1551.6859999999999</v>
      </c>
      <c r="BW57" s="58">
        <v>787.35599999999999</v>
      </c>
      <c r="BX57" s="58">
        <v>764.33</v>
      </c>
      <c r="BY57" s="58">
        <v>545.03800000000001</v>
      </c>
      <c r="BZ57" s="58">
        <v>410.60199999999998</v>
      </c>
      <c r="CA57" s="58">
        <v>134.43600000000001</v>
      </c>
      <c r="CB57" s="58">
        <v>1006.648</v>
      </c>
      <c r="CC57" s="58">
        <v>376.75400000000002</v>
      </c>
      <c r="CD57" s="58">
        <v>629.89400000000001</v>
      </c>
      <c r="CE57" s="58">
        <v>640.09199999999998</v>
      </c>
      <c r="CF57" s="58">
        <v>483.26499999999999</v>
      </c>
      <c r="CG57" s="58">
        <v>156.827</v>
      </c>
      <c r="CH57" s="58">
        <v>1094.752</v>
      </c>
      <c r="CI57" s="58">
        <v>410.90699999999998</v>
      </c>
      <c r="CJ57" s="58">
        <v>683.84400000000005</v>
      </c>
      <c r="CK57" s="58">
        <v>1073.6869999999999</v>
      </c>
      <c r="CL57" s="58">
        <v>429.37</v>
      </c>
      <c r="CM57" s="58">
        <v>644.31700000000001</v>
      </c>
      <c r="CN57" s="58">
        <v>1940.088</v>
      </c>
      <c r="CO57" s="58">
        <v>977.33500000000004</v>
      </c>
      <c r="CP57" s="58">
        <v>962.75300000000004</v>
      </c>
      <c r="CQ57" s="58">
        <v>841.16300000000001</v>
      </c>
      <c r="CR57" s="58">
        <v>515.77700000000004</v>
      </c>
      <c r="CS57" s="58">
        <v>325.38600000000002</v>
      </c>
      <c r="CT57" s="58">
        <v>1098.925</v>
      </c>
      <c r="CU57" s="58">
        <v>461.55900000000003</v>
      </c>
      <c r="CV57" s="58">
        <v>637.36699999999996</v>
      </c>
      <c r="CW57" s="58">
        <v>503.27800000000002</v>
      </c>
      <c r="CX57" s="58">
        <v>245.768</v>
      </c>
      <c r="CY57" s="58">
        <v>257.51</v>
      </c>
      <c r="CZ57" s="58">
        <v>82.210999999999999</v>
      </c>
      <c r="DA57" s="58">
        <v>38.085999999999999</v>
      </c>
      <c r="DB57" s="58">
        <v>44.124000000000002</v>
      </c>
      <c r="DC57" s="58">
        <v>13.11</v>
      </c>
      <c r="DD57" s="58">
        <v>10.821999999999999</v>
      </c>
      <c r="DE57" s="58">
        <v>2.2879999999999998</v>
      </c>
      <c r="DF57" s="58">
        <v>8.7650000000000006</v>
      </c>
      <c r="DG57" s="58">
        <v>6.8029999999999999</v>
      </c>
      <c r="DH57" s="58">
        <v>1.962</v>
      </c>
      <c r="DI57" s="58">
        <v>4.3449999999999998</v>
      </c>
      <c r="DJ57" s="58">
        <v>4.0190000000000001</v>
      </c>
      <c r="DK57" s="58">
        <v>0.32600000000000001</v>
      </c>
      <c r="DL57" s="58">
        <v>69.100999999999999</v>
      </c>
      <c r="DM57" s="58">
        <v>27.265000000000001</v>
      </c>
      <c r="DN57" s="58">
        <v>41.835999999999999</v>
      </c>
      <c r="DO57" s="58">
        <v>466.33800000000002</v>
      </c>
      <c r="DP57" s="58">
        <v>224.22</v>
      </c>
      <c r="DQ57" s="58">
        <v>242.11799999999999</v>
      </c>
      <c r="DR57" s="58">
        <v>94.638999999999996</v>
      </c>
      <c r="DS57" s="58">
        <v>69.832999999999998</v>
      </c>
      <c r="DT57" s="58">
        <v>24.806000000000001</v>
      </c>
      <c r="DU57" s="58">
        <v>371.69900000000001</v>
      </c>
      <c r="DV57" s="58">
        <v>154.387</v>
      </c>
      <c r="DW57" s="58">
        <v>217.31200000000001</v>
      </c>
      <c r="DX57" s="58">
        <v>105.188</v>
      </c>
      <c r="DY57" s="58">
        <v>78.242999999999995</v>
      </c>
      <c r="DZ57" s="58">
        <v>26.945</v>
      </c>
      <c r="EA57" s="58">
        <v>398.09</v>
      </c>
      <c r="EB57" s="58">
        <v>167.52500000000001</v>
      </c>
      <c r="EC57" s="58">
        <v>230.565</v>
      </c>
      <c r="ED57" s="58">
        <v>380.464</v>
      </c>
      <c r="EE57" s="58">
        <v>161.19</v>
      </c>
      <c r="EF57" s="58">
        <v>219.274</v>
      </c>
      <c r="EG57" s="58">
        <v>697.81</v>
      </c>
      <c r="EH57" s="58">
        <v>334.74700000000001</v>
      </c>
      <c r="EI57" s="58">
        <v>363.06299999999999</v>
      </c>
      <c r="EJ57" s="58">
        <v>166.63300000000001</v>
      </c>
      <c r="EK57" s="58">
        <v>123.828</v>
      </c>
      <c r="EL57" s="58">
        <v>42.805</v>
      </c>
      <c r="EM57" s="58">
        <v>531.17700000000002</v>
      </c>
      <c r="EN57" s="58">
        <v>210.91900000000001</v>
      </c>
      <c r="EO57" s="58">
        <v>320.25799999999998</v>
      </c>
      <c r="EP57" s="58">
        <v>219.34899999999999</v>
      </c>
      <c r="EQ57" s="58">
        <v>98.153999999999996</v>
      </c>
      <c r="ER57" s="58">
        <v>121.19499999999999</v>
      </c>
      <c r="ES57" s="58">
        <v>42.664999999999999</v>
      </c>
      <c r="ET57" s="58">
        <v>18.254000000000001</v>
      </c>
      <c r="EU57" s="58">
        <v>24.411000000000001</v>
      </c>
      <c r="EV57" s="58">
        <v>2.6909999999999998</v>
      </c>
      <c r="EW57" s="58">
        <v>2.3650000000000002</v>
      </c>
      <c r="EX57" s="58">
        <v>0.32600000000000001</v>
      </c>
      <c r="EY57" s="58">
        <v>2.2410000000000001</v>
      </c>
      <c r="EZ57" s="58">
        <v>2.2410000000000001</v>
      </c>
      <c r="FA57" s="58">
        <v>0</v>
      </c>
      <c r="FB57" s="58">
        <v>0.45</v>
      </c>
      <c r="FC57" s="58">
        <v>0.124</v>
      </c>
      <c r="FD57" s="58">
        <v>0.32600000000000001</v>
      </c>
      <c r="FE57" s="58">
        <v>39.972999999999999</v>
      </c>
      <c r="FF57" s="58">
        <v>15.888999999999999</v>
      </c>
      <c r="FG57" s="58">
        <v>24.084</v>
      </c>
      <c r="FH57" s="58">
        <v>203.017</v>
      </c>
      <c r="FI57" s="58">
        <v>90.757999999999996</v>
      </c>
      <c r="FJ57" s="58">
        <v>112.259</v>
      </c>
      <c r="FK57" s="58">
        <v>19.713999999999999</v>
      </c>
      <c r="FL57" s="58">
        <v>16.338999999999999</v>
      </c>
      <c r="FM57" s="58">
        <v>3.375</v>
      </c>
      <c r="FN57" s="58">
        <v>183.303</v>
      </c>
      <c r="FO57" s="58">
        <v>74.418999999999997</v>
      </c>
      <c r="FP57" s="58">
        <v>108.884</v>
      </c>
      <c r="FQ57" s="58">
        <v>21.550999999999998</v>
      </c>
      <c r="FR57" s="58">
        <v>17.849</v>
      </c>
      <c r="FS57" s="58">
        <v>3.7010000000000001</v>
      </c>
      <c r="FT57" s="58">
        <v>197.79900000000001</v>
      </c>
      <c r="FU57" s="58">
        <v>80.305000000000007</v>
      </c>
      <c r="FV57" s="58">
        <v>117.494</v>
      </c>
      <c r="FW57" s="58">
        <v>185.54400000000001</v>
      </c>
      <c r="FX57" s="58">
        <v>76.66</v>
      </c>
      <c r="FY57" s="58">
        <v>108.884</v>
      </c>
      <c r="FZ57" s="58">
        <v>1242.278</v>
      </c>
      <c r="GA57" s="58">
        <v>642.58799999999997</v>
      </c>
      <c r="GB57" s="58">
        <v>599.69000000000005</v>
      </c>
      <c r="GC57" s="58">
        <v>674.53</v>
      </c>
      <c r="GD57" s="58">
        <v>391.94900000000001</v>
      </c>
      <c r="GE57" s="58">
        <v>282.58100000000002</v>
      </c>
      <c r="GF57" s="58">
        <v>567.74800000000005</v>
      </c>
      <c r="GG57" s="58">
        <v>250.63900000000001</v>
      </c>
      <c r="GH57" s="58">
        <v>317.10899999999998</v>
      </c>
      <c r="GI57" s="58">
        <v>283.92899999999997</v>
      </c>
      <c r="GJ57" s="58">
        <v>147.614</v>
      </c>
      <c r="GK57" s="58">
        <v>136.315</v>
      </c>
      <c r="GL57" s="58">
        <v>39.545999999999999</v>
      </c>
      <c r="GM57" s="58">
        <v>19.832000000000001</v>
      </c>
      <c r="GN57" s="58">
        <v>19.713000000000001</v>
      </c>
      <c r="GO57" s="58">
        <v>10.419</v>
      </c>
      <c r="GP57" s="58">
        <v>8.4570000000000007</v>
      </c>
      <c r="GQ57" s="58">
        <v>1.962</v>
      </c>
      <c r="GR57" s="58">
        <v>6.524</v>
      </c>
      <c r="GS57" s="58">
        <v>4.5620000000000003</v>
      </c>
      <c r="GT57" s="58">
        <v>1.962</v>
      </c>
      <c r="GU57" s="58">
        <v>3.895</v>
      </c>
      <c r="GV57" s="58">
        <v>3.895</v>
      </c>
      <c r="GW57" s="58">
        <v>0</v>
      </c>
      <c r="GX57" s="58">
        <v>29.126999999999999</v>
      </c>
      <c r="GY57" s="58">
        <v>11.375999999999999</v>
      </c>
      <c r="GZ57" s="58">
        <v>17.751999999999999</v>
      </c>
      <c r="HA57" s="58">
        <v>263.32100000000003</v>
      </c>
      <c r="HB57" s="58">
        <v>133.46199999999999</v>
      </c>
      <c r="HC57" s="58">
        <v>129.85900000000001</v>
      </c>
      <c r="HD57" s="58">
        <v>74.924999999999997</v>
      </c>
      <c r="HE57" s="58">
        <v>53.494</v>
      </c>
      <c r="HF57" s="58">
        <v>21.431000000000001</v>
      </c>
      <c r="HG57" s="58">
        <v>188.39599999999999</v>
      </c>
      <c r="HH57" s="58">
        <v>79.968000000000004</v>
      </c>
      <c r="HI57" s="58">
        <v>108.428</v>
      </c>
      <c r="HJ57" s="58">
        <v>83.637</v>
      </c>
      <c r="HK57" s="58">
        <v>60.393000000000001</v>
      </c>
      <c r="HL57" s="58">
        <v>23.244</v>
      </c>
      <c r="HM57" s="58">
        <v>200.292</v>
      </c>
      <c r="HN57" s="58">
        <v>87.221000000000004</v>
      </c>
      <c r="HO57" s="58">
        <v>113.071</v>
      </c>
      <c r="HP57" s="58">
        <v>194.92</v>
      </c>
      <c r="HQ57" s="58">
        <v>84.53</v>
      </c>
      <c r="HR57" s="58">
        <v>110.39</v>
      </c>
      <c r="HS57" s="58">
        <v>2969.4140000000002</v>
      </c>
      <c r="HT57" s="58">
        <v>1602.3510000000001</v>
      </c>
      <c r="HU57" s="58">
        <v>1367.0630000000001</v>
      </c>
      <c r="HV57" s="58">
        <v>2243.5320000000002</v>
      </c>
      <c r="HW57" s="58">
        <v>1384.8869999999999</v>
      </c>
      <c r="HX57" s="58">
        <v>858.64499999999998</v>
      </c>
      <c r="HY57" s="58">
        <v>725.88199999999995</v>
      </c>
      <c r="HZ57" s="58">
        <v>217.464</v>
      </c>
      <c r="IA57" s="58">
        <v>508.41800000000001</v>
      </c>
      <c r="IB57" s="58">
        <v>413.15199999999999</v>
      </c>
      <c r="IC57" s="58">
        <v>229.94800000000001</v>
      </c>
      <c r="ID57" s="58">
        <v>183.203</v>
      </c>
      <c r="IE57" s="58">
        <v>60.825000000000003</v>
      </c>
      <c r="IF57" s="58">
        <v>34.304000000000002</v>
      </c>
      <c r="IG57" s="58">
        <v>26.521000000000001</v>
      </c>
      <c r="IH57" s="58">
        <v>31.414999999999999</v>
      </c>
      <c r="II57" s="58">
        <v>22.471</v>
      </c>
      <c r="IJ57" s="58">
        <v>8.9440000000000008</v>
      </c>
      <c r="IK57" s="58">
        <v>13.363</v>
      </c>
      <c r="IL57" s="58">
        <v>10.448</v>
      </c>
      <c r="IM57" s="58">
        <v>2.915</v>
      </c>
      <c r="IN57" s="58">
        <v>18.053000000000001</v>
      </c>
      <c r="IO57" s="58">
        <v>12.023</v>
      </c>
      <c r="IP57" s="58">
        <v>6.0289999999999999</v>
      </c>
      <c r="IQ57" s="58">
        <v>29.408999999999999</v>
      </c>
    </row>
    <row r="58" spans="1:251">
      <c r="A58" s="5">
        <v>43252</v>
      </c>
      <c r="B58" s="58">
        <v>12608.359</v>
      </c>
      <c r="C58" s="58">
        <v>6671.049</v>
      </c>
      <c r="D58" s="58">
        <v>5937.31</v>
      </c>
      <c r="E58" s="58">
        <v>8547.9539999999997</v>
      </c>
      <c r="F58" s="58">
        <v>5412.027</v>
      </c>
      <c r="G58" s="58">
        <v>3135.9270000000001</v>
      </c>
      <c r="H58" s="58">
        <v>4060.4050000000002</v>
      </c>
      <c r="I58" s="58">
        <v>1259.0219999999999</v>
      </c>
      <c r="J58" s="58">
        <v>2801.3829999999998</v>
      </c>
      <c r="K58" s="58">
        <v>1830.0340000000001</v>
      </c>
      <c r="L58" s="58">
        <v>951.42600000000004</v>
      </c>
      <c r="M58" s="58">
        <v>878.60799999999995</v>
      </c>
      <c r="N58" s="58">
        <v>326.36799999999999</v>
      </c>
      <c r="O58" s="58">
        <v>182.72399999999999</v>
      </c>
      <c r="P58" s="58">
        <v>143.64400000000001</v>
      </c>
      <c r="Q58" s="58">
        <v>112.04300000000001</v>
      </c>
      <c r="R58" s="58">
        <v>87.631</v>
      </c>
      <c r="S58" s="58">
        <v>24.411999999999999</v>
      </c>
      <c r="T58" s="58">
        <v>65.009</v>
      </c>
      <c r="U58" s="58">
        <v>47.722000000000001</v>
      </c>
      <c r="V58" s="58">
        <v>17.286999999999999</v>
      </c>
      <c r="W58" s="58">
        <v>47.033999999999999</v>
      </c>
      <c r="X58" s="58">
        <v>39.908999999999999</v>
      </c>
      <c r="Y58" s="58">
        <v>7.125</v>
      </c>
      <c r="Z58" s="58">
        <v>214.32499999999999</v>
      </c>
      <c r="AA58" s="58">
        <v>95.093000000000004</v>
      </c>
      <c r="AB58" s="58">
        <v>119.232</v>
      </c>
      <c r="AC58" s="58">
        <v>1652.124</v>
      </c>
      <c r="AD58" s="58">
        <v>847.88699999999994</v>
      </c>
      <c r="AE58" s="58">
        <v>804.23699999999997</v>
      </c>
      <c r="AF58" s="58">
        <v>578.649</v>
      </c>
      <c r="AG58" s="58">
        <v>435.99799999999999</v>
      </c>
      <c r="AH58" s="58">
        <v>142.65100000000001</v>
      </c>
      <c r="AI58" s="58">
        <v>1073.4749999999999</v>
      </c>
      <c r="AJ58" s="58">
        <v>411.89</v>
      </c>
      <c r="AK58" s="58">
        <v>661.58600000000001</v>
      </c>
      <c r="AL58" s="58">
        <v>661.74099999999999</v>
      </c>
      <c r="AM58" s="58">
        <v>500.60599999999999</v>
      </c>
      <c r="AN58" s="58">
        <v>161.13499999999999</v>
      </c>
      <c r="AO58" s="58">
        <v>1168.2929999999999</v>
      </c>
      <c r="AP58" s="58">
        <v>450.82100000000003</v>
      </c>
      <c r="AQ58" s="58">
        <v>717.47199999999998</v>
      </c>
      <c r="AR58" s="58">
        <v>1138.4839999999999</v>
      </c>
      <c r="AS58" s="58">
        <v>459.61200000000002</v>
      </c>
      <c r="AT58" s="58">
        <v>678.87199999999996</v>
      </c>
      <c r="AU58" s="58">
        <v>12066.096</v>
      </c>
      <c r="AV58" s="58">
        <v>6341.4660000000003</v>
      </c>
      <c r="AW58" s="58">
        <v>5724.63</v>
      </c>
      <c r="AX58" s="58">
        <v>8301.1260000000002</v>
      </c>
      <c r="AY58" s="58">
        <v>5231.3130000000001</v>
      </c>
      <c r="AZ58" s="58">
        <v>3069.8130000000001</v>
      </c>
      <c r="BA58" s="58">
        <v>3764.971</v>
      </c>
      <c r="BB58" s="58">
        <v>1110.153</v>
      </c>
      <c r="BC58" s="58">
        <v>2654.8180000000002</v>
      </c>
      <c r="BD58" s="58">
        <v>1778.789</v>
      </c>
      <c r="BE58" s="58">
        <v>919.65300000000002</v>
      </c>
      <c r="BF58" s="58">
        <v>859.13699999999994</v>
      </c>
      <c r="BG58" s="58">
        <v>305.78699999999998</v>
      </c>
      <c r="BH58" s="58">
        <v>168.48</v>
      </c>
      <c r="BI58" s="58">
        <v>137.30699999999999</v>
      </c>
      <c r="BJ58" s="58">
        <v>109.288</v>
      </c>
      <c r="BK58" s="58">
        <v>84.876000000000005</v>
      </c>
      <c r="BL58" s="58">
        <v>24.411999999999999</v>
      </c>
      <c r="BM58" s="58">
        <v>63.381999999999998</v>
      </c>
      <c r="BN58" s="58">
        <v>46.094999999999999</v>
      </c>
      <c r="BO58" s="58">
        <v>17.286999999999999</v>
      </c>
      <c r="BP58" s="58">
        <v>45.905999999999999</v>
      </c>
      <c r="BQ58" s="58">
        <v>38.780999999999999</v>
      </c>
      <c r="BR58" s="58">
        <v>7.125</v>
      </c>
      <c r="BS58" s="58">
        <v>196.499</v>
      </c>
      <c r="BT58" s="58">
        <v>83.603999999999999</v>
      </c>
      <c r="BU58" s="58">
        <v>112.896</v>
      </c>
      <c r="BV58" s="58">
        <v>1616.0260000000001</v>
      </c>
      <c r="BW58" s="58">
        <v>826.45500000000004</v>
      </c>
      <c r="BX58" s="58">
        <v>789.57</v>
      </c>
      <c r="BY58" s="58">
        <v>572.95500000000004</v>
      </c>
      <c r="BZ58" s="58">
        <v>430.84800000000001</v>
      </c>
      <c r="CA58" s="58">
        <v>142.107</v>
      </c>
      <c r="CB58" s="58">
        <v>1043.0709999999999</v>
      </c>
      <c r="CC58" s="58">
        <v>395.608</v>
      </c>
      <c r="CD58" s="58">
        <v>647.46400000000006</v>
      </c>
      <c r="CE58" s="58">
        <v>653.61699999999996</v>
      </c>
      <c r="CF58" s="58">
        <v>493.02699999999999</v>
      </c>
      <c r="CG58" s="58">
        <v>160.59100000000001</v>
      </c>
      <c r="CH58" s="58">
        <v>1125.172</v>
      </c>
      <c r="CI58" s="58">
        <v>426.62599999999998</v>
      </c>
      <c r="CJ58" s="58">
        <v>698.54600000000005</v>
      </c>
      <c r="CK58" s="58">
        <v>1106.453</v>
      </c>
      <c r="CL58" s="58">
        <v>441.70299999999997</v>
      </c>
      <c r="CM58" s="58">
        <v>664.75</v>
      </c>
      <c r="CN58" s="58">
        <v>1940.43</v>
      </c>
      <c r="CO58" s="58">
        <v>972.17200000000003</v>
      </c>
      <c r="CP58" s="58">
        <v>968.25800000000004</v>
      </c>
      <c r="CQ58" s="58">
        <v>847.94299999999998</v>
      </c>
      <c r="CR58" s="58">
        <v>514.83399999999995</v>
      </c>
      <c r="CS58" s="58">
        <v>333.10899999999998</v>
      </c>
      <c r="CT58" s="58">
        <v>1092.4870000000001</v>
      </c>
      <c r="CU58" s="58">
        <v>457.339</v>
      </c>
      <c r="CV58" s="58">
        <v>635.149</v>
      </c>
      <c r="CW58" s="58">
        <v>519.36</v>
      </c>
      <c r="CX58" s="58">
        <v>261.791</v>
      </c>
      <c r="CY58" s="58">
        <v>257.56900000000002</v>
      </c>
      <c r="CZ58" s="58">
        <v>74.266999999999996</v>
      </c>
      <c r="DA58" s="58">
        <v>37.734999999999999</v>
      </c>
      <c r="DB58" s="58">
        <v>36.531999999999996</v>
      </c>
      <c r="DC58" s="58">
        <v>9.2219999999999995</v>
      </c>
      <c r="DD58" s="58">
        <v>6.9740000000000002</v>
      </c>
      <c r="DE58" s="58">
        <v>2.2480000000000002</v>
      </c>
      <c r="DF58" s="58">
        <v>5.931</v>
      </c>
      <c r="DG58" s="58">
        <v>3.6829999999999998</v>
      </c>
      <c r="DH58" s="58">
        <v>2.2480000000000002</v>
      </c>
      <c r="DI58" s="58">
        <v>3.2909999999999999</v>
      </c>
      <c r="DJ58" s="58">
        <v>3.2909999999999999</v>
      </c>
      <c r="DK58" s="58">
        <v>0</v>
      </c>
      <c r="DL58" s="58">
        <v>65.045000000000002</v>
      </c>
      <c r="DM58" s="58">
        <v>30.762</v>
      </c>
      <c r="DN58" s="58">
        <v>34.283999999999999</v>
      </c>
      <c r="DO58" s="58">
        <v>487.85300000000001</v>
      </c>
      <c r="DP58" s="58">
        <v>244.14500000000001</v>
      </c>
      <c r="DQ58" s="58">
        <v>243.709</v>
      </c>
      <c r="DR58" s="58">
        <v>107.143</v>
      </c>
      <c r="DS58" s="58">
        <v>77.159000000000006</v>
      </c>
      <c r="DT58" s="58">
        <v>29.984000000000002</v>
      </c>
      <c r="DU58" s="58">
        <v>380.71</v>
      </c>
      <c r="DV58" s="58">
        <v>166.98599999999999</v>
      </c>
      <c r="DW58" s="58">
        <v>213.72399999999999</v>
      </c>
      <c r="DX58" s="58">
        <v>112.262</v>
      </c>
      <c r="DY58" s="58">
        <v>81.244</v>
      </c>
      <c r="DZ58" s="58">
        <v>31.018000000000001</v>
      </c>
      <c r="EA58" s="58">
        <v>407.09800000000001</v>
      </c>
      <c r="EB58" s="58">
        <v>180.547</v>
      </c>
      <c r="EC58" s="58">
        <v>226.55099999999999</v>
      </c>
      <c r="ED58" s="58">
        <v>386.64100000000002</v>
      </c>
      <c r="EE58" s="58">
        <v>170.66900000000001</v>
      </c>
      <c r="EF58" s="58">
        <v>215.97300000000001</v>
      </c>
      <c r="EG58" s="58">
        <v>702.03</v>
      </c>
      <c r="EH58" s="58">
        <v>332.74799999999999</v>
      </c>
      <c r="EI58" s="58">
        <v>369.28199999999998</v>
      </c>
      <c r="EJ58" s="58">
        <v>162.96700000000001</v>
      </c>
      <c r="EK58" s="58">
        <v>115.85899999999999</v>
      </c>
      <c r="EL58" s="58">
        <v>47.107999999999997</v>
      </c>
      <c r="EM58" s="58">
        <v>539.06299999999999</v>
      </c>
      <c r="EN58" s="58">
        <v>216.89</v>
      </c>
      <c r="EO58" s="58">
        <v>322.17399999999998</v>
      </c>
      <c r="EP58" s="58">
        <v>229.71199999999999</v>
      </c>
      <c r="EQ58" s="58">
        <v>105.289</v>
      </c>
      <c r="ER58" s="58">
        <v>124.423</v>
      </c>
      <c r="ES58" s="58">
        <v>39.9</v>
      </c>
      <c r="ET58" s="58">
        <v>16.757000000000001</v>
      </c>
      <c r="EU58" s="58">
        <v>23.143000000000001</v>
      </c>
      <c r="EV58" s="58">
        <v>0.34599999999999997</v>
      </c>
      <c r="EW58" s="58">
        <v>0.34599999999999997</v>
      </c>
      <c r="EX58" s="58">
        <v>0</v>
      </c>
      <c r="EY58" s="58">
        <v>0.34599999999999997</v>
      </c>
      <c r="EZ58" s="58">
        <v>0.34599999999999997</v>
      </c>
      <c r="FA58" s="58">
        <v>0</v>
      </c>
      <c r="FB58" s="58">
        <v>0</v>
      </c>
      <c r="FC58" s="58">
        <v>0</v>
      </c>
      <c r="FD58" s="58">
        <v>0</v>
      </c>
      <c r="FE58" s="58">
        <v>39.554000000000002</v>
      </c>
      <c r="FF58" s="58">
        <v>16.41</v>
      </c>
      <c r="FG58" s="58">
        <v>23.143000000000001</v>
      </c>
      <c r="FH58" s="58">
        <v>212.41</v>
      </c>
      <c r="FI58" s="58">
        <v>96.956000000000003</v>
      </c>
      <c r="FJ58" s="58">
        <v>115.45399999999999</v>
      </c>
      <c r="FK58" s="58">
        <v>22.132000000000001</v>
      </c>
      <c r="FL58" s="58">
        <v>15.65</v>
      </c>
      <c r="FM58" s="58">
        <v>6.4829999999999997</v>
      </c>
      <c r="FN58" s="58">
        <v>190.27699999999999</v>
      </c>
      <c r="FO58" s="58">
        <v>81.305999999999997</v>
      </c>
      <c r="FP58" s="58">
        <v>108.971</v>
      </c>
      <c r="FQ58" s="58">
        <v>22.478999999999999</v>
      </c>
      <c r="FR58" s="58">
        <v>15.996</v>
      </c>
      <c r="FS58" s="58">
        <v>6.4829999999999997</v>
      </c>
      <c r="FT58" s="58">
        <v>207.233</v>
      </c>
      <c r="FU58" s="58">
        <v>89.293000000000006</v>
      </c>
      <c r="FV58" s="58">
        <v>117.94</v>
      </c>
      <c r="FW58" s="58">
        <v>190.624</v>
      </c>
      <c r="FX58" s="58">
        <v>81.653000000000006</v>
      </c>
      <c r="FY58" s="58">
        <v>108.971</v>
      </c>
      <c r="FZ58" s="58">
        <v>1238.4000000000001</v>
      </c>
      <c r="GA58" s="58">
        <v>639.42399999999998</v>
      </c>
      <c r="GB58" s="58">
        <v>598.976</v>
      </c>
      <c r="GC58" s="58">
        <v>684.976</v>
      </c>
      <c r="GD58" s="58">
        <v>398.97500000000002</v>
      </c>
      <c r="GE58" s="58">
        <v>286.00099999999998</v>
      </c>
      <c r="GF58" s="58">
        <v>553.42399999999998</v>
      </c>
      <c r="GG58" s="58">
        <v>240.44900000000001</v>
      </c>
      <c r="GH58" s="58">
        <v>312.97500000000002</v>
      </c>
      <c r="GI58" s="58">
        <v>289.64800000000002</v>
      </c>
      <c r="GJ58" s="58">
        <v>156.50200000000001</v>
      </c>
      <c r="GK58" s="58">
        <v>133.14599999999999</v>
      </c>
      <c r="GL58" s="58">
        <v>34.366999999999997</v>
      </c>
      <c r="GM58" s="58">
        <v>20.978999999999999</v>
      </c>
      <c r="GN58" s="58">
        <v>13.388999999999999</v>
      </c>
      <c r="GO58" s="58">
        <v>8.8759999999999994</v>
      </c>
      <c r="GP58" s="58">
        <v>6.6269999999999998</v>
      </c>
      <c r="GQ58" s="58">
        <v>2.2480000000000002</v>
      </c>
      <c r="GR58" s="58">
        <v>5.585</v>
      </c>
      <c r="GS58" s="58">
        <v>3.3359999999999999</v>
      </c>
      <c r="GT58" s="58">
        <v>2.2480000000000002</v>
      </c>
      <c r="GU58" s="58">
        <v>3.2909999999999999</v>
      </c>
      <c r="GV58" s="58">
        <v>3.2909999999999999</v>
      </c>
      <c r="GW58" s="58">
        <v>0</v>
      </c>
      <c r="GX58" s="58">
        <v>25.492000000000001</v>
      </c>
      <c r="GY58" s="58">
        <v>14.351000000000001</v>
      </c>
      <c r="GZ58" s="58">
        <v>11.14</v>
      </c>
      <c r="HA58" s="58">
        <v>275.44400000000002</v>
      </c>
      <c r="HB58" s="58">
        <v>147.18899999999999</v>
      </c>
      <c r="HC58" s="58">
        <v>128.255</v>
      </c>
      <c r="HD58" s="58">
        <v>85.010999999999996</v>
      </c>
      <c r="HE58" s="58">
        <v>61.509</v>
      </c>
      <c r="HF58" s="58">
        <v>23.501000000000001</v>
      </c>
      <c r="HG58" s="58">
        <v>190.43299999999999</v>
      </c>
      <c r="HH58" s="58">
        <v>85.68</v>
      </c>
      <c r="HI58" s="58">
        <v>104.753</v>
      </c>
      <c r="HJ58" s="58">
        <v>89.783000000000001</v>
      </c>
      <c r="HK58" s="58">
        <v>65.248000000000005</v>
      </c>
      <c r="HL58" s="58">
        <v>24.535</v>
      </c>
      <c r="HM58" s="58">
        <v>199.86500000000001</v>
      </c>
      <c r="HN58" s="58">
        <v>91.254000000000005</v>
      </c>
      <c r="HO58" s="58">
        <v>108.611</v>
      </c>
      <c r="HP58" s="58">
        <v>196.018</v>
      </c>
      <c r="HQ58" s="58">
        <v>89.016000000000005</v>
      </c>
      <c r="HR58" s="58">
        <v>107.002</v>
      </c>
      <c r="HS58" s="58">
        <v>2996.7660000000001</v>
      </c>
      <c r="HT58" s="58">
        <v>1602.375</v>
      </c>
      <c r="HU58" s="58">
        <v>1394.3910000000001</v>
      </c>
      <c r="HV58" s="58">
        <v>2261.4360000000001</v>
      </c>
      <c r="HW58" s="58">
        <v>1386.502</v>
      </c>
      <c r="HX58" s="58">
        <v>874.93399999999997</v>
      </c>
      <c r="HY58" s="58">
        <v>735.33</v>
      </c>
      <c r="HZ58" s="58">
        <v>215.87299999999999</v>
      </c>
      <c r="IA58" s="58">
        <v>519.45699999999999</v>
      </c>
      <c r="IB58" s="58">
        <v>427.99599999999998</v>
      </c>
      <c r="IC58" s="58">
        <v>238.99799999999999</v>
      </c>
      <c r="ID58" s="58">
        <v>188.99799999999999</v>
      </c>
      <c r="IE58" s="58">
        <v>62.241999999999997</v>
      </c>
      <c r="IF58" s="58">
        <v>36.012</v>
      </c>
      <c r="IG58" s="58">
        <v>26.23</v>
      </c>
      <c r="IH58" s="58">
        <v>27.866</v>
      </c>
      <c r="II58" s="58">
        <v>20.689</v>
      </c>
      <c r="IJ58" s="58">
        <v>7.1769999999999996</v>
      </c>
      <c r="IK58" s="58">
        <v>17.263999999999999</v>
      </c>
      <c r="IL58" s="58">
        <v>11.976000000000001</v>
      </c>
      <c r="IM58" s="58">
        <v>5.2869999999999999</v>
      </c>
      <c r="IN58" s="58">
        <v>10.603</v>
      </c>
      <c r="IO58" s="58">
        <v>8.7129999999999992</v>
      </c>
      <c r="IP58" s="58">
        <v>1.89</v>
      </c>
      <c r="IQ58" s="58">
        <v>34.375999999999998</v>
      </c>
    </row>
    <row r="59" spans="1:251">
      <c r="A59" s="5">
        <v>43282</v>
      </c>
      <c r="B59" s="58">
        <v>12575.383</v>
      </c>
      <c r="C59" s="58">
        <v>6680.8459999999995</v>
      </c>
      <c r="D59" s="58">
        <v>5894.5370000000003</v>
      </c>
      <c r="E59" s="58">
        <v>8614.2260000000006</v>
      </c>
      <c r="F59" s="58">
        <v>5445.02</v>
      </c>
      <c r="G59" s="58">
        <v>3169.2049999999999</v>
      </c>
      <c r="H59" s="58">
        <v>3961.1579999999999</v>
      </c>
      <c r="I59" s="58">
        <v>1235.826</v>
      </c>
      <c r="J59" s="58">
        <v>2725.3319999999999</v>
      </c>
      <c r="K59" s="58">
        <v>1869.2739999999999</v>
      </c>
      <c r="L59" s="58">
        <v>970.33199999999999</v>
      </c>
      <c r="M59" s="58">
        <v>898.94100000000003</v>
      </c>
      <c r="N59" s="58">
        <v>328.24900000000002</v>
      </c>
      <c r="O59" s="58">
        <v>181.905</v>
      </c>
      <c r="P59" s="58">
        <v>146.34399999999999</v>
      </c>
      <c r="Q59" s="58">
        <v>127.24</v>
      </c>
      <c r="R59" s="58">
        <v>96.063999999999993</v>
      </c>
      <c r="S59" s="58">
        <v>31.177</v>
      </c>
      <c r="T59" s="58">
        <v>71.983000000000004</v>
      </c>
      <c r="U59" s="58">
        <v>52.170999999999999</v>
      </c>
      <c r="V59" s="58">
        <v>19.812999999999999</v>
      </c>
      <c r="W59" s="58">
        <v>55.256999999999998</v>
      </c>
      <c r="X59" s="58">
        <v>43.893000000000001</v>
      </c>
      <c r="Y59" s="58">
        <v>11.364000000000001</v>
      </c>
      <c r="Z59" s="58">
        <v>201.00800000000001</v>
      </c>
      <c r="AA59" s="58">
        <v>85.840999999999994</v>
      </c>
      <c r="AB59" s="58">
        <v>115.167</v>
      </c>
      <c r="AC59" s="58">
        <v>1686.6990000000001</v>
      </c>
      <c r="AD59" s="58">
        <v>865.3</v>
      </c>
      <c r="AE59" s="58">
        <v>821.399</v>
      </c>
      <c r="AF59" s="58">
        <v>640.12199999999996</v>
      </c>
      <c r="AG59" s="58">
        <v>465.392</v>
      </c>
      <c r="AH59" s="58">
        <v>174.73</v>
      </c>
      <c r="AI59" s="58">
        <v>1046.577</v>
      </c>
      <c r="AJ59" s="58">
        <v>399.90800000000002</v>
      </c>
      <c r="AK59" s="58">
        <v>646.66899999999998</v>
      </c>
      <c r="AL59" s="58">
        <v>733.81399999999996</v>
      </c>
      <c r="AM59" s="58">
        <v>535.15499999999997</v>
      </c>
      <c r="AN59" s="58">
        <v>198.66</v>
      </c>
      <c r="AO59" s="58">
        <v>1135.4590000000001</v>
      </c>
      <c r="AP59" s="58">
        <v>435.178</v>
      </c>
      <c r="AQ59" s="58">
        <v>700.28200000000004</v>
      </c>
      <c r="AR59" s="58">
        <v>1118.56</v>
      </c>
      <c r="AS59" s="58">
        <v>452.07900000000001</v>
      </c>
      <c r="AT59" s="58">
        <v>666.48199999999997</v>
      </c>
      <c r="AU59" s="58">
        <v>12032.909</v>
      </c>
      <c r="AV59" s="58">
        <v>6346.7489999999998</v>
      </c>
      <c r="AW59" s="58">
        <v>5686.16</v>
      </c>
      <c r="AX59" s="58">
        <v>8362.69</v>
      </c>
      <c r="AY59" s="58">
        <v>5257.8109999999997</v>
      </c>
      <c r="AZ59" s="58">
        <v>3104.8789999999999</v>
      </c>
      <c r="BA59" s="58">
        <v>3670.2190000000001</v>
      </c>
      <c r="BB59" s="58">
        <v>1088.9380000000001</v>
      </c>
      <c r="BC59" s="58">
        <v>2581.2809999999999</v>
      </c>
      <c r="BD59" s="58">
        <v>1821.441</v>
      </c>
      <c r="BE59" s="58">
        <v>940.45299999999997</v>
      </c>
      <c r="BF59" s="58">
        <v>880.98800000000006</v>
      </c>
      <c r="BG59" s="58">
        <v>307.66199999999998</v>
      </c>
      <c r="BH59" s="58">
        <v>165.511</v>
      </c>
      <c r="BI59" s="58">
        <v>142.15100000000001</v>
      </c>
      <c r="BJ59" s="58">
        <v>122.05200000000001</v>
      </c>
      <c r="BK59" s="58">
        <v>90.875</v>
      </c>
      <c r="BL59" s="58">
        <v>31.177</v>
      </c>
      <c r="BM59" s="58">
        <v>67.742999999999995</v>
      </c>
      <c r="BN59" s="58">
        <v>47.93</v>
      </c>
      <c r="BO59" s="58">
        <v>19.812999999999999</v>
      </c>
      <c r="BP59" s="58">
        <v>54.308999999999997</v>
      </c>
      <c r="BQ59" s="58">
        <v>42.945</v>
      </c>
      <c r="BR59" s="58">
        <v>11.364000000000001</v>
      </c>
      <c r="BS59" s="58">
        <v>185.61</v>
      </c>
      <c r="BT59" s="58">
        <v>74.635999999999996</v>
      </c>
      <c r="BU59" s="58">
        <v>110.97499999999999</v>
      </c>
      <c r="BV59" s="58">
        <v>1653.6780000000001</v>
      </c>
      <c r="BW59" s="58">
        <v>846.89800000000002</v>
      </c>
      <c r="BX59" s="58">
        <v>806.78</v>
      </c>
      <c r="BY59" s="58">
        <v>633.66200000000003</v>
      </c>
      <c r="BZ59" s="58">
        <v>460.51799999999997</v>
      </c>
      <c r="CA59" s="58">
        <v>173.14400000000001</v>
      </c>
      <c r="CB59" s="58">
        <v>1020.016</v>
      </c>
      <c r="CC59" s="58">
        <v>386.38</v>
      </c>
      <c r="CD59" s="58">
        <v>633.63599999999997</v>
      </c>
      <c r="CE59" s="58">
        <v>723.99300000000005</v>
      </c>
      <c r="CF59" s="58">
        <v>526.91999999999996</v>
      </c>
      <c r="CG59" s="58">
        <v>197.07400000000001</v>
      </c>
      <c r="CH59" s="58">
        <v>1097.4480000000001</v>
      </c>
      <c r="CI59" s="58">
        <v>413.53300000000002</v>
      </c>
      <c r="CJ59" s="58">
        <v>683.91399999999999</v>
      </c>
      <c r="CK59" s="58">
        <v>1087.759</v>
      </c>
      <c r="CL59" s="58">
        <v>434.31</v>
      </c>
      <c r="CM59" s="58">
        <v>653.44899999999996</v>
      </c>
      <c r="CN59" s="58">
        <v>1928.105</v>
      </c>
      <c r="CO59" s="58">
        <v>981.11400000000003</v>
      </c>
      <c r="CP59" s="58">
        <v>946.99099999999999</v>
      </c>
      <c r="CQ59" s="58">
        <v>897.779</v>
      </c>
      <c r="CR59" s="58">
        <v>539.952</v>
      </c>
      <c r="CS59" s="58">
        <v>357.827</v>
      </c>
      <c r="CT59" s="58">
        <v>1030.325</v>
      </c>
      <c r="CU59" s="58">
        <v>441.16199999999998</v>
      </c>
      <c r="CV59" s="58">
        <v>589.16300000000001</v>
      </c>
      <c r="CW59" s="58">
        <v>523.02099999999996</v>
      </c>
      <c r="CX59" s="58">
        <v>262.62599999999998</v>
      </c>
      <c r="CY59" s="58">
        <v>260.39499999999998</v>
      </c>
      <c r="CZ59" s="58">
        <v>72.200999999999993</v>
      </c>
      <c r="DA59" s="58">
        <v>34.003999999999998</v>
      </c>
      <c r="DB59" s="58">
        <v>38.197000000000003</v>
      </c>
      <c r="DC59" s="58">
        <v>11.968999999999999</v>
      </c>
      <c r="DD59" s="58">
        <v>6.6079999999999997</v>
      </c>
      <c r="DE59" s="58">
        <v>5.3609999999999998</v>
      </c>
      <c r="DF59" s="58">
        <v>7.226</v>
      </c>
      <c r="DG59" s="58">
        <v>4.0529999999999999</v>
      </c>
      <c r="DH59" s="58">
        <v>3.173</v>
      </c>
      <c r="DI59" s="58">
        <v>4.742</v>
      </c>
      <c r="DJ59" s="58">
        <v>2.5550000000000002</v>
      </c>
      <c r="DK59" s="58">
        <v>2.1869999999999998</v>
      </c>
      <c r="DL59" s="58">
        <v>60.231999999999999</v>
      </c>
      <c r="DM59" s="58">
        <v>27.396000000000001</v>
      </c>
      <c r="DN59" s="58">
        <v>32.835999999999999</v>
      </c>
      <c r="DO59" s="58">
        <v>494.66300000000001</v>
      </c>
      <c r="DP59" s="58">
        <v>249.697</v>
      </c>
      <c r="DQ59" s="58">
        <v>244.96600000000001</v>
      </c>
      <c r="DR59" s="58">
        <v>118.387</v>
      </c>
      <c r="DS59" s="58">
        <v>84.632999999999996</v>
      </c>
      <c r="DT59" s="58">
        <v>33.753999999999998</v>
      </c>
      <c r="DU59" s="58">
        <v>376.27600000000001</v>
      </c>
      <c r="DV59" s="58">
        <v>165.06399999999999</v>
      </c>
      <c r="DW59" s="58">
        <v>211.21199999999999</v>
      </c>
      <c r="DX59" s="58">
        <v>126.521</v>
      </c>
      <c r="DY59" s="58">
        <v>88.67</v>
      </c>
      <c r="DZ59" s="58">
        <v>37.850999999999999</v>
      </c>
      <c r="EA59" s="58">
        <v>396.5</v>
      </c>
      <c r="EB59" s="58">
        <v>173.95699999999999</v>
      </c>
      <c r="EC59" s="58">
        <v>222.54400000000001</v>
      </c>
      <c r="ED59" s="58">
        <v>383.50200000000001</v>
      </c>
      <c r="EE59" s="58">
        <v>169.11699999999999</v>
      </c>
      <c r="EF59" s="58">
        <v>214.386</v>
      </c>
      <c r="EG59" s="58">
        <v>688.97500000000002</v>
      </c>
      <c r="EH59" s="58">
        <v>334.55399999999997</v>
      </c>
      <c r="EI59" s="58">
        <v>354.42099999999999</v>
      </c>
      <c r="EJ59" s="58">
        <v>180.53100000000001</v>
      </c>
      <c r="EK59" s="58">
        <v>125.41</v>
      </c>
      <c r="EL59" s="58">
        <v>55.121000000000002</v>
      </c>
      <c r="EM59" s="58">
        <v>508.44400000000002</v>
      </c>
      <c r="EN59" s="58">
        <v>209.14400000000001</v>
      </c>
      <c r="EO59" s="58">
        <v>299.3</v>
      </c>
      <c r="EP59" s="58">
        <v>224.02600000000001</v>
      </c>
      <c r="EQ59" s="58">
        <v>107.59</v>
      </c>
      <c r="ER59" s="58">
        <v>116.43600000000001</v>
      </c>
      <c r="ES59" s="58">
        <v>31.422000000000001</v>
      </c>
      <c r="ET59" s="58">
        <v>16.413</v>
      </c>
      <c r="EU59" s="58">
        <v>15.009</v>
      </c>
      <c r="EV59" s="58">
        <v>2.4020000000000001</v>
      </c>
      <c r="EW59" s="58">
        <v>1.645</v>
      </c>
      <c r="EX59" s="58">
        <v>0.75700000000000001</v>
      </c>
      <c r="EY59" s="58">
        <v>1.645</v>
      </c>
      <c r="EZ59" s="58">
        <v>1.645</v>
      </c>
      <c r="FA59" s="58">
        <v>0</v>
      </c>
      <c r="FB59" s="58">
        <v>0.75700000000000001</v>
      </c>
      <c r="FC59" s="58">
        <v>0</v>
      </c>
      <c r="FD59" s="58">
        <v>0.75700000000000001</v>
      </c>
      <c r="FE59" s="58">
        <v>29.02</v>
      </c>
      <c r="FF59" s="58">
        <v>14.768000000000001</v>
      </c>
      <c r="FG59" s="58">
        <v>14.252000000000001</v>
      </c>
      <c r="FH59" s="58">
        <v>212.846</v>
      </c>
      <c r="FI59" s="58">
        <v>102.93</v>
      </c>
      <c r="FJ59" s="58">
        <v>109.91500000000001</v>
      </c>
      <c r="FK59" s="58">
        <v>26.992999999999999</v>
      </c>
      <c r="FL59" s="58">
        <v>20.149999999999999</v>
      </c>
      <c r="FM59" s="58">
        <v>6.843</v>
      </c>
      <c r="FN59" s="58">
        <v>185.85300000000001</v>
      </c>
      <c r="FO59" s="58">
        <v>82.781000000000006</v>
      </c>
      <c r="FP59" s="58">
        <v>103.07299999999999</v>
      </c>
      <c r="FQ59" s="58">
        <v>28.329000000000001</v>
      </c>
      <c r="FR59" s="58">
        <v>20.728999999999999</v>
      </c>
      <c r="FS59" s="58">
        <v>7.6</v>
      </c>
      <c r="FT59" s="58">
        <v>195.697</v>
      </c>
      <c r="FU59" s="58">
        <v>86.861000000000004</v>
      </c>
      <c r="FV59" s="58">
        <v>108.836</v>
      </c>
      <c r="FW59" s="58">
        <v>187.49799999999999</v>
      </c>
      <c r="FX59" s="58">
        <v>84.424999999999997</v>
      </c>
      <c r="FY59" s="58">
        <v>103.07299999999999</v>
      </c>
      <c r="FZ59" s="58">
        <v>1239.1300000000001</v>
      </c>
      <c r="GA59" s="58">
        <v>646.56100000000004</v>
      </c>
      <c r="GB59" s="58">
        <v>592.56899999999996</v>
      </c>
      <c r="GC59" s="58">
        <v>717.24800000000005</v>
      </c>
      <c r="GD59" s="58">
        <v>414.54199999999997</v>
      </c>
      <c r="GE59" s="58">
        <v>302.70600000000002</v>
      </c>
      <c r="GF59" s="58">
        <v>521.88199999999995</v>
      </c>
      <c r="GG59" s="58">
        <v>232.018</v>
      </c>
      <c r="GH59" s="58">
        <v>289.86399999999998</v>
      </c>
      <c r="GI59" s="58">
        <v>298.995</v>
      </c>
      <c r="GJ59" s="58">
        <v>155.036</v>
      </c>
      <c r="GK59" s="58">
        <v>143.958</v>
      </c>
      <c r="GL59" s="58">
        <v>40.779000000000003</v>
      </c>
      <c r="GM59" s="58">
        <v>17.591000000000001</v>
      </c>
      <c r="GN59" s="58">
        <v>23.187999999999999</v>
      </c>
      <c r="GO59" s="58">
        <v>9.5670000000000002</v>
      </c>
      <c r="GP59" s="58">
        <v>4.9630000000000001</v>
      </c>
      <c r="GQ59" s="58">
        <v>4.6040000000000001</v>
      </c>
      <c r="GR59" s="58">
        <v>5.5810000000000004</v>
      </c>
      <c r="GS59" s="58">
        <v>2.4079999999999999</v>
      </c>
      <c r="GT59" s="58">
        <v>3.173</v>
      </c>
      <c r="GU59" s="58">
        <v>3.9849999999999999</v>
      </c>
      <c r="GV59" s="58">
        <v>2.5550000000000002</v>
      </c>
      <c r="GW59" s="58">
        <v>1.43</v>
      </c>
      <c r="GX59" s="58">
        <v>31.212</v>
      </c>
      <c r="GY59" s="58">
        <v>12.628</v>
      </c>
      <c r="GZ59" s="58">
        <v>18.584</v>
      </c>
      <c r="HA59" s="58">
        <v>281.81700000000001</v>
      </c>
      <c r="HB59" s="58">
        <v>146.76599999999999</v>
      </c>
      <c r="HC59" s="58">
        <v>135.05099999999999</v>
      </c>
      <c r="HD59" s="58">
        <v>91.394000000000005</v>
      </c>
      <c r="HE59" s="58">
        <v>64.483000000000004</v>
      </c>
      <c r="HF59" s="58">
        <v>26.911000000000001</v>
      </c>
      <c r="HG59" s="58">
        <v>190.423</v>
      </c>
      <c r="HH59" s="58">
        <v>82.283000000000001</v>
      </c>
      <c r="HI59" s="58">
        <v>108.14</v>
      </c>
      <c r="HJ59" s="58">
        <v>98.191999999999993</v>
      </c>
      <c r="HK59" s="58">
        <v>67.941000000000003</v>
      </c>
      <c r="HL59" s="58">
        <v>30.251000000000001</v>
      </c>
      <c r="HM59" s="58">
        <v>200.803</v>
      </c>
      <c r="HN59" s="58">
        <v>87.094999999999999</v>
      </c>
      <c r="HO59" s="58">
        <v>113.70699999999999</v>
      </c>
      <c r="HP59" s="58">
        <v>196.00399999999999</v>
      </c>
      <c r="HQ59" s="58">
        <v>84.691000000000003</v>
      </c>
      <c r="HR59" s="58">
        <v>111.313</v>
      </c>
      <c r="HS59" s="58">
        <v>2990.5770000000002</v>
      </c>
      <c r="HT59" s="58">
        <v>1604.7570000000001</v>
      </c>
      <c r="HU59" s="58">
        <v>1385.819</v>
      </c>
      <c r="HV59" s="58">
        <v>2282.846</v>
      </c>
      <c r="HW59" s="58">
        <v>1393.7280000000001</v>
      </c>
      <c r="HX59" s="58">
        <v>889.11699999999996</v>
      </c>
      <c r="HY59" s="58">
        <v>707.73099999999999</v>
      </c>
      <c r="HZ59" s="58">
        <v>211.029</v>
      </c>
      <c r="IA59" s="58">
        <v>496.702</v>
      </c>
      <c r="IB59" s="58">
        <v>447.16500000000002</v>
      </c>
      <c r="IC59" s="58">
        <v>254.477</v>
      </c>
      <c r="ID59" s="58">
        <v>192.68799999999999</v>
      </c>
      <c r="IE59" s="58">
        <v>69.498999999999995</v>
      </c>
      <c r="IF59" s="58">
        <v>37.088999999999999</v>
      </c>
      <c r="IG59" s="58">
        <v>32.408999999999999</v>
      </c>
      <c r="IH59" s="58">
        <v>35.454999999999998</v>
      </c>
      <c r="II59" s="58">
        <v>25.238</v>
      </c>
      <c r="IJ59" s="58">
        <v>10.215999999999999</v>
      </c>
      <c r="IK59" s="58">
        <v>17.803999999999998</v>
      </c>
      <c r="IL59" s="58">
        <v>13.295</v>
      </c>
      <c r="IM59" s="58">
        <v>4.5090000000000003</v>
      </c>
      <c r="IN59" s="58">
        <v>17.651</v>
      </c>
      <c r="IO59" s="58">
        <v>11.943</v>
      </c>
      <c r="IP59" s="58">
        <v>5.7080000000000002</v>
      </c>
      <c r="IQ59" s="58">
        <v>34.043999999999997</v>
      </c>
    </row>
    <row r="60" spans="1:251">
      <c r="A60" s="5">
        <v>43313</v>
      </c>
      <c r="B60" s="58">
        <v>12547.538</v>
      </c>
      <c r="C60" s="58">
        <v>6669.1189999999997</v>
      </c>
      <c r="D60" s="58">
        <v>5878.4189999999999</v>
      </c>
      <c r="E60" s="58">
        <v>8561.2260000000006</v>
      </c>
      <c r="F60" s="58">
        <v>5420.4690000000001</v>
      </c>
      <c r="G60" s="58">
        <v>3140.7559999999999</v>
      </c>
      <c r="H60" s="58">
        <v>3986.3119999999999</v>
      </c>
      <c r="I60" s="58">
        <v>1248.6489999999999</v>
      </c>
      <c r="J60" s="58">
        <v>2737.663</v>
      </c>
      <c r="K60" s="58">
        <v>1796.913</v>
      </c>
      <c r="L60" s="58">
        <v>931.08</v>
      </c>
      <c r="M60" s="58">
        <v>865.83399999999995</v>
      </c>
      <c r="N60" s="58">
        <v>346.452</v>
      </c>
      <c r="O60" s="58">
        <v>196.88200000000001</v>
      </c>
      <c r="P60" s="58">
        <v>149.56899999999999</v>
      </c>
      <c r="Q60" s="58">
        <v>138.50399999999999</v>
      </c>
      <c r="R60" s="58">
        <v>105.69199999999999</v>
      </c>
      <c r="S60" s="58">
        <v>32.811999999999998</v>
      </c>
      <c r="T60" s="58">
        <v>69.295000000000002</v>
      </c>
      <c r="U60" s="58">
        <v>51.392000000000003</v>
      </c>
      <c r="V60" s="58">
        <v>17.902999999999999</v>
      </c>
      <c r="W60" s="58">
        <v>69.209000000000003</v>
      </c>
      <c r="X60" s="58">
        <v>54.3</v>
      </c>
      <c r="Y60" s="58">
        <v>14.909000000000001</v>
      </c>
      <c r="Z60" s="58">
        <v>207.947</v>
      </c>
      <c r="AA60" s="58">
        <v>91.19</v>
      </c>
      <c r="AB60" s="58">
        <v>116.75700000000001</v>
      </c>
      <c r="AC60" s="58">
        <v>1599.211</v>
      </c>
      <c r="AD60" s="58">
        <v>813.37800000000004</v>
      </c>
      <c r="AE60" s="58">
        <v>785.83199999999999</v>
      </c>
      <c r="AF60" s="58">
        <v>604.596</v>
      </c>
      <c r="AG60" s="58">
        <v>450.54899999999998</v>
      </c>
      <c r="AH60" s="58">
        <v>154.048</v>
      </c>
      <c r="AI60" s="58">
        <v>994.61400000000003</v>
      </c>
      <c r="AJ60" s="58">
        <v>362.82900000000001</v>
      </c>
      <c r="AK60" s="58">
        <v>631.78499999999997</v>
      </c>
      <c r="AL60" s="58">
        <v>709.76800000000003</v>
      </c>
      <c r="AM60" s="58">
        <v>528.495</v>
      </c>
      <c r="AN60" s="58">
        <v>181.274</v>
      </c>
      <c r="AO60" s="58">
        <v>1087.145</v>
      </c>
      <c r="AP60" s="58">
        <v>402.58499999999998</v>
      </c>
      <c r="AQ60" s="58">
        <v>684.56</v>
      </c>
      <c r="AR60" s="58">
        <v>1063.9090000000001</v>
      </c>
      <c r="AS60" s="58">
        <v>414.221</v>
      </c>
      <c r="AT60" s="58">
        <v>649.68799999999999</v>
      </c>
      <c r="AU60" s="58">
        <v>12002.898999999999</v>
      </c>
      <c r="AV60" s="58">
        <v>6328.5789999999997</v>
      </c>
      <c r="AW60" s="58">
        <v>5674.32</v>
      </c>
      <c r="AX60" s="58">
        <v>8311.4210000000003</v>
      </c>
      <c r="AY60" s="58">
        <v>5233.4709999999995</v>
      </c>
      <c r="AZ60" s="58">
        <v>3077.95</v>
      </c>
      <c r="BA60" s="58">
        <v>3691.4780000000001</v>
      </c>
      <c r="BB60" s="58">
        <v>1095.1079999999999</v>
      </c>
      <c r="BC60" s="58">
        <v>2596.37</v>
      </c>
      <c r="BD60" s="58">
        <v>1741.172</v>
      </c>
      <c r="BE60" s="58">
        <v>896.73699999999997</v>
      </c>
      <c r="BF60" s="58">
        <v>844.43499999999995</v>
      </c>
      <c r="BG60" s="58">
        <v>320.82100000000003</v>
      </c>
      <c r="BH60" s="58">
        <v>179.64400000000001</v>
      </c>
      <c r="BI60" s="58">
        <v>141.17699999999999</v>
      </c>
      <c r="BJ60" s="58">
        <v>132.65100000000001</v>
      </c>
      <c r="BK60" s="58">
        <v>100.679</v>
      </c>
      <c r="BL60" s="58">
        <v>31.972000000000001</v>
      </c>
      <c r="BM60" s="58">
        <v>65.09</v>
      </c>
      <c r="BN60" s="58">
        <v>48.027000000000001</v>
      </c>
      <c r="BO60" s="58">
        <v>17.062999999999999</v>
      </c>
      <c r="BP60" s="58">
        <v>67.561000000000007</v>
      </c>
      <c r="BQ60" s="58">
        <v>52.652000000000001</v>
      </c>
      <c r="BR60" s="58">
        <v>14.909000000000001</v>
      </c>
      <c r="BS60" s="58">
        <v>188.17</v>
      </c>
      <c r="BT60" s="58">
        <v>78.965000000000003</v>
      </c>
      <c r="BU60" s="58">
        <v>109.205</v>
      </c>
      <c r="BV60" s="58">
        <v>1562.5050000000001</v>
      </c>
      <c r="BW60" s="58">
        <v>791.91300000000001</v>
      </c>
      <c r="BX60" s="58">
        <v>770.59299999999996</v>
      </c>
      <c r="BY60" s="58">
        <v>596.70799999999997</v>
      </c>
      <c r="BZ60" s="58">
        <v>443.84199999999998</v>
      </c>
      <c r="CA60" s="58">
        <v>152.86600000000001</v>
      </c>
      <c r="CB60" s="58">
        <v>965.798</v>
      </c>
      <c r="CC60" s="58">
        <v>348.07100000000003</v>
      </c>
      <c r="CD60" s="58">
        <v>617.72699999999998</v>
      </c>
      <c r="CE60" s="58">
        <v>697.59100000000001</v>
      </c>
      <c r="CF60" s="58">
        <v>518.33900000000006</v>
      </c>
      <c r="CG60" s="58">
        <v>179.25200000000001</v>
      </c>
      <c r="CH60" s="58">
        <v>1043.5809999999999</v>
      </c>
      <c r="CI60" s="58">
        <v>378.39800000000002</v>
      </c>
      <c r="CJ60" s="58">
        <v>665.18299999999999</v>
      </c>
      <c r="CK60" s="58">
        <v>1030.8879999999999</v>
      </c>
      <c r="CL60" s="58">
        <v>396.09800000000001</v>
      </c>
      <c r="CM60" s="58">
        <v>634.79</v>
      </c>
      <c r="CN60" s="58">
        <v>1891.3119999999999</v>
      </c>
      <c r="CO60" s="58">
        <v>959.19</v>
      </c>
      <c r="CP60" s="58">
        <v>932.12199999999996</v>
      </c>
      <c r="CQ60" s="58">
        <v>824.38300000000004</v>
      </c>
      <c r="CR60" s="58">
        <v>510.678</v>
      </c>
      <c r="CS60" s="58">
        <v>313.70600000000002</v>
      </c>
      <c r="CT60" s="58">
        <v>1066.9290000000001</v>
      </c>
      <c r="CU60" s="58">
        <v>448.51299999999998</v>
      </c>
      <c r="CV60" s="58">
        <v>618.41600000000005</v>
      </c>
      <c r="CW60" s="58">
        <v>496.12400000000002</v>
      </c>
      <c r="CX60" s="58">
        <v>248.405</v>
      </c>
      <c r="CY60" s="58">
        <v>247.71899999999999</v>
      </c>
      <c r="CZ60" s="58">
        <v>88.870999999999995</v>
      </c>
      <c r="DA60" s="58">
        <v>47.319000000000003</v>
      </c>
      <c r="DB60" s="58">
        <v>41.552</v>
      </c>
      <c r="DC60" s="58">
        <v>20.556999999999999</v>
      </c>
      <c r="DD60" s="58">
        <v>15.676</v>
      </c>
      <c r="DE60" s="58">
        <v>4.8810000000000002</v>
      </c>
      <c r="DF60" s="58">
        <v>13.946999999999999</v>
      </c>
      <c r="DG60" s="58">
        <v>11.04</v>
      </c>
      <c r="DH60" s="58">
        <v>2.907</v>
      </c>
      <c r="DI60" s="58">
        <v>6.61</v>
      </c>
      <c r="DJ60" s="58">
        <v>4.6360000000000001</v>
      </c>
      <c r="DK60" s="58">
        <v>1.974</v>
      </c>
      <c r="DL60" s="58">
        <v>68.313999999999993</v>
      </c>
      <c r="DM60" s="58">
        <v>31.641999999999999</v>
      </c>
      <c r="DN60" s="58">
        <v>36.670999999999999</v>
      </c>
      <c r="DO60" s="58">
        <v>452.005</v>
      </c>
      <c r="DP60" s="58">
        <v>223.73599999999999</v>
      </c>
      <c r="DQ60" s="58">
        <v>228.26900000000001</v>
      </c>
      <c r="DR60" s="58">
        <v>104.12</v>
      </c>
      <c r="DS60" s="58">
        <v>75.454999999999998</v>
      </c>
      <c r="DT60" s="58">
        <v>28.664999999999999</v>
      </c>
      <c r="DU60" s="58">
        <v>347.88499999999999</v>
      </c>
      <c r="DV60" s="58">
        <v>148.28100000000001</v>
      </c>
      <c r="DW60" s="58">
        <v>199.60400000000001</v>
      </c>
      <c r="DX60" s="58">
        <v>119.081</v>
      </c>
      <c r="DY60" s="58">
        <v>86.572999999999993</v>
      </c>
      <c r="DZ60" s="58">
        <v>32.506999999999998</v>
      </c>
      <c r="EA60" s="58">
        <v>377.04300000000001</v>
      </c>
      <c r="EB60" s="58">
        <v>161.83099999999999</v>
      </c>
      <c r="EC60" s="58">
        <v>215.21100000000001</v>
      </c>
      <c r="ED60" s="58">
        <v>361.83199999999999</v>
      </c>
      <c r="EE60" s="58">
        <v>159.321</v>
      </c>
      <c r="EF60" s="58">
        <v>202.511</v>
      </c>
      <c r="EG60" s="58">
        <v>673.79100000000005</v>
      </c>
      <c r="EH60" s="58">
        <v>323.34199999999998</v>
      </c>
      <c r="EI60" s="58">
        <v>350.44900000000001</v>
      </c>
      <c r="EJ60" s="58">
        <v>157.51900000000001</v>
      </c>
      <c r="EK60" s="58">
        <v>112.003</v>
      </c>
      <c r="EL60" s="58">
        <v>45.515999999999998</v>
      </c>
      <c r="EM60" s="58">
        <v>516.27200000000005</v>
      </c>
      <c r="EN60" s="58">
        <v>211.339</v>
      </c>
      <c r="EO60" s="58">
        <v>304.93200000000002</v>
      </c>
      <c r="EP60" s="58">
        <v>211.696</v>
      </c>
      <c r="EQ60" s="58">
        <v>94.501999999999995</v>
      </c>
      <c r="ER60" s="58">
        <v>117.194</v>
      </c>
      <c r="ES60" s="58">
        <v>37.225000000000001</v>
      </c>
      <c r="ET60" s="58">
        <v>18.300999999999998</v>
      </c>
      <c r="EU60" s="58">
        <v>18.922999999999998</v>
      </c>
      <c r="EV60" s="58">
        <v>2.556</v>
      </c>
      <c r="EW60" s="58">
        <v>2.1070000000000002</v>
      </c>
      <c r="EX60" s="58">
        <v>0.44900000000000001</v>
      </c>
      <c r="EY60" s="58">
        <v>1.381</v>
      </c>
      <c r="EZ60" s="58">
        <v>0.93200000000000005</v>
      </c>
      <c r="FA60" s="58">
        <v>0.44900000000000001</v>
      </c>
      <c r="FB60" s="58">
        <v>1.175</v>
      </c>
      <c r="FC60" s="58">
        <v>1.175</v>
      </c>
      <c r="FD60" s="58">
        <v>0</v>
      </c>
      <c r="FE60" s="58">
        <v>34.668999999999997</v>
      </c>
      <c r="FF60" s="58">
        <v>16.195</v>
      </c>
      <c r="FG60" s="58">
        <v>18.474</v>
      </c>
      <c r="FH60" s="58">
        <v>193.273</v>
      </c>
      <c r="FI60" s="58">
        <v>86.16</v>
      </c>
      <c r="FJ60" s="58">
        <v>107.113</v>
      </c>
      <c r="FK60" s="58">
        <v>26.55</v>
      </c>
      <c r="FL60" s="58">
        <v>19.062999999999999</v>
      </c>
      <c r="FM60" s="58">
        <v>7.4880000000000004</v>
      </c>
      <c r="FN60" s="58">
        <v>166.72200000000001</v>
      </c>
      <c r="FO60" s="58">
        <v>67.096999999999994</v>
      </c>
      <c r="FP60" s="58">
        <v>99.625</v>
      </c>
      <c r="FQ60" s="58">
        <v>27.725000000000001</v>
      </c>
      <c r="FR60" s="58">
        <v>20.238</v>
      </c>
      <c r="FS60" s="58">
        <v>7.4880000000000004</v>
      </c>
      <c r="FT60" s="58">
        <v>183.971</v>
      </c>
      <c r="FU60" s="58">
        <v>74.263999999999996</v>
      </c>
      <c r="FV60" s="58">
        <v>109.706</v>
      </c>
      <c r="FW60" s="58">
        <v>168.10400000000001</v>
      </c>
      <c r="FX60" s="58">
        <v>68.028999999999996</v>
      </c>
      <c r="FY60" s="58">
        <v>100.074</v>
      </c>
      <c r="FZ60" s="58">
        <v>1217.521</v>
      </c>
      <c r="GA60" s="58">
        <v>635.84799999999996</v>
      </c>
      <c r="GB60" s="58">
        <v>581.673</v>
      </c>
      <c r="GC60" s="58">
        <v>666.86400000000003</v>
      </c>
      <c r="GD60" s="58">
        <v>398.67500000000001</v>
      </c>
      <c r="GE60" s="58">
        <v>268.18900000000002</v>
      </c>
      <c r="GF60" s="58">
        <v>550.65700000000004</v>
      </c>
      <c r="GG60" s="58">
        <v>237.17400000000001</v>
      </c>
      <c r="GH60" s="58">
        <v>313.48399999999998</v>
      </c>
      <c r="GI60" s="58">
        <v>284.428</v>
      </c>
      <c r="GJ60" s="58">
        <v>153.90299999999999</v>
      </c>
      <c r="GK60" s="58">
        <v>130.524</v>
      </c>
      <c r="GL60" s="58">
        <v>51.646000000000001</v>
      </c>
      <c r="GM60" s="58">
        <v>29.016999999999999</v>
      </c>
      <c r="GN60" s="58">
        <v>22.629000000000001</v>
      </c>
      <c r="GO60" s="58">
        <v>18.001000000000001</v>
      </c>
      <c r="GP60" s="58">
        <v>13.57</v>
      </c>
      <c r="GQ60" s="58">
        <v>4.4320000000000004</v>
      </c>
      <c r="GR60" s="58">
        <v>12.566000000000001</v>
      </c>
      <c r="GS60" s="58">
        <v>10.108000000000001</v>
      </c>
      <c r="GT60" s="58">
        <v>2.4580000000000002</v>
      </c>
      <c r="GU60" s="58">
        <v>5.4349999999999996</v>
      </c>
      <c r="GV60" s="58">
        <v>3.4609999999999999</v>
      </c>
      <c r="GW60" s="58">
        <v>1.974</v>
      </c>
      <c r="GX60" s="58">
        <v>33.645000000000003</v>
      </c>
      <c r="GY60" s="58">
        <v>15.448</v>
      </c>
      <c r="GZ60" s="58">
        <v>18.196999999999999</v>
      </c>
      <c r="HA60" s="58">
        <v>258.73200000000003</v>
      </c>
      <c r="HB60" s="58">
        <v>137.57499999999999</v>
      </c>
      <c r="HC60" s="58">
        <v>121.15600000000001</v>
      </c>
      <c r="HD60" s="58">
        <v>77.569000000000003</v>
      </c>
      <c r="HE60" s="58">
        <v>56.392000000000003</v>
      </c>
      <c r="HF60" s="58">
        <v>21.178000000000001</v>
      </c>
      <c r="HG60" s="58">
        <v>181.16200000000001</v>
      </c>
      <c r="HH60" s="58">
        <v>81.183999999999997</v>
      </c>
      <c r="HI60" s="58">
        <v>99.978999999999999</v>
      </c>
      <c r="HJ60" s="58">
        <v>91.355999999999995</v>
      </c>
      <c r="HK60" s="58">
        <v>66.335999999999999</v>
      </c>
      <c r="HL60" s="58">
        <v>25.02</v>
      </c>
      <c r="HM60" s="58">
        <v>193.072</v>
      </c>
      <c r="HN60" s="58">
        <v>87.566999999999993</v>
      </c>
      <c r="HO60" s="58">
        <v>105.505</v>
      </c>
      <c r="HP60" s="58">
        <v>193.72800000000001</v>
      </c>
      <c r="HQ60" s="58">
        <v>91.292000000000002</v>
      </c>
      <c r="HR60" s="58">
        <v>102.437</v>
      </c>
      <c r="HS60" s="58">
        <v>2964.5129999999999</v>
      </c>
      <c r="HT60" s="58">
        <v>1590.45</v>
      </c>
      <c r="HU60" s="58">
        <v>1374.0630000000001</v>
      </c>
      <c r="HV60" s="58">
        <v>2260.5569999999998</v>
      </c>
      <c r="HW60" s="58">
        <v>1376.008</v>
      </c>
      <c r="HX60" s="58">
        <v>884.54899999999998</v>
      </c>
      <c r="HY60" s="58">
        <v>703.95600000000002</v>
      </c>
      <c r="HZ60" s="58">
        <v>214.44200000000001</v>
      </c>
      <c r="IA60" s="58">
        <v>489.51400000000001</v>
      </c>
      <c r="IB60" s="58">
        <v>408.97500000000002</v>
      </c>
      <c r="IC60" s="58">
        <v>239.214</v>
      </c>
      <c r="ID60" s="58">
        <v>169.761</v>
      </c>
      <c r="IE60" s="58">
        <v>52.883000000000003</v>
      </c>
      <c r="IF60" s="58">
        <v>35.389000000000003</v>
      </c>
      <c r="IG60" s="58">
        <v>17.494</v>
      </c>
      <c r="IH60" s="58">
        <v>28.344999999999999</v>
      </c>
      <c r="II60" s="58">
        <v>23.927</v>
      </c>
      <c r="IJ60" s="58">
        <v>4.4189999999999996</v>
      </c>
      <c r="IK60" s="58">
        <v>14.727</v>
      </c>
      <c r="IL60" s="58">
        <v>12.712999999999999</v>
      </c>
      <c r="IM60" s="58">
        <v>2.0150000000000001</v>
      </c>
      <c r="IN60" s="58">
        <v>13.618</v>
      </c>
      <c r="IO60" s="58">
        <v>11.214</v>
      </c>
      <c r="IP60" s="58">
        <v>2.4039999999999999</v>
      </c>
      <c r="IQ60" s="58">
        <v>24.538</v>
      </c>
    </row>
    <row r="61" spans="1:251">
      <c r="A61" s="5">
        <v>43344</v>
      </c>
      <c r="B61" s="58">
        <v>12615.472</v>
      </c>
      <c r="C61" s="58">
        <v>6703.6229999999996</v>
      </c>
      <c r="D61" s="58">
        <v>5911.8490000000002</v>
      </c>
      <c r="E61" s="58">
        <v>8614.5959999999995</v>
      </c>
      <c r="F61" s="58">
        <v>5447.8459999999995</v>
      </c>
      <c r="G61" s="58">
        <v>3166.75</v>
      </c>
      <c r="H61" s="58">
        <v>4000.8760000000002</v>
      </c>
      <c r="I61" s="58">
        <v>1255.777</v>
      </c>
      <c r="J61" s="58">
        <v>2745.0990000000002</v>
      </c>
      <c r="K61" s="58">
        <v>1747.2370000000001</v>
      </c>
      <c r="L61" s="58">
        <v>899.70699999999999</v>
      </c>
      <c r="M61" s="58">
        <v>847.53</v>
      </c>
      <c r="N61" s="58">
        <v>317.70299999999997</v>
      </c>
      <c r="O61" s="58">
        <v>180.06899999999999</v>
      </c>
      <c r="P61" s="58">
        <v>137.63399999999999</v>
      </c>
      <c r="Q61" s="58">
        <v>128.625</v>
      </c>
      <c r="R61" s="58">
        <v>98.605999999999995</v>
      </c>
      <c r="S61" s="58">
        <v>30.018999999999998</v>
      </c>
      <c r="T61" s="58">
        <v>74.546999999999997</v>
      </c>
      <c r="U61" s="58">
        <v>55.39</v>
      </c>
      <c r="V61" s="58">
        <v>19.157</v>
      </c>
      <c r="W61" s="58">
        <v>54.078000000000003</v>
      </c>
      <c r="X61" s="58">
        <v>43.216000000000001</v>
      </c>
      <c r="Y61" s="58">
        <v>10.862</v>
      </c>
      <c r="Z61" s="58">
        <v>189.078</v>
      </c>
      <c r="AA61" s="58">
        <v>81.462999999999994</v>
      </c>
      <c r="AB61" s="58">
        <v>107.61499999999999</v>
      </c>
      <c r="AC61" s="58">
        <v>1564.9929999999999</v>
      </c>
      <c r="AD61" s="58">
        <v>791.39599999999996</v>
      </c>
      <c r="AE61" s="58">
        <v>773.59699999999998</v>
      </c>
      <c r="AF61" s="58">
        <v>581.83299999999997</v>
      </c>
      <c r="AG61" s="58">
        <v>422.40899999999999</v>
      </c>
      <c r="AH61" s="58">
        <v>159.42400000000001</v>
      </c>
      <c r="AI61" s="58">
        <v>983.16</v>
      </c>
      <c r="AJ61" s="58">
        <v>368.98700000000002</v>
      </c>
      <c r="AK61" s="58">
        <v>614.173</v>
      </c>
      <c r="AL61" s="58">
        <v>678.87199999999996</v>
      </c>
      <c r="AM61" s="58">
        <v>496.41500000000002</v>
      </c>
      <c r="AN61" s="58">
        <v>182.45699999999999</v>
      </c>
      <c r="AO61" s="58">
        <v>1068.365</v>
      </c>
      <c r="AP61" s="58">
        <v>403.29199999999997</v>
      </c>
      <c r="AQ61" s="58">
        <v>665.07299999999998</v>
      </c>
      <c r="AR61" s="58">
        <v>1057.7070000000001</v>
      </c>
      <c r="AS61" s="58">
        <v>424.37700000000001</v>
      </c>
      <c r="AT61" s="58">
        <v>633.33000000000004</v>
      </c>
      <c r="AU61" s="58">
        <v>12068.249</v>
      </c>
      <c r="AV61" s="58">
        <v>6367.2849999999999</v>
      </c>
      <c r="AW61" s="58">
        <v>5700.9650000000001</v>
      </c>
      <c r="AX61" s="58">
        <v>8367.7900000000009</v>
      </c>
      <c r="AY61" s="58">
        <v>5266.5010000000002</v>
      </c>
      <c r="AZ61" s="58">
        <v>3101.2890000000002</v>
      </c>
      <c r="BA61" s="58">
        <v>3700.4589999999998</v>
      </c>
      <c r="BB61" s="58">
        <v>1100.7840000000001</v>
      </c>
      <c r="BC61" s="58">
        <v>2599.6750000000002</v>
      </c>
      <c r="BD61" s="58">
        <v>1701.107</v>
      </c>
      <c r="BE61" s="58">
        <v>868.30600000000004</v>
      </c>
      <c r="BF61" s="58">
        <v>832.80100000000004</v>
      </c>
      <c r="BG61" s="58">
        <v>296.18900000000002</v>
      </c>
      <c r="BH61" s="58">
        <v>166.45099999999999</v>
      </c>
      <c r="BI61" s="58">
        <v>129.738</v>
      </c>
      <c r="BJ61" s="58">
        <v>124.619</v>
      </c>
      <c r="BK61" s="58">
        <v>95.373000000000005</v>
      </c>
      <c r="BL61" s="58">
        <v>29.245999999999999</v>
      </c>
      <c r="BM61" s="58">
        <v>72.605000000000004</v>
      </c>
      <c r="BN61" s="58">
        <v>53.823</v>
      </c>
      <c r="BO61" s="58">
        <v>18.782</v>
      </c>
      <c r="BP61" s="58">
        <v>52.014000000000003</v>
      </c>
      <c r="BQ61" s="58">
        <v>41.551000000000002</v>
      </c>
      <c r="BR61" s="58">
        <v>10.462999999999999</v>
      </c>
      <c r="BS61" s="58">
        <v>171.571</v>
      </c>
      <c r="BT61" s="58">
        <v>71.078000000000003</v>
      </c>
      <c r="BU61" s="58">
        <v>100.49299999999999</v>
      </c>
      <c r="BV61" s="58">
        <v>1535.1279999999999</v>
      </c>
      <c r="BW61" s="58">
        <v>770.46699999999998</v>
      </c>
      <c r="BX61" s="58">
        <v>764.66099999999994</v>
      </c>
      <c r="BY61" s="58">
        <v>573.84400000000005</v>
      </c>
      <c r="BZ61" s="58">
        <v>415.39800000000002</v>
      </c>
      <c r="CA61" s="58">
        <v>158.446</v>
      </c>
      <c r="CB61" s="58">
        <v>961.28399999999999</v>
      </c>
      <c r="CC61" s="58">
        <v>355.06900000000002</v>
      </c>
      <c r="CD61" s="58">
        <v>606.21500000000003</v>
      </c>
      <c r="CE61" s="58">
        <v>668.54100000000005</v>
      </c>
      <c r="CF61" s="58">
        <v>487.43700000000001</v>
      </c>
      <c r="CG61" s="58">
        <v>181.10400000000001</v>
      </c>
      <c r="CH61" s="58">
        <v>1032.566</v>
      </c>
      <c r="CI61" s="58">
        <v>380.86900000000003</v>
      </c>
      <c r="CJ61" s="58">
        <v>651.697</v>
      </c>
      <c r="CK61" s="58">
        <v>1033.8889999999999</v>
      </c>
      <c r="CL61" s="58">
        <v>408.892</v>
      </c>
      <c r="CM61" s="58">
        <v>624.99800000000005</v>
      </c>
      <c r="CN61" s="58">
        <v>1911.5809999999999</v>
      </c>
      <c r="CO61" s="58">
        <v>976.74300000000005</v>
      </c>
      <c r="CP61" s="58">
        <v>934.83799999999997</v>
      </c>
      <c r="CQ61" s="58">
        <v>845.26700000000005</v>
      </c>
      <c r="CR61" s="58">
        <v>520.30399999999997</v>
      </c>
      <c r="CS61" s="58">
        <v>324.96300000000002</v>
      </c>
      <c r="CT61" s="58">
        <v>1066.3140000000001</v>
      </c>
      <c r="CU61" s="58">
        <v>456.43900000000002</v>
      </c>
      <c r="CV61" s="58">
        <v>609.87599999999998</v>
      </c>
      <c r="CW61" s="58">
        <v>465.40699999999998</v>
      </c>
      <c r="CX61" s="58">
        <v>224.66</v>
      </c>
      <c r="CY61" s="58">
        <v>240.74700000000001</v>
      </c>
      <c r="CZ61" s="58">
        <v>76.421000000000006</v>
      </c>
      <c r="DA61" s="58">
        <v>40.106000000000002</v>
      </c>
      <c r="DB61" s="58">
        <v>36.314</v>
      </c>
      <c r="DC61" s="58">
        <v>16.957000000000001</v>
      </c>
      <c r="DD61" s="58">
        <v>11.667</v>
      </c>
      <c r="DE61" s="58">
        <v>5.29</v>
      </c>
      <c r="DF61" s="58">
        <v>11.53</v>
      </c>
      <c r="DG61" s="58">
        <v>7.13</v>
      </c>
      <c r="DH61" s="58">
        <v>4.4000000000000004</v>
      </c>
      <c r="DI61" s="58">
        <v>5.4269999999999996</v>
      </c>
      <c r="DJ61" s="58">
        <v>4.5369999999999999</v>
      </c>
      <c r="DK61" s="58">
        <v>0.88900000000000001</v>
      </c>
      <c r="DL61" s="58">
        <v>59.463999999999999</v>
      </c>
      <c r="DM61" s="58">
        <v>28.439</v>
      </c>
      <c r="DN61" s="58">
        <v>31.024999999999999</v>
      </c>
      <c r="DO61" s="58">
        <v>433.34199999999998</v>
      </c>
      <c r="DP61" s="58">
        <v>206.25700000000001</v>
      </c>
      <c r="DQ61" s="58">
        <v>227.08600000000001</v>
      </c>
      <c r="DR61" s="58">
        <v>91.159000000000006</v>
      </c>
      <c r="DS61" s="58">
        <v>60.911000000000001</v>
      </c>
      <c r="DT61" s="58">
        <v>30.248000000000001</v>
      </c>
      <c r="DU61" s="58">
        <v>342.18299999999999</v>
      </c>
      <c r="DV61" s="58">
        <v>145.346</v>
      </c>
      <c r="DW61" s="58">
        <v>196.83699999999999</v>
      </c>
      <c r="DX61" s="58">
        <v>101.456</v>
      </c>
      <c r="DY61" s="58">
        <v>68.796999999999997</v>
      </c>
      <c r="DZ61" s="58">
        <v>32.658999999999999</v>
      </c>
      <c r="EA61" s="58">
        <v>363.952</v>
      </c>
      <c r="EB61" s="58">
        <v>155.864</v>
      </c>
      <c r="EC61" s="58">
        <v>208.08799999999999</v>
      </c>
      <c r="ED61" s="58">
        <v>353.71300000000002</v>
      </c>
      <c r="EE61" s="58">
        <v>152.476</v>
      </c>
      <c r="EF61" s="58">
        <v>201.23699999999999</v>
      </c>
      <c r="EG61" s="58">
        <v>666.64700000000005</v>
      </c>
      <c r="EH61" s="58">
        <v>323.90800000000002</v>
      </c>
      <c r="EI61" s="58">
        <v>342.73899999999998</v>
      </c>
      <c r="EJ61" s="58">
        <v>158.131</v>
      </c>
      <c r="EK61" s="58">
        <v>110.643</v>
      </c>
      <c r="EL61" s="58">
        <v>47.488</v>
      </c>
      <c r="EM61" s="58">
        <v>508.51600000000002</v>
      </c>
      <c r="EN61" s="58">
        <v>213.26499999999999</v>
      </c>
      <c r="EO61" s="58">
        <v>295.25099999999998</v>
      </c>
      <c r="EP61" s="58">
        <v>180.32499999999999</v>
      </c>
      <c r="EQ61" s="58">
        <v>82.662000000000006</v>
      </c>
      <c r="ER61" s="58">
        <v>97.664000000000001</v>
      </c>
      <c r="ES61" s="58">
        <v>34.268999999999998</v>
      </c>
      <c r="ET61" s="58">
        <v>15.847</v>
      </c>
      <c r="EU61" s="58">
        <v>18.422000000000001</v>
      </c>
      <c r="EV61" s="58">
        <v>5.26</v>
      </c>
      <c r="EW61" s="58">
        <v>3.5190000000000001</v>
      </c>
      <c r="EX61" s="58">
        <v>1.7410000000000001</v>
      </c>
      <c r="EY61" s="58">
        <v>4.7850000000000001</v>
      </c>
      <c r="EZ61" s="58">
        <v>3.5190000000000001</v>
      </c>
      <c r="FA61" s="58">
        <v>1.266</v>
      </c>
      <c r="FB61" s="58">
        <v>0.47499999999999998</v>
      </c>
      <c r="FC61" s="58">
        <v>0</v>
      </c>
      <c r="FD61" s="58">
        <v>0.47499999999999998</v>
      </c>
      <c r="FE61" s="58">
        <v>29.009</v>
      </c>
      <c r="FF61" s="58">
        <v>12.329000000000001</v>
      </c>
      <c r="FG61" s="58">
        <v>16.681000000000001</v>
      </c>
      <c r="FH61" s="58">
        <v>164.39500000000001</v>
      </c>
      <c r="FI61" s="58">
        <v>75.457999999999998</v>
      </c>
      <c r="FJ61" s="58">
        <v>88.936000000000007</v>
      </c>
      <c r="FK61" s="58">
        <v>21.245999999999999</v>
      </c>
      <c r="FL61" s="58">
        <v>15.813000000000001</v>
      </c>
      <c r="FM61" s="58">
        <v>5.4329999999999998</v>
      </c>
      <c r="FN61" s="58">
        <v>143.149</v>
      </c>
      <c r="FO61" s="58">
        <v>59.645000000000003</v>
      </c>
      <c r="FP61" s="58">
        <v>83.503</v>
      </c>
      <c r="FQ61" s="58">
        <v>23.507000000000001</v>
      </c>
      <c r="FR61" s="58">
        <v>17.292000000000002</v>
      </c>
      <c r="FS61" s="58">
        <v>6.2149999999999999</v>
      </c>
      <c r="FT61" s="58">
        <v>156.81800000000001</v>
      </c>
      <c r="FU61" s="58">
        <v>65.37</v>
      </c>
      <c r="FV61" s="58">
        <v>91.448999999999998</v>
      </c>
      <c r="FW61" s="58">
        <v>147.934</v>
      </c>
      <c r="FX61" s="58">
        <v>63.164000000000001</v>
      </c>
      <c r="FY61" s="58">
        <v>84.77</v>
      </c>
      <c r="FZ61" s="58">
        <v>1244.934</v>
      </c>
      <c r="GA61" s="58">
        <v>652.83500000000004</v>
      </c>
      <c r="GB61" s="58">
        <v>592.09900000000005</v>
      </c>
      <c r="GC61" s="58">
        <v>687.13599999999997</v>
      </c>
      <c r="GD61" s="58">
        <v>409.661</v>
      </c>
      <c r="GE61" s="58">
        <v>277.47399999999999</v>
      </c>
      <c r="GF61" s="58">
        <v>557.79899999999998</v>
      </c>
      <c r="GG61" s="58">
        <v>243.173</v>
      </c>
      <c r="GH61" s="58">
        <v>314.625</v>
      </c>
      <c r="GI61" s="58">
        <v>285.08199999999999</v>
      </c>
      <c r="GJ61" s="58">
        <v>141.999</v>
      </c>
      <c r="GK61" s="58">
        <v>143.083</v>
      </c>
      <c r="GL61" s="58">
        <v>42.152000000000001</v>
      </c>
      <c r="GM61" s="58">
        <v>24.259</v>
      </c>
      <c r="GN61" s="58">
        <v>17.893000000000001</v>
      </c>
      <c r="GO61" s="58">
        <v>11.696999999999999</v>
      </c>
      <c r="GP61" s="58">
        <v>8.1479999999999997</v>
      </c>
      <c r="GQ61" s="58">
        <v>3.5489999999999999</v>
      </c>
      <c r="GR61" s="58">
        <v>6.7450000000000001</v>
      </c>
      <c r="GS61" s="58">
        <v>3.6110000000000002</v>
      </c>
      <c r="GT61" s="58">
        <v>3.1339999999999999</v>
      </c>
      <c r="GU61" s="58">
        <v>4.952</v>
      </c>
      <c r="GV61" s="58">
        <v>4.5369999999999999</v>
      </c>
      <c r="GW61" s="58">
        <v>0.41499999999999998</v>
      </c>
      <c r="GX61" s="58">
        <v>30.454999999999998</v>
      </c>
      <c r="GY61" s="58">
        <v>16.111000000000001</v>
      </c>
      <c r="GZ61" s="58">
        <v>14.343999999999999</v>
      </c>
      <c r="HA61" s="58">
        <v>268.947</v>
      </c>
      <c r="HB61" s="58">
        <v>130.798</v>
      </c>
      <c r="HC61" s="58">
        <v>138.149</v>
      </c>
      <c r="HD61" s="58">
        <v>69.912999999999997</v>
      </c>
      <c r="HE61" s="58">
        <v>45.097999999999999</v>
      </c>
      <c r="HF61" s="58">
        <v>24.815000000000001</v>
      </c>
      <c r="HG61" s="58">
        <v>199.03399999999999</v>
      </c>
      <c r="HH61" s="58">
        <v>85.7</v>
      </c>
      <c r="HI61" s="58">
        <v>113.334</v>
      </c>
      <c r="HJ61" s="58">
        <v>77.948999999999998</v>
      </c>
      <c r="HK61" s="58">
        <v>51.505000000000003</v>
      </c>
      <c r="HL61" s="58">
        <v>26.443999999999999</v>
      </c>
      <c r="HM61" s="58">
        <v>207.13300000000001</v>
      </c>
      <c r="HN61" s="58">
        <v>90.494</v>
      </c>
      <c r="HO61" s="58">
        <v>116.639</v>
      </c>
      <c r="HP61" s="58">
        <v>205.779</v>
      </c>
      <c r="HQ61" s="58">
        <v>89.311999999999998</v>
      </c>
      <c r="HR61" s="58">
        <v>116.468</v>
      </c>
      <c r="HS61" s="58">
        <v>3011.0030000000002</v>
      </c>
      <c r="HT61" s="58">
        <v>1611.441</v>
      </c>
      <c r="HU61" s="58">
        <v>1399.5619999999999</v>
      </c>
      <c r="HV61" s="58">
        <v>2289.6860000000001</v>
      </c>
      <c r="HW61" s="58">
        <v>1391.375</v>
      </c>
      <c r="HX61" s="58">
        <v>898.31100000000004</v>
      </c>
      <c r="HY61" s="58">
        <v>721.31700000000001</v>
      </c>
      <c r="HZ61" s="58">
        <v>220.066</v>
      </c>
      <c r="IA61" s="58">
        <v>501.25099999999998</v>
      </c>
      <c r="IB61" s="58">
        <v>401.51799999999997</v>
      </c>
      <c r="IC61" s="58">
        <v>224.345</v>
      </c>
      <c r="ID61" s="58">
        <v>177.17400000000001</v>
      </c>
      <c r="IE61" s="58">
        <v>51.57</v>
      </c>
      <c r="IF61" s="58">
        <v>28.553000000000001</v>
      </c>
      <c r="IG61" s="58">
        <v>23.016999999999999</v>
      </c>
      <c r="IH61" s="58">
        <v>25.34</v>
      </c>
      <c r="II61" s="58">
        <v>18.48</v>
      </c>
      <c r="IJ61" s="58">
        <v>6.86</v>
      </c>
      <c r="IK61" s="58">
        <v>11.429</v>
      </c>
      <c r="IL61" s="58">
        <v>7.5149999999999997</v>
      </c>
      <c r="IM61" s="58">
        <v>3.9140000000000001</v>
      </c>
      <c r="IN61" s="58">
        <v>13.911</v>
      </c>
      <c r="IO61" s="58">
        <v>10.965</v>
      </c>
      <c r="IP61" s="58">
        <v>2.9460000000000002</v>
      </c>
      <c r="IQ61" s="58">
        <v>26.23</v>
      </c>
    </row>
    <row r="62" spans="1:251">
      <c r="A62" s="5">
        <v>43374</v>
      </c>
      <c r="B62" s="58">
        <v>12654.573</v>
      </c>
      <c r="C62" s="58">
        <v>6714.8140000000003</v>
      </c>
      <c r="D62" s="58">
        <v>5939.759</v>
      </c>
      <c r="E62" s="58">
        <v>8662.4869999999992</v>
      </c>
      <c r="F62" s="58">
        <v>5470.47</v>
      </c>
      <c r="G62" s="58">
        <v>3192.0169999999998</v>
      </c>
      <c r="H62" s="58">
        <v>3992.0859999999998</v>
      </c>
      <c r="I62" s="58">
        <v>1244.3440000000001</v>
      </c>
      <c r="J62" s="58">
        <v>2747.7420000000002</v>
      </c>
      <c r="K62" s="58">
        <v>1757.7819999999999</v>
      </c>
      <c r="L62" s="58">
        <v>904.40499999999997</v>
      </c>
      <c r="M62" s="58">
        <v>853.37800000000004</v>
      </c>
      <c r="N62" s="58">
        <v>301.87200000000001</v>
      </c>
      <c r="O62" s="58">
        <v>170.38399999999999</v>
      </c>
      <c r="P62" s="58">
        <v>131.488</v>
      </c>
      <c r="Q62" s="58">
        <v>114.328</v>
      </c>
      <c r="R62" s="58">
        <v>88.209000000000003</v>
      </c>
      <c r="S62" s="58">
        <v>26.119</v>
      </c>
      <c r="T62" s="58">
        <v>69.206000000000003</v>
      </c>
      <c r="U62" s="58">
        <v>50.613999999999997</v>
      </c>
      <c r="V62" s="58">
        <v>18.591999999999999</v>
      </c>
      <c r="W62" s="58">
        <v>45.122</v>
      </c>
      <c r="X62" s="58">
        <v>37.595999999999997</v>
      </c>
      <c r="Y62" s="58">
        <v>7.5270000000000001</v>
      </c>
      <c r="Z62" s="58">
        <v>187.54400000000001</v>
      </c>
      <c r="AA62" s="58">
        <v>82.174000000000007</v>
      </c>
      <c r="AB62" s="58">
        <v>105.369</v>
      </c>
      <c r="AC62" s="58">
        <v>1581.85</v>
      </c>
      <c r="AD62" s="58">
        <v>802.803</v>
      </c>
      <c r="AE62" s="58">
        <v>779.04700000000003</v>
      </c>
      <c r="AF62" s="58">
        <v>600.45699999999999</v>
      </c>
      <c r="AG62" s="58">
        <v>438.96100000000001</v>
      </c>
      <c r="AH62" s="58">
        <v>161.49600000000001</v>
      </c>
      <c r="AI62" s="58">
        <v>981.39300000000003</v>
      </c>
      <c r="AJ62" s="58">
        <v>363.84199999999998</v>
      </c>
      <c r="AK62" s="58">
        <v>617.55100000000004</v>
      </c>
      <c r="AL62" s="58">
        <v>684.298</v>
      </c>
      <c r="AM62" s="58">
        <v>502.72800000000001</v>
      </c>
      <c r="AN62" s="58">
        <v>181.57</v>
      </c>
      <c r="AO62" s="58">
        <v>1073.4839999999999</v>
      </c>
      <c r="AP62" s="58">
        <v>401.67599999999999</v>
      </c>
      <c r="AQ62" s="58">
        <v>671.80799999999999</v>
      </c>
      <c r="AR62" s="58">
        <v>1050.5989999999999</v>
      </c>
      <c r="AS62" s="58">
        <v>414.45600000000002</v>
      </c>
      <c r="AT62" s="58">
        <v>636.14300000000003</v>
      </c>
      <c r="AU62" s="58">
        <v>12102.759</v>
      </c>
      <c r="AV62" s="58">
        <v>6372.7929999999997</v>
      </c>
      <c r="AW62" s="58">
        <v>5729.9660000000003</v>
      </c>
      <c r="AX62" s="58">
        <v>8410.5169999999998</v>
      </c>
      <c r="AY62" s="58">
        <v>5287.8230000000003</v>
      </c>
      <c r="AZ62" s="58">
        <v>3122.694</v>
      </c>
      <c r="BA62" s="58">
        <v>3692.2420000000002</v>
      </c>
      <c r="BB62" s="58">
        <v>1084.97</v>
      </c>
      <c r="BC62" s="58">
        <v>2607.2719999999999</v>
      </c>
      <c r="BD62" s="58">
        <v>1718.07</v>
      </c>
      <c r="BE62" s="58">
        <v>876.71699999999998</v>
      </c>
      <c r="BF62" s="58">
        <v>841.35299999999995</v>
      </c>
      <c r="BG62" s="58">
        <v>283.61</v>
      </c>
      <c r="BH62" s="58">
        <v>158.547</v>
      </c>
      <c r="BI62" s="58">
        <v>125.063</v>
      </c>
      <c r="BJ62" s="58">
        <v>110.223</v>
      </c>
      <c r="BK62" s="58">
        <v>84.103999999999999</v>
      </c>
      <c r="BL62" s="58">
        <v>26.119</v>
      </c>
      <c r="BM62" s="58">
        <v>67.375</v>
      </c>
      <c r="BN62" s="58">
        <v>48.783000000000001</v>
      </c>
      <c r="BO62" s="58">
        <v>18.591999999999999</v>
      </c>
      <c r="BP62" s="58">
        <v>42.847999999999999</v>
      </c>
      <c r="BQ62" s="58">
        <v>35.322000000000003</v>
      </c>
      <c r="BR62" s="58">
        <v>7.5270000000000001</v>
      </c>
      <c r="BS62" s="58">
        <v>173.387</v>
      </c>
      <c r="BT62" s="58">
        <v>74.442999999999998</v>
      </c>
      <c r="BU62" s="58">
        <v>98.944999999999993</v>
      </c>
      <c r="BV62" s="58">
        <v>1556.819</v>
      </c>
      <c r="BW62" s="58">
        <v>784.02300000000002</v>
      </c>
      <c r="BX62" s="58">
        <v>772.79700000000003</v>
      </c>
      <c r="BY62" s="58">
        <v>594.60599999999999</v>
      </c>
      <c r="BZ62" s="58">
        <v>433.11</v>
      </c>
      <c r="CA62" s="58">
        <v>161.49600000000001</v>
      </c>
      <c r="CB62" s="58">
        <v>962.21299999999997</v>
      </c>
      <c r="CC62" s="58">
        <v>350.91199999999998</v>
      </c>
      <c r="CD62" s="58">
        <v>611.30100000000004</v>
      </c>
      <c r="CE62" s="58">
        <v>675.31500000000005</v>
      </c>
      <c r="CF62" s="58">
        <v>493.745</v>
      </c>
      <c r="CG62" s="58">
        <v>181.57</v>
      </c>
      <c r="CH62" s="58">
        <v>1042.7550000000001</v>
      </c>
      <c r="CI62" s="58">
        <v>382.97199999999998</v>
      </c>
      <c r="CJ62" s="58">
        <v>659.78300000000002</v>
      </c>
      <c r="CK62" s="58">
        <v>1029.588</v>
      </c>
      <c r="CL62" s="58">
        <v>399.69499999999999</v>
      </c>
      <c r="CM62" s="58">
        <v>629.89300000000003</v>
      </c>
      <c r="CN62" s="58">
        <v>1908.8119999999999</v>
      </c>
      <c r="CO62" s="58">
        <v>965.51300000000003</v>
      </c>
      <c r="CP62" s="58">
        <v>943.29899999999998</v>
      </c>
      <c r="CQ62" s="58">
        <v>844.53599999999994</v>
      </c>
      <c r="CR62" s="58">
        <v>517.57100000000003</v>
      </c>
      <c r="CS62" s="58">
        <v>326.96499999999997</v>
      </c>
      <c r="CT62" s="58">
        <v>1064.2760000000001</v>
      </c>
      <c r="CU62" s="58">
        <v>447.94200000000001</v>
      </c>
      <c r="CV62" s="58">
        <v>616.33399999999995</v>
      </c>
      <c r="CW62" s="58">
        <v>486.81400000000002</v>
      </c>
      <c r="CX62" s="58">
        <v>237.566</v>
      </c>
      <c r="CY62" s="58">
        <v>249.24700000000001</v>
      </c>
      <c r="CZ62" s="58">
        <v>71.998000000000005</v>
      </c>
      <c r="DA62" s="58">
        <v>35.018999999999998</v>
      </c>
      <c r="DB62" s="58">
        <v>36.978999999999999</v>
      </c>
      <c r="DC62" s="58">
        <v>14.378</v>
      </c>
      <c r="DD62" s="58">
        <v>10.236000000000001</v>
      </c>
      <c r="DE62" s="58">
        <v>4.1420000000000003</v>
      </c>
      <c r="DF62" s="58">
        <v>11.739000000000001</v>
      </c>
      <c r="DG62" s="58">
        <v>7.5970000000000004</v>
      </c>
      <c r="DH62" s="58">
        <v>4.1420000000000003</v>
      </c>
      <c r="DI62" s="58">
        <v>2.6389999999999998</v>
      </c>
      <c r="DJ62" s="58">
        <v>2.6389999999999998</v>
      </c>
      <c r="DK62" s="58">
        <v>0</v>
      </c>
      <c r="DL62" s="58">
        <v>57.62</v>
      </c>
      <c r="DM62" s="58">
        <v>24.783000000000001</v>
      </c>
      <c r="DN62" s="58">
        <v>32.837000000000003</v>
      </c>
      <c r="DO62" s="58">
        <v>449.387</v>
      </c>
      <c r="DP62" s="58">
        <v>219.40700000000001</v>
      </c>
      <c r="DQ62" s="58">
        <v>229.98</v>
      </c>
      <c r="DR62" s="58">
        <v>94.59</v>
      </c>
      <c r="DS62" s="58">
        <v>62.869</v>
      </c>
      <c r="DT62" s="58">
        <v>31.721</v>
      </c>
      <c r="DU62" s="58">
        <v>354.79700000000003</v>
      </c>
      <c r="DV62" s="58">
        <v>156.53899999999999</v>
      </c>
      <c r="DW62" s="58">
        <v>198.25899999999999</v>
      </c>
      <c r="DX62" s="58">
        <v>103.748</v>
      </c>
      <c r="DY62" s="58">
        <v>68.968000000000004</v>
      </c>
      <c r="DZ62" s="58">
        <v>34.78</v>
      </c>
      <c r="EA62" s="58">
        <v>383.06599999999997</v>
      </c>
      <c r="EB62" s="58">
        <v>168.59899999999999</v>
      </c>
      <c r="EC62" s="58">
        <v>214.46700000000001</v>
      </c>
      <c r="ED62" s="58">
        <v>366.536</v>
      </c>
      <c r="EE62" s="58">
        <v>164.13499999999999</v>
      </c>
      <c r="EF62" s="58">
        <v>202.40100000000001</v>
      </c>
      <c r="EG62" s="58">
        <v>668.99800000000005</v>
      </c>
      <c r="EH62" s="58">
        <v>320.90899999999999</v>
      </c>
      <c r="EI62" s="58">
        <v>348.08800000000002</v>
      </c>
      <c r="EJ62" s="58">
        <v>157.19999999999999</v>
      </c>
      <c r="EK62" s="58">
        <v>109.36799999999999</v>
      </c>
      <c r="EL62" s="58">
        <v>47.832000000000001</v>
      </c>
      <c r="EM62" s="58">
        <v>511.798</v>
      </c>
      <c r="EN62" s="58">
        <v>211.541</v>
      </c>
      <c r="EO62" s="58">
        <v>300.25599999999997</v>
      </c>
      <c r="EP62" s="58">
        <v>198.98400000000001</v>
      </c>
      <c r="EQ62" s="58">
        <v>89.802999999999997</v>
      </c>
      <c r="ER62" s="58">
        <v>109.181</v>
      </c>
      <c r="ES62" s="58">
        <v>30.456</v>
      </c>
      <c r="ET62" s="58">
        <v>15.03</v>
      </c>
      <c r="EU62" s="58">
        <v>15.426</v>
      </c>
      <c r="EV62" s="58">
        <v>4.484</v>
      </c>
      <c r="EW62" s="58">
        <v>2.569</v>
      </c>
      <c r="EX62" s="58">
        <v>1.915</v>
      </c>
      <c r="EY62" s="58">
        <v>3.3530000000000002</v>
      </c>
      <c r="EZ62" s="58">
        <v>1.4379999999999999</v>
      </c>
      <c r="FA62" s="58">
        <v>1.915</v>
      </c>
      <c r="FB62" s="58">
        <v>1.1319999999999999</v>
      </c>
      <c r="FC62" s="58">
        <v>1.1319999999999999</v>
      </c>
      <c r="FD62" s="58">
        <v>0</v>
      </c>
      <c r="FE62" s="58">
        <v>25.971</v>
      </c>
      <c r="FF62" s="58">
        <v>12.461</v>
      </c>
      <c r="FG62" s="58">
        <v>13.510999999999999</v>
      </c>
      <c r="FH62" s="58">
        <v>181.84</v>
      </c>
      <c r="FI62" s="58">
        <v>80.63</v>
      </c>
      <c r="FJ62" s="58">
        <v>101.21</v>
      </c>
      <c r="FK62" s="58">
        <v>16.372</v>
      </c>
      <c r="FL62" s="58">
        <v>8.7010000000000005</v>
      </c>
      <c r="FM62" s="58">
        <v>7.6710000000000003</v>
      </c>
      <c r="FN62" s="58">
        <v>165.46799999999999</v>
      </c>
      <c r="FO62" s="58">
        <v>71.929000000000002</v>
      </c>
      <c r="FP62" s="58">
        <v>93.539000000000001</v>
      </c>
      <c r="FQ62" s="58">
        <v>20.273</v>
      </c>
      <c r="FR62" s="58">
        <v>11.27</v>
      </c>
      <c r="FS62" s="58">
        <v>9.0030000000000001</v>
      </c>
      <c r="FT62" s="58">
        <v>178.71100000000001</v>
      </c>
      <c r="FU62" s="58">
        <v>78.531999999999996</v>
      </c>
      <c r="FV62" s="58">
        <v>100.179</v>
      </c>
      <c r="FW62" s="58">
        <v>168.821</v>
      </c>
      <c r="FX62" s="58">
        <v>73.367000000000004</v>
      </c>
      <c r="FY62" s="58">
        <v>95.453999999999994</v>
      </c>
      <c r="FZ62" s="58">
        <v>1239.8140000000001</v>
      </c>
      <c r="GA62" s="58">
        <v>644.60299999999995</v>
      </c>
      <c r="GB62" s="58">
        <v>595.21100000000001</v>
      </c>
      <c r="GC62" s="58">
        <v>687.33600000000001</v>
      </c>
      <c r="GD62" s="58">
        <v>408.20299999999997</v>
      </c>
      <c r="GE62" s="58">
        <v>279.13299999999998</v>
      </c>
      <c r="GF62" s="58">
        <v>552.47799999999995</v>
      </c>
      <c r="GG62" s="58">
        <v>236.40100000000001</v>
      </c>
      <c r="GH62" s="58">
        <v>316.077</v>
      </c>
      <c r="GI62" s="58">
        <v>287.83</v>
      </c>
      <c r="GJ62" s="58">
        <v>147.76400000000001</v>
      </c>
      <c r="GK62" s="58">
        <v>140.066</v>
      </c>
      <c r="GL62" s="58">
        <v>41.542000000000002</v>
      </c>
      <c r="GM62" s="58">
        <v>19.989000000000001</v>
      </c>
      <c r="GN62" s="58">
        <v>21.553000000000001</v>
      </c>
      <c r="GO62" s="58">
        <v>9.8930000000000007</v>
      </c>
      <c r="GP62" s="58">
        <v>7.6669999999999998</v>
      </c>
      <c r="GQ62" s="58">
        <v>2.2269999999999999</v>
      </c>
      <c r="GR62" s="58">
        <v>8.3859999999999992</v>
      </c>
      <c r="GS62" s="58">
        <v>6.1589999999999998</v>
      </c>
      <c r="GT62" s="58">
        <v>2.2269999999999999</v>
      </c>
      <c r="GU62" s="58">
        <v>1.508</v>
      </c>
      <c r="GV62" s="58">
        <v>1.508</v>
      </c>
      <c r="GW62" s="58">
        <v>0</v>
      </c>
      <c r="GX62" s="58">
        <v>31.649000000000001</v>
      </c>
      <c r="GY62" s="58">
        <v>12.323</v>
      </c>
      <c r="GZ62" s="58">
        <v>19.326000000000001</v>
      </c>
      <c r="HA62" s="58">
        <v>267.54700000000003</v>
      </c>
      <c r="HB62" s="58">
        <v>138.77699999999999</v>
      </c>
      <c r="HC62" s="58">
        <v>128.77000000000001</v>
      </c>
      <c r="HD62" s="58">
        <v>78.218000000000004</v>
      </c>
      <c r="HE62" s="58">
        <v>54.167999999999999</v>
      </c>
      <c r="HF62" s="58">
        <v>24.05</v>
      </c>
      <c r="HG62" s="58">
        <v>189.32900000000001</v>
      </c>
      <c r="HH62" s="58">
        <v>84.608999999999995</v>
      </c>
      <c r="HI62" s="58">
        <v>104.72</v>
      </c>
      <c r="HJ62" s="58">
        <v>83.474999999999994</v>
      </c>
      <c r="HK62" s="58">
        <v>57.697000000000003</v>
      </c>
      <c r="HL62" s="58">
        <v>25.777999999999999</v>
      </c>
      <c r="HM62" s="58">
        <v>204.35499999999999</v>
      </c>
      <c r="HN62" s="58">
        <v>90.066000000000003</v>
      </c>
      <c r="HO62" s="58">
        <v>114.289</v>
      </c>
      <c r="HP62" s="58">
        <v>197.715</v>
      </c>
      <c r="HQ62" s="58">
        <v>90.768000000000001</v>
      </c>
      <c r="HR62" s="58">
        <v>106.947</v>
      </c>
      <c r="HS62" s="58">
        <v>3019.748</v>
      </c>
      <c r="HT62" s="58">
        <v>1618.431</v>
      </c>
      <c r="HU62" s="58">
        <v>1401.317</v>
      </c>
      <c r="HV62" s="58">
        <v>2306.2779999999998</v>
      </c>
      <c r="HW62" s="58">
        <v>1401.192</v>
      </c>
      <c r="HX62" s="58">
        <v>905.08600000000001</v>
      </c>
      <c r="HY62" s="58">
        <v>713.47</v>
      </c>
      <c r="HZ62" s="58">
        <v>217.239</v>
      </c>
      <c r="IA62" s="58">
        <v>496.23099999999999</v>
      </c>
      <c r="IB62" s="58">
        <v>433.322</v>
      </c>
      <c r="IC62" s="58">
        <v>243.84299999999999</v>
      </c>
      <c r="ID62" s="58">
        <v>189.47900000000001</v>
      </c>
      <c r="IE62" s="58">
        <v>62.274000000000001</v>
      </c>
      <c r="IF62" s="58">
        <v>37.29</v>
      </c>
      <c r="IG62" s="58">
        <v>24.984000000000002</v>
      </c>
      <c r="IH62" s="58">
        <v>33.728000000000002</v>
      </c>
      <c r="II62" s="58">
        <v>25.446999999999999</v>
      </c>
      <c r="IJ62" s="58">
        <v>8.2810000000000006</v>
      </c>
      <c r="IK62" s="58">
        <v>19.629000000000001</v>
      </c>
      <c r="IL62" s="58">
        <v>14.337999999999999</v>
      </c>
      <c r="IM62" s="58">
        <v>5.2910000000000004</v>
      </c>
      <c r="IN62" s="58">
        <v>14.099</v>
      </c>
      <c r="IO62" s="58">
        <v>11.109</v>
      </c>
      <c r="IP62" s="58">
        <v>2.99</v>
      </c>
      <c r="IQ62" s="58">
        <v>28.545000000000002</v>
      </c>
    </row>
    <row r="63" spans="1:251">
      <c r="A63" s="5">
        <v>43405</v>
      </c>
      <c r="B63" s="58">
        <v>12741.587</v>
      </c>
      <c r="C63" s="58">
        <v>6749.5640000000003</v>
      </c>
      <c r="D63" s="58">
        <v>5992.0230000000001</v>
      </c>
      <c r="E63" s="58">
        <v>8725.5820000000003</v>
      </c>
      <c r="F63" s="58">
        <v>5500.509</v>
      </c>
      <c r="G63" s="58">
        <v>3225.0729999999999</v>
      </c>
      <c r="H63" s="58">
        <v>4016.0050000000001</v>
      </c>
      <c r="I63" s="58">
        <v>1249.0550000000001</v>
      </c>
      <c r="J63" s="58">
        <v>2766.95</v>
      </c>
      <c r="K63" s="58">
        <v>1843.6690000000001</v>
      </c>
      <c r="L63" s="58">
        <v>956.48900000000003</v>
      </c>
      <c r="M63" s="58">
        <v>887.18</v>
      </c>
      <c r="N63" s="58">
        <v>338.81599999999997</v>
      </c>
      <c r="O63" s="58">
        <v>200.94800000000001</v>
      </c>
      <c r="P63" s="58">
        <v>137.86799999999999</v>
      </c>
      <c r="Q63" s="58">
        <v>139.88900000000001</v>
      </c>
      <c r="R63" s="58">
        <v>107.53</v>
      </c>
      <c r="S63" s="58">
        <v>32.36</v>
      </c>
      <c r="T63" s="58">
        <v>79.102999999999994</v>
      </c>
      <c r="U63" s="58">
        <v>60.457999999999998</v>
      </c>
      <c r="V63" s="58">
        <v>18.645</v>
      </c>
      <c r="W63" s="58">
        <v>60.786000000000001</v>
      </c>
      <c r="X63" s="58">
        <v>47.072000000000003</v>
      </c>
      <c r="Y63" s="58">
        <v>13.715</v>
      </c>
      <c r="Z63" s="58">
        <v>198.92699999999999</v>
      </c>
      <c r="AA63" s="58">
        <v>93.418999999999997</v>
      </c>
      <c r="AB63" s="58">
        <v>105.508</v>
      </c>
      <c r="AC63" s="58">
        <v>1639.154</v>
      </c>
      <c r="AD63" s="58">
        <v>827.15099999999995</v>
      </c>
      <c r="AE63" s="58">
        <v>812.00300000000004</v>
      </c>
      <c r="AF63" s="58">
        <v>578.17100000000005</v>
      </c>
      <c r="AG63" s="58">
        <v>414.35</v>
      </c>
      <c r="AH63" s="58">
        <v>163.822</v>
      </c>
      <c r="AI63" s="58">
        <v>1060.982</v>
      </c>
      <c r="AJ63" s="58">
        <v>412.80099999999999</v>
      </c>
      <c r="AK63" s="58">
        <v>648.18100000000004</v>
      </c>
      <c r="AL63" s="58">
        <v>686.45399999999995</v>
      </c>
      <c r="AM63" s="58">
        <v>499.2</v>
      </c>
      <c r="AN63" s="58">
        <v>187.25399999999999</v>
      </c>
      <c r="AO63" s="58">
        <v>1157.2149999999999</v>
      </c>
      <c r="AP63" s="58">
        <v>457.28899999999999</v>
      </c>
      <c r="AQ63" s="58">
        <v>699.92600000000004</v>
      </c>
      <c r="AR63" s="58">
        <v>1140.085</v>
      </c>
      <c r="AS63" s="58">
        <v>473.25900000000001</v>
      </c>
      <c r="AT63" s="58">
        <v>666.82600000000002</v>
      </c>
      <c r="AU63" s="58">
        <v>12175.743</v>
      </c>
      <c r="AV63" s="58">
        <v>6405.9279999999999</v>
      </c>
      <c r="AW63" s="58">
        <v>5769.8149999999996</v>
      </c>
      <c r="AX63" s="58">
        <v>8473.8860000000004</v>
      </c>
      <c r="AY63" s="58">
        <v>5319.9579999999996</v>
      </c>
      <c r="AZ63" s="58">
        <v>3153.9270000000001</v>
      </c>
      <c r="BA63" s="58">
        <v>3701.857</v>
      </c>
      <c r="BB63" s="58">
        <v>1085.97</v>
      </c>
      <c r="BC63" s="58">
        <v>2615.8870000000002</v>
      </c>
      <c r="BD63" s="58">
        <v>1787.8530000000001</v>
      </c>
      <c r="BE63" s="58">
        <v>918.98099999999999</v>
      </c>
      <c r="BF63" s="58">
        <v>868.87199999999996</v>
      </c>
      <c r="BG63" s="58">
        <v>311.53899999999999</v>
      </c>
      <c r="BH63" s="58">
        <v>181.39699999999999</v>
      </c>
      <c r="BI63" s="58">
        <v>130.142</v>
      </c>
      <c r="BJ63" s="58">
        <v>134.72300000000001</v>
      </c>
      <c r="BK63" s="58">
        <v>102.364</v>
      </c>
      <c r="BL63" s="58">
        <v>32.36</v>
      </c>
      <c r="BM63" s="58">
        <v>76.182000000000002</v>
      </c>
      <c r="BN63" s="58">
        <v>57.536999999999999</v>
      </c>
      <c r="BO63" s="58">
        <v>18.645</v>
      </c>
      <c r="BP63" s="58">
        <v>58.540999999999997</v>
      </c>
      <c r="BQ63" s="58">
        <v>44.826999999999998</v>
      </c>
      <c r="BR63" s="58">
        <v>13.715</v>
      </c>
      <c r="BS63" s="58">
        <v>176.816</v>
      </c>
      <c r="BT63" s="58">
        <v>79.033000000000001</v>
      </c>
      <c r="BU63" s="58">
        <v>97.783000000000001</v>
      </c>
      <c r="BV63" s="58">
        <v>1603.8679999999999</v>
      </c>
      <c r="BW63" s="58">
        <v>803.77499999999998</v>
      </c>
      <c r="BX63" s="58">
        <v>800.09299999999996</v>
      </c>
      <c r="BY63" s="58">
        <v>570.73500000000001</v>
      </c>
      <c r="BZ63" s="58">
        <v>409.005</v>
      </c>
      <c r="CA63" s="58">
        <v>161.72999999999999</v>
      </c>
      <c r="CB63" s="58">
        <v>1033.133</v>
      </c>
      <c r="CC63" s="58">
        <v>394.77</v>
      </c>
      <c r="CD63" s="58">
        <v>638.36400000000003</v>
      </c>
      <c r="CE63" s="58">
        <v>674.62400000000002</v>
      </c>
      <c r="CF63" s="58">
        <v>489.46100000000001</v>
      </c>
      <c r="CG63" s="58">
        <v>185.16300000000001</v>
      </c>
      <c r="CH63" s="58">
        <v>1113.229</v>
      </c>
      <c r="CI63" s="58">
        <v>429.52</v>
      </c>
      <c r="CJ63" s="58">
        <v>683.70899999999995</v>
      </c>
      <c r="CK63" s="58">
        <v>1109.3150000000001</v>
      </c>
      <c r="CL63" s="58">
        <v>452.30599999999998</v>
      </c>
      <c r="CM63" s="58">
        <v>657.00900000000001</v>
      </c>
      <c r="CN63" s="58">
        <v>1926.8589999999999</v>
      </c>
      <c r="CO63" s="58">
        <v>978.85299999999995</v>
      </c>
      <c r="CP63" s="58">
        <v>948.00599999999997</v>
      </c>
      <c r="CQ63" s="58">
        <v>859.471</v>
      </c>
      <c r="CR63" s="58">
        <v>529.29899999999998</v>
      </c>
      <c r="CS63" s="58">
        <v>330.17200000000003</v>
      </c>
      <c r="CT63" s="58">
        <v>1067.3879999999999</v>
      </c>
      <c r="CU63" s="58">
        <v>449.55399999999997</v>
      </c>
      <c r="CV63" s="58">
        <v>617.83399999999995</v>
      </c>
      <c r="CW63" s="58">
        <v>533.03399999999999</v>
      </c>
      <c r="CX63" s="58">
        <v>265.15100000000001</v>
      </c>
      <c r="CY63" s="58">
        <v>267.88299999999998</v>
      </c>
      <c r="CZ63" s="58">
        <v>70.313999999999993</v>
      </c>
      <c r="DA63" s="58">
        <v>35.447000000000003</v>
      </c>
      <c r="DB63" s="58">
        <v>34.866999999999997</v>
      </c>
      <c r="DC63" s="58">
        <v>14.9</v>
      </c>
      <c r="DD63" s="58">
        <v>10.372</v>
      </c>
      <c r="DE63" s="58">
        <v>4.5279999999999996</v>
      </c>
      <c r="DF63" s="58">
        <v>9.1069999999999993</v>
      </c>
      <c r="DG63" s="58">
        <v>5.7069999999999999</v>
      </c>
      <c r="DH63" s="58">
        <v>3.4</v>
      </c>
      <c r="DI63" s="58">
        <v>5.7939999999999996</v>
      </c>
      <c r="DJ63" s="58">
        <v>4.6660000000000004</v>
      </c>
      <c r="DK63" s="58">
        <v>1.1279999999999999</v>
      </c>
      <c r="DL63" s="58">
        <v>55.414000000000001</v>
      </c>
      <c r="DM63" s="58">
        <v>25.074999999999999</v>
      </c>
      <c r="DN63" s="58">
        <v>30.338999999999999</v>
      </c>
      <c r="DO63" s="58">
        <v>497.82299999999998</v>
      </c>
      <c r="DP63" s="58">
        <v>246.81899999999999</v>
      </c>
      <c r="DQ63" s="58">
        <v>251.005</v>
      </c>
      <c r="DR63" s="58">
        <v>100.548</v>
      </c>
      <c r="DS63" s="58">
        <v>67.923000000000002</v>
      </c>
      <c r="DT63" s="58">
        <v>32.625</v>
      </c>
      <c r="DU63" s="58">
        <v>397.27499999999998</v>
      </c>
      <c r="DV63" s="58">
        <v>178.89599999999999</v>
      </c>
      <c r="DW63" s="58">
        <v>218.38</v>
      </c>
      <c r="DX63" s="58">
        <v>112.852</v>
      </c>
      <c r="DY63" s="58">
        <v>76.659000000000006</v>
      </c>
      <c r="DZ63" s="58">
        <v>36.192999999999998</v>
      </c>
      <c r="EA63" s="58">
        <v>420.18200000000002</v>
      </c>
      <c r="EB63" s="58">
        <v>188.49199999999999</v>
      </c>
      <c r="EC63" s="58">
        <v>231.69</v>
      </c>
      <c r="ED63" s="58">
        <v>406.38200000000001</v>
      </c>
      <c r="EE63" s="58">
        <v>184.602</v>
      </c>
      <c r="EF63" s="58">
        <v>221.78</v>
      </c>
      <c r="EG63" s="58">
        <v>675.34699999999998</v>
      </c>
      <c r="EH63" s="58">
        <v>322.476</v>
      </c>
      <c r="EI63" s="58">
        <v>352.87099999999998</v>
      </c>
      <c r="EJ63" s="58">
        <v>157.791</v>
      </c>
      <c r="EK63" s="58">
        <v>110.08799999999999</v>
      </c>
      <c r="EL63" s="58">
        <v>47.703000000000003</v>
      </c>
      <c r="EM63" s="58">
        <v>517.55600000000004</v>
      </c>
      <c r="EN63" s="58">
        <v>212.38800000000001</v>
      </c>
      <c r="EO63" s="58">
        <v>305.16800000000001</v>
      </c>
      <c r="EP63" s="58">
        <v>214.923</v>
      </c>
      <c r="EQ63" s="58">
        <v>103.818</v>
      </c>
      <c r="ER63" s="58">
        <v>111.105</v>
      </c>
      <c r="ES63" s="58">
        <v>32.478999999999999</v>
      </c>
      <c r="ET63" s="58">
        <v>17.38</v>
      </c>
      <c r="EU63" s="58">
        <v>15.1</v>
      </c>
      <c r="EV63" s="58">
        <v>3.3849999999999998</v>
      </c>
      <c r="EW63" s="58">
        <v>2.96</v>
      </c>
      <c r="EX63" s="58">
        <v>0.42499999999999999</v>
      </c>
      <c r="EY63" s="58">
        <v>3.3849999999999998</v>
      </c>
      <c r="EZ63" s="58">
        <v>2.96</v>
      </c>
      <c r="FA63" s="58">
        <v>0.42499999999999999</v>
      </c>
      <c r="FB63" s="58">
        <v>0</v>
      </c>
      <c r="FC63" s="58">
        <v>0</v>
      </c>
      <c r="FD63" s="58">
        <v>0</v>
      </c>
      <c r="FE63" s="58">
        <v>29.094999999999999</v>
      </c>
      <c r="FF63" s="58">
        <v>14.42</v>
      </c>
      <c r="FG63" s="58">
        <v>14.675000000000001</v>
      </c>
      <c r="FH63" s="58">
        <v>198.578</v>
      </c>
      <c r="FI63" s="58">
        <v>94.331000000000003</v>
      </c>
      <c r="FJ63" s="58">
        <v>104.247</v>
      </c>
      <c r="FK63" s="58">
        <v>18.998000000000001</v>
      </c>
      <c r="FL63" s="58">
        <v>12.997999999999999</v>
      </c>
      <c r="FM63" s="58">
        <v>6</v>
      </c>
      <c r="FN63" s="58">
        <v>179.58</v>
      </c>
      <c r="FO63" s="58">
        <v>81.332999999999998</v>
      </c>
      <c r="FP63" s="58">
        <v>98.247</v>
      </c>
      <c r="FQ63" s="58">
        <v>21.457000000000001</v>
      </c>
      <c r="FR63" s="58">
        <v>15.456</v>
      </c>
      <c r="FS63" s="58">
        <v>6</v>
      </c>
      <c r="FT63" s="58">
        <v>193.46700000000001</v>
      </c>
      <c r="FU63" s="58">
        <v>88.361000000000004</v>
      </c>
      <c r="FV63" s="58">
        <v>105.105</v>
      </c>
      <c r="FW63" s="58">
        <v>182.965</v>
      </c>
      <c r="FX63" s="58">
        <v>84.293000000000006</v>
      </c>
      <c r="FY63" s="58">
        <v>98.671999999999997</v>
      </c>
      <c r="FZ63" s="58">
        <v>1251.5119999999999</v>
      </c>
      <c r="GA63" s="58">
        <v>656.37699999999995</v>
      </c>
      <c r="GB63" s="58">
        <v>595.13499999999999</v>
      </c>
      <c r="GC63" s="58">
        <v>701.68</v>
      </c>
      <c r="GD63" s="58">
        <v>419.21100000000001</v>
      </c>
      <c r="GE63" s="58">
        <v>282.46899999999999</v>
      </c>
      <c r="GF63" s="58">
        <v>549.83199999999999</v>
      </c>
      <c r="GG63" s="58">
        <v>237.167</v>
      </c>
      <c r="GH63" s="58">
        <v>312.66500000000002</v>
      </c>
      <c r="GI63" s="58">
        <v>318.11099999999999</v>
      </c>
      <c r="GJ63" s="58">
        <v>161.333</v>
      </c>
      <c r="GK63" s="58">
        <v>156.77799999999999</v>
      </c>
      <c r="GL63" s="58">
        <v>37.835000000000001</v>
      </c>
      <c r="GM63" s="58">
        <v>18.067</v>
      </c>
      <c r="GN63" s="58">
        <v>19.766999999999999</v>
      </c>
      <c r="GO63" s="58">
        <v>11.516</v>
      </c>
      <c r="GP63" s="58">
        <v>7.4119999999999999</v>
      </c>
      <c r="GQ63" s="58">
        <v>4.1029999999999998</v>
      </c>
      <c r="GR63" s="58">
        <v>5.7220000000000004</v>
      </c>
      <c r="GS63" s="58">
        <v>2.7469999999999999</v>
      </c>
      <c r="GT63" s="58">
        <v>2.9750000000000001</v>
      </c>
      <c r="GU63" s="58">
        <v>5.7939999999999996</v>
      </c>
      <c r="GV63" s="58">
        <v>4.6660000000000004</v>
      </c>
      <c r="GW63" s="58">
        <v>1.1279999999999999</v>
      </c>
      <c r="GX63" s="58">
        <v>26.318999999999999</v>
      </c>
      <c r="GY63" s="58">
        <v>10.654999999999999</v>
      </c>
      <c r="GZ63" s="58">
        <v>15.664</v>
      </c>
      <c r="HA63" s="58">
        <v>299.245</v>
      </c>
      <c r="HB63" s="58">
        <v>152.48699999999999</v>
      </c>
      <c r="HC63" s="58">
        <v>146.75800000000001</v>
      </c>
      <c r="HD63" s="58">
        <v>81.55</v>
      </c>
      <c r="HE63" s="58">
        <v>54.924999999999997</v>
      </c>
      <c r="HF63" s="58">
        <v>26.625</v>
      </c>
      <c r="HG63" s="58">
        <v>217.69499999999999</v>
      </c>
      <c r="HH63" s="58">
        <v>97.561999999999998</v>
      </c>
      <c r="HI63" s="58">
        <v>120.133</v>
      </c>
      <c r="HJ63" s="58">
        <v>91.394999999999996</v>
      </c>
      <c r="HK63" s="58">
        <v>61.201999999999998</v>
      </c>
      <c r="HL63" s="58">
        <v>30.193000000000001</v>
      </c>
      <c r="HM63" s="58">
        <v>226.715</v>
      </c>
      <c r="HN63" s="58">
        <v>100.13</v>
      </c>
      <c r="HO63" s="58">
        <v>126.58499999999999</v>
      </c>
      <c r="HP63" s="58">
        <v>223.417</v>
      </c>
      <c r="HQ63" s="58">
        <v>100.309</v>
      </c>
      <c r="HR63" s="58">
        <v>123.108</v>
      </c>
      <c r="HS63" s="58">
        <v>3009.9560000000001</v>
      </c>
      <c r="HT63" s="58">
        <v>1622.3679999999999</v>
      </c>
      <c r="HU63" s="58">
        <v>1387.588</v>
      </c>
      <c r="HV63" s="58">
        <v>2289.12</v>
      </c>
      <c r="HW63" s="58">
        <v>1389.694</v>
      </c>
      <c r="HX63" s="58">
        <v>899.42600000000004</v>
      </c>
      <c r="HY63" s="58">
        <v>720.83600000000001</v>
      </c>
      <c r="HZ63" s="58">
        <v>232.67500000000001</v>
      </c>
      <c r="IA63" s="58">
        <v>488.161</v>
      </c>
      <c r="IB63" s="58">
        <v>410.63</v>
      </c>
      <c r="IC63" s="58">
        <v>237.47800000000001</v>
      </c>
      <c r="ID63" s="58">
        <v>173.15199999999999</v>
      </c>
      <c r="IE63" s="58">
        <v>68.423000000000002</v>
      </c>
      <c r="IF63" s="58">
        <v>43.524999999999999</v>
      </c>
      <c r="IG63" s="58">
        <v>24.898</v>
      </c>
      <c r="IH63" s="58">
        <v>33.625999999999998</v>
      </c>
      <c r="II63" s="58">
        <v>26.151</v>
      </c>
      <c r="IJ63" s="58">
        <v>7.4749999999999996</v>
      </c>
      <c r="IK63" s="58">
        <v>20.36</v>
      </c>
      <c r="IL63" s="58">
        <v>16.064</v>
      </c>
      <c r="IM63" s="58">
        <v>4.2960000000000003</v>
      </c>
      <c r="IN63" s="58">
        <v>13.266</v>
      </c>
      <c r="IO63" s="58">
        <v>10.087999999999999</v>
      </c>
      <c r="IP63" s="58">
        <v>3.1789999999999998</v>
      </c>
      <c r="IQ63" s="58">
        <v>34.796999999999997</v>
      </c>
    </row>
    <row r="64" spans="1:251">
      <c r="A64" s="5">
        <v>43435</v>
      </c>
      <c r="B64" s="58">
        <v>12839.166999999999</v>
      </c>
      <c r="C64" s="58">
        <v>6807.7259999999997</v>
      </c>
      <c r="D64" s="58">
        <v>6031.4409999999998</v>
      </c>
      <c r="E64" s="58">
        <v>8829.3040000000001</v>
      </c>
      <c r="F64" s="58">
        <v>5535.2460000000001</v>
      </c>
      <c r="G64" s="58">
        <v>3294.058</v>
      </c>
      <c r="H64" s="58">
        <v>4009.8620000000001</v>
      </c>
      <c r="I64" s="58">
        <v>1272.479</v>
      </c>
      <c r="J64" s="58">
        <v>2737.3829999999998</v>
      </c>
      <c r="K64" s="58">
        <v>1912.145</v>
      </c>
      <c r="L64" s="58">
        <v>978.92100000000005</v>
      </c>
      <c r="M64" s="58">
        <v>933.22299999999996</v>
      </c>
      <c r="N64" s="58">
        <v>339.20499999999998</v>
      </c>
      <c r="O64" s="58">
        <v>183.76499999999999</v>
      </c>
      <c r="P64" s="58">
        <v>155.44</v>
      </c>
      <c r="Q64" s="58">
        <v>135.34899999999999</v>
      </c>
      <c r="R64" s="58">
        <v>100.676</v>
      </c>
      <c r="S64" s="58">
        <v>34.673000000000002</v>
      </c>
      <c r="T64" s="58">
        <v>70.432000000000002</v>
      </c>
      <c r="U64" s="58">
        <v>49.86</v>
      </c>
      <c r="V64" s="58">
        <v>20.571000000000002</v>
      </c>
      <c r="W64" s="58">
        <v>64.917000000000002</v>
      </c>
      <c r="X64" s="58">
        <v>50.814999999999998</v>
      </c>
      <c r="Y64" s="58">
        <v>14.102</v>
      </c>
      <c r="Z64" s="58">
        <v>203.85599999999999</v>
      </c>
      <c r="AA64" s="58">
        <v>83.088999999999999</v>
      </c>
      <c r="AB64" s="58">
        <v>120.767</v>
      </c>
      <c r="AC64" s="58">
        <v>1723.0139999999999</v>
      </c>
      <c r="AD64" s="58">
        <v>870.23</v>
      </c>
      <c r="AE64" s="58">
        <v>852.78399999999999</v>
      </c>
      <c r="AF64" s="58">
        <v>611.68799999999999</v>
      </c>
      <c r="AG64" s="58">
        <v>433.18299999999999</v>
      </c>
      <c r="AH64" s="58">
        <v>178.505</v>
      </c>
      <c r="AI64" s="58">
        <v>1111.326</v>
      </c>
      <c r="AJ64" s="58">
        <v>437.04700000000003</v>
      </c>
      <c r="AK64" s="58">
        <v>674.279</v>
      </c>
      <c r="AL64" s="58">
        <v>712.19100000000003</v>
      </c>
      <c r="AM64" s="58">
        <v>507.786</v>
      </c>
      <c r="AN64" s="58">
        <v>204.40600000000001</v>
      </c>
      <c r="AO64" s="58">
        <v>1199.953</v>
      </c>
      <c r="AP64" s="58">
        <v>471.13600000000002</v>
      </c>
      <c r="AQ64" s="58">
        <v>728.81799999999998</v>
      </c>
      <c r="AR64" s="58">
        <v>1181.758</v>
      </c>
      <c r="AS64" s="58">
        <v>486.90699999999998</v>
      </c>
      <c r="AT64" s="58">
        <v>694.851</v>
      </c>
      <c r="AU64" s="58">
        <v>12282.159</v>
      </c>
      <c r="AV64" s="58">
        <v>6466.0280000000002</v>
      </c>
      <c r="AW64" s="58">
        <v>5816.1310000000003</v>
      </c>
      <c r="AX64" s="58">
        <v>8565.82</v>
      </c>
      <c r="AY64" s="58">
        <v>5348.9049999999997</v>
      </c>
      <c r="AZ64" s="58">
        <v>3216.915</v>
      </c>
      <c r="BA64" s="58">
        <v>3716.3389999999999</v>
      </c>
      <c r="BB64" s="58">
        <v>1117.123</v>
      </c>
      <c r="BC64" s="58">
        <v>2599.2159999999999</v>
      </c>
      <c r="BD64" s="58">
        <v>1865.357</v>
      </c>
      <c r="BE64" s="58">
        <v>949.13499999999999</v>
      </c>
      <c r="BF64" s="58">
        <v>916.22299999999996</v>
      </c>
      <c r="BG64" s="58">
        <v>317.02199999999999</v>
      </c>
      <c r="BH64" s="58">
        <v>170.417</v>
      </c>
      <c r="BI64" s="58">
        <v>146.60499999999999</v>
      </c>
      <c r="BJ64" s="58">
        <v>132.20599999999999</v>
      </c>
      <c r="BK64" s="58">
        <v>98.516999999999996</v>
      </c>
      <c r="BL64" s="58">
        <v>33.689</v>
      </c>
      <c r="BM64" s="58">
        <v>68.58</v>
      </c>
      <c r="BN64" s="58">
        <v>48.575000000000003</v>
      </c>
      <c r="BO64" s="58">
        <v>20.006</v>
      </c>
      <c r="BP64" s="58">
        <v>63.625999999999998</v>
      </c>
      <c r="BQ64" s="58">
        <v>49.942999999999998</v>
      </c>
      <c r="BR64" s="58">
        <v>13.683999999999999</v>
      </c>
      <c r="BS64" s="58">
        <v>184.816</v>
      </c>
      <c r="BT64" s="58">
        <v>71.900000000000006</v>
      </c>
      <c r="BU64" s="58">
        <v>112.916</v>
      </c>
      <c r="BV64" s="58">
        <v>1692.605</v>
      </c>
      <c r="BW64" s="58">
        <v>849.79600000000005</v>
      </c>
      <c r="BX64" s="58">
        <v>842.80899999999997</v>
      </c>
      <c r="BY64" s="58">
        <v>603.10599999999999</v>
      </c>
      <c r="BZ64" s="58">
        <v>426.185</v>
      </c>
      <c r="CA64" s="58">
        <v>176.92</v>
      </c>
      <c r="CB64" s="58">
        <v>1089.5</v>
      </c>
      <c r="CC64" s="58">
        <v>423.61099999999999</v>
      </c>
      <c r="CD64" s="58">
        <v>665.88900000000001</v>
      </c>
      <c r="CE64" s="58">
        <v>701.69799999999998</v>
      </c>
      <c r="CF64" s="58">
        <v>499.29500000000002</v>
      </c>
      <c r="CG64" s="58">
        <v>202.40299999999999</v>
      </c>
      <c r="CH64" s="58">
        <v>1163.6590000000001</v>
      </c>
      <c r="CI64" s="58">
        <v>449.839</v>
      </c>
      <c r="CJ64" s="58">
        <v>713.82</v>
      </c>
      <c r="CK64" s="58">
        <v>1158.08</v>
      </c>
      <c r="CL64" s="58">
        <v>472.18599999999998</v>
      </c>
      <c r="CM64" s="58">
        <v>685.89400000000001</v>
      </c>
      <c r="CN64" s="58">
        <v>2013.8589999999999</v>
      </c>
      <c r="CO64" s="58">
        <v>1030.174</v>
      </c>
      <c r="CP64" s="58">
        <v>983.68499999999995</v>
      </c>
      <c r="CQ64" s="58">
        <v>950.7</v>
      </c>
      <c r="CR64" s="58">
        <v>577.83600000000001</v>
      </c>
      <c r="CS64" s="58">
        <v>372.863</v>
      </c>
      <c r="CT64" s="58">
        <v>1063.1590000000001</v>
      </c>
      <c r="CU64" s="58">
        <v>452.33800000000002</v>
      </c>
      <c r="CV64" s="58">
        <v>610.82100000000003</v>
      </c>
      <c r="CW64" s="58">
        <v>611.17700000000002</v>
      </c>
      <c r="CX64" s="58">
        <v>297.01499999999999</v>
      </c>
      <c r="CY64" s="58">
        <v>314.16300000000001</v>
      </c>
      <c r="CZ64" s="58">
        <v>81.619</v>
      </c>
      <c r="DA64" s="58">
        <v>39.494999999999997</v>
      </c>
      <c r="DB64" s="58">
        <v>42.124000000000002</v>
      </c>
      <c r="DC64" s="58">
        <v>18.155999999999999</v>
      </c>
      <c r="DD64" s="58">
        <v>12.042999999999999</v>
      </c>
      <c r="DE64" s="58">
        <v>6.1130000000000004</v>
      </c>
      <c r="DF64" s="58">
        <v>12.667</v>
      </c>
      <c r="DG64" s="58">
        <v>7.7569999999999997</v>
      </c>
      <c r="DH64" s="58">
        <v>4.91</v>
      </c>
      <c r="DI64" s="58">
        <v>5.4889999999999999</v>
      </c>
      <c r="DJ64" s="58">
        <v>4.2859999999999996</v>
      </c>
      <c r="DK64" s="58">
        <v>1.2030000000000001</v>
      </c>
      <c r="DL64" s="58">
        <v>63.462000000000003</v>
      </c>
      <c r="DM64" s="58">
        <v>27.452000000000002</v>
      </c>
      <c r="DN64" s="58">
        <v>36.01</v>
      </c>
      <c r="DO64" s="58">
        <v>578.37800000000004</v>
      </c>
      <c r="DP64" s="58">
        <v>280.74099999999999</v>
      </c>
      <c r="DQ64" s="58">
        <v>297.637</v>
      </c>
      <c r="DR64" s="58">
        <v>128.32599999999999</v>
      </c>
      <c r="DS64" s="58">
        <v>81.123000000000005</v>
      </c>
      <c r="DT64" s="58">
        <v>47.203000000000003</v>
      </c>
      <c r="DU64" s="58">
        <v>450.053</v>
      </c>
      <c r="DV64" s="58">
        <v>199.61799999999999</v>
      </c>
      <c r="DW64" s="58">
        <v>250.435</v>
      </c>
      <c r="DX64" s="58">
        <v>138.24799999999999</v>
      </c>
      <c r="DY64" s="58">
        <v>87.84</v>
      </c>
      <c r="DZ64" s="58">
        <v>50.408000000000001</v>
      </c>
      <c r="EA64" s="58">
        <v>472.92899999999997</v>
      </c>
      <c r="EB64" s="58">
        <v>209.17500000000001</v>
      </c>
      <c r="EC64" s="58">
        <v>263.755</v>
      </c>
      <c r="ED64" s="58">
        <v>462.72</v>
      </c>
      <c r="EE64" s="58">
        <v>207.375</v>
      </c>
      <c r="EF64" s="58">
        <v>255.345</v>
      </c>
      <c r="EG64" s="58">
        <v>715.41800000000001</v>
      </c>
      <c r="EH64" s="58">
        <v>351.59899999999999</v>
      </c>
      <c r="EI64" s="58">
        <v>363.82</v>
      </c>
      <c r="EJ64" s="58">
        <v>176.99199999999999</v>
      </c>
      <c r="EK64" s="58">
        <v>118.474</v>
      </c>
      <c r="EL64" s="58">
        <v>58.518000000000001</v>
      </c>
      <c r="EM64" s="58">
        <v>538.42700000000002</v>
      </c>
      <c r="EN64" s="58">
        <v>233.125</v>
      </c>
      <c r="EO64" s="58">
        <v>305.30200000000002</v>
      </c>
      <c r="EP64" s="58">
        <v>267.95999999999998</v>
      </c>
      <c r="EQ64" s="58">
        <v>125.208</v>
      </c>
      <c r="ER64" s="58">
        <v>142.75200000000001</v>
      </c>
      <c r="ES64" s="58">
        <v>38.811</v>
      </c>
      <c r="ET64" s="58">
        <v>17.504000000000001</v>
      </c>
      <c r="EU64" s="58">
        <v>21.306999999999999</v>
      </c>
      <c r="EV64" s="58">
        <v>4.6639999999999997</v>
      </c>
      <c r="EW64" s="58">
        <v>2.5470000000000002</v>
      </c>
      <c r="EX64" s="58">
        <v>2.117</v>
      </c>
      <c r="EY64" s="58">
        <v>4.048</v>
      </c>
      <c r="EZ64" s="58">
        <v>1.931</v>
      </c>
      <c r="FA64" s="58">
        <v>2.117</v>
      </c>
      <c r="FB64" s="58">
        <v>0.61599999999999999</v>
      </c>
      <c r="FC64" s="58">
        <v>0.61599999999999999</v>
      </c>
      <c r="FD64" s="58">
        <v>0</v>
      </c>
      <c r="FE64" s="58">
        <v>34.146999999999998</v>
      </c>
      <c r="FF64" s="58">
        <v>14.957000000000001</v>
      </c>
      <c r="FG64" s="58">
        <v>19.190000000000001</v>
      </c>
      <c r="FH64" s="58">
        <v>251.28899999999999</v>
      </c>
      <c r="FI64" s="58">
        <v>117.718</v>
      </c>
      <c r="FJ64" s="58">
        <v>133.571</v>
      </c>
      <c r="FK64" s="58">
        <v>22.207000000000001</v>
      </c>
      <c r="FL64" s="58">
        <v>13.246</v>
      </c>
      <c r="FM64" s="58">
        <v>8.9610000000000003</v>
      </c>
      <c r="FN64" s="58">
        <v>229.083</v>
      </c>
      <c r="FO64" s="58">
        <v>104.473</v>
      </c>
      <c r="FP64" s="58">
        <v>124.61</v>
      </c>
      <c r="FQ64" s="58">
        <v>25.515000000000001</v>
      </c>
      <c r="FR64" s="58">
        <v>15.215999999999999</v>
      </c>
      <c r="FS64" s="58">
        <v>10.298999999999999</v>
      </c>
      <c r="FT64" s="58">
        <v>242.44499999999999</v>
      </c>
      <c r="FU64" s="58">
        <v>109.992</v>
      </c>
      <c r="FV64" s="58">
        <v>132.453</v>
      </c>
      <c r="FW64" s="58">
        <v>233.131</v>
      </c>
      <c r="FX64" s="58">
        <v>106.404</v>
      </c>
      <c r="FY64" s="58">
        <v>126.727</v>
      </c>
      <c r="FZ64" s="58">
        <v>1298.441</v>
      </c>
      <c r="GA64" s="58">
        <v>678.57500000000005</v>
      </c>
      <c r="GB64" s="58">
        <v>619.86500000000001</v>
      </c>
      <c r="GC64" s="58">
        <v>773.70799999999997</v>
      </c>
      <c r="GD64" s="58">
        <v>459.36200000000002</v>
      </c>
      <c r="GE64" s="58">
        <v>314.346</v>
      </c>
      <c r="GF64" s="58">
        <v>524.73299999999995</v>
      </c>
      <c r="GG64" s="58">
        <v>219.21299999999999</v>
      </c>
      <c r="GH64" s="58">
        <v>305.52</v>
      </c>
      <c r="GI64" s="58">
        <v>343.21699999999998</v>
      </c>
      <c r="GJ64" s="58">
        <v>171.80600000000001</v>
      </c>
      <c r="GK64" s="58">
        <v>171.411</v>
      </c>
      <c r="GL64" s="58">
        <v>42.808</v>
      </c>
      <c r="GM64" s="58">
        <v>21.991</v>
      </c>
      <c r="GN64" s="58">
        <v>20.817</v>
      </c>
      <c r="GO64" s="58">
        <v>13.492000000000001</v>
      </c>
      <c r="GP64" s="58">
        <v>9.4960000000000004</v>
      </c>
      <c r="GQ64" s="58">
        <v>3.996</v>
      </c>
      <c r="GR64" s="58">
        <v>8.6199999999999992</v>
      </c>
      <c r="GS64" s="58">
        <v>5.8259999999999996</v>
      </c>
      <c r="GT64" s="58">
        <v>2.7930000000000001</v>
      </c>
      <c r="GU64" s="58">
        <v>4.8719999999999999</v>
      </c>
      <c r="GV64" s="58">
        <v>3.669</v>
      </c>
      <c r="GW64" s="58">
        <v>1.2030000000000001</v>
      </c>
      <c r="GX64" s="58">
        <v>29.315999999999999</v>
      </c>
      <c r="GY64" s="58">
        <v>12.494999999999999</v>
      </c>
      <c r="GZ64" s="58">
        <v>16.821000000000002</v>
      </c>
      <c r="HA64" s="58">
        <v>327.089</v>
      </c>
      <c r="HB64" s="58">
        <v>163.023</v>
      </c>
      <c r="HC64" s="58">
        <v>164.066</v>
      </c>
      <c r="HD64" s="58">
        <v>106.119</v>
      </c>
      <c r="HE64" s="58">
        <v>67.878</v>
      </c>
      <c r="HF64" s="58">
        <v>38.241999999999997</v>
      </c>
      <c r="HG64" s="58">
        <v>220.97</v>
      </c>
      <c r="HH64" s="58">
        <v>95.144999999999996</v>
      </c>
      <c r="HI64" s="58">
        <v>125.825</v>
      </c>
      <c r="HJ64" s="58">
        <v>112.733</v>
      </c>
      <c r="HK64" s="58">
        <v>72.623000000000005</v>
      </c>
      <c r="HL64" s="58">
        <v>40.109000000000002</v>
      </c>
      <c r="HM64" s="58">
        <v>230.48400000000001</v>
      </c>
      <c r="HN64" s="58">
        <v>99.183000000000007</v>
      </c>
      <c r="HO64" s="58">
        <v>131.30199999999999</v>
      </c>
      <c r="HP64" s="58">
        <v>229.589</v>
      </c>
      <c r="HQ64" s="58">
        <v>100.971</v>
      </c>
      <c r="HR64" s="58">
        <v>128.61799999999999</v>
      </c>
      <c r="HS64" s="58">
        <v>3020.7469999999998</v>
      </c>
      <c r="HT64" s="58">
        <v>1622.2080000000001</v>
      </c>
      <c r="HU64" s="58">
        <v>1398.54</v>
      </c>
      <c r="HV64" s="58">
        <v>2294.355</v>
      </c>
      <c r="HW64" s="58">
        <v>1386.481</v>
      </c>
      <c r="HX64" s="58">
        <v>907.87400000000002</v>
      </c>
      <c r="HY64" s="58">
        <v>726.39300000000003</v>
      </c>
      <c r="HZ64" s="58">
        <v>235.727</v>
      </c>
      <c r="IA64" s="58">
        <v>490.666</v>
      </c>
      <c r="IB64" s="58">
        <v>447.93400000000003</v>
      </c>
      <c r="IC64" s="58">
        <v>253.93199999999999</v>
      </c>
      <c r="ID64" s="58">
        <v>194.001</v>
      </c>
      <c r="IE64" s="58">
        <v>65.506</v>
      </c>
      <c r="IF64" s="58">
        <v>39.834000000000003</v>
      </c>
      <c r="IG64" s="58">
        <v>25.672000000000001</v>
      </c>
      <c r="IH64" s="58">
        <v>32.869999999999997</v>
      </c>
      <c r="II64" s="58">
        <v>26.076000000000001</v>
      </c>
      <c r="IJ64" s="58">
        <v>6.7939999999999996</v>
      </c>
      <c r="IK64" s="58">
        <v>12.846</v>
      </c>
      <c r="IL64" s="58">
        <v>9.9719999999999995</v>
      </c>
      <c r="IM64" s="58">
        <v>2.8740000000000001</v>
      </c>
      <c r="IN64" s="58">
        <v>20.024000000000001</v>
      </c>
      <c r="IO64" s="58">
        <v>16.103999999999999</v>
      </c>
      <c r="IP64" s="58">
        <v>3.92</v>
      </c>
      <c r="IQ64" s="58">
        <v>32.637</v>
      </c>
    </row>
    <row r="65" spans="1:251">
      <c r="A65" s="5">
        <v>43466</v>
      </c>
      <c r="B65" s="58">
        <v>12603.075999999999</v>
      </c>
      <c r="C65" s="58">
        <v>6714.9160000000002</v>
      </c>
      <c r="D65" s="58">
        <v>5888.16</v>
      </c>
      <c r="E65" s="58">
        <v>8737.9860000000008</v>
      </c>
      <c r="F65" s="58">
        <v>5504.65</v>
      </c>
      <c r="G65" s="58">
        <v>3233.3359999999998</v>
      </c>
      <c r="H65" s="58">
        <v>3865.09</v>
      </c>
      <c r="I65" s="58">
        <v>1210.2660000000001</v>
      </c>
      <c r="J65" s="58">
        <v>2654.8240000000001</v>
      </c>
      <c r="K65" s="58">
        <v>1931.683</v>
      </c>
      <c r="L65" s="58">
        <v>1019.98</v>
      </c>
      <c r="M65" s="58">
        <v>911.70299999999997</v>
      </c>
      <c r="N65" s="58">
        <v>432.726</v>
      </c>
      <c r="O65" s="58">
        <v>261.37900000000002</v>
      </c>
      <c r="P65" s="58">
        <v>171.34700000000001</v>
      </c>
      <c r="Q65" s="58">
        <v>192.85599999999999</v>
      </c>
      <c r="R65" s="58">
        <v>152.00800000000001</v>
      </c>
      <c r="S65" s="58">
        <v>40.847999999999999</v>
      </c>
      <c r="T65" s="58">
        <v>94.882999999999996</v>
      </c>
      <c r="U65" s="58">
        <v>69.308999999999997</v>
      </c>
      <c r="V65" s="58">
        <v>25.574000000000002</v>
      </c>
      <c r="W65" s="58">
        <v>97.972999999999999</v>
      </c>
      <c r="X65" s="58">
        <v>82.7</v>
      </c>
      <c r="Y65" s="58">
        <v>15.273999999999999</v>
      </c>
      <c r="Z65" s="58">
        <v>239.87</v>
      </c>
      <c r="AA65" s="58">
        <v>109.371</v>
      </c>
      <c r="AB65" s="58">
        <v>130.5</v>
      </c>
      <c r="AC65" s="58">
        <v>1672.7550000000001</v>
      </c>
      <c r="AD65" s="58">
        <v>853.94200000000001</v>
      </c>
      <c r="AE65" s="58">
        <v>818.81299999999999</v>
      </c>
      <c r="AF65" s="58">
        <v>624.38800000000003</v>
      </c>
      <c r="AG65" s="58">
        <v>454.75700000000001</v>
      </c>
      <c r="AH65" s="58">
        <v>169.63</v>
      </c>
      <c r="AI65" s="58">
        <v>1048.367</v>
      </c>
      <c r="AJ65" s="58">
        <v>399.18400000000003</v>
      </c>
      <c r="AK65" s="58">
        <v>649.18299999999999</v>
      </c>
      <c r="AL65" s="58">
        <v>772.06299999999999</v>
      </c>
      <c r="AM65" s="58">
        <v>570.73699999999997</v>
      </c>
      <c r="AN65" s="58">
        <v>201.327</v>
      </c>
      <c r="AO65" s="58">
        <v>1159.6189999999999</v>
      </c>
      <c r="AP65" s="58">
        <v>449.24299999999999</v>
      </c>
      <c r="AQ65" s="58">
        <v>710.37599999999998</v>
      </c>
      <c r="AR65" s="58">
        <v>1143.25</v>
      </c>
      <c r="AS65" s="58">
        <v>468.49299999999999</v>
      </c>
      <c r="AT65" s="58">
        <v>674.75699999999995</v>
      </c>
      <c r="AU65" s="58">
        <v>12070.941000000001</v>
      </c>
      <c r="AV65" s="58">
        <v>6382.1059999999998</v>
      </c>
      <c r="AW65" s="58">
        <v>5688.835</v>
      </c>
      <c r="AX65" s="58">
        <v>8481.616</v>
      </c>
      <c r="AY65" s="58">
        <v>5323.3280000000004</v>
      </c>
      <c r="AZ65" s="58">
        <v>3158.288</v>
      </c>
      <c r="BA65" s="58">
        <v>3589.3240000000001</v>
      </c>
      <c r="BB65" s="58">
        <v>1058.778</v>
      </c>
      <c r="BC65" s="58">
        <v>2530.547</v>
      </c>
      <c r="BD65" s="58">
        <v>1882.86</v>
      </c>
      <c r="BE65" s="58">
        <v>986.27800000000002</v>
      </c>
      <c r="BF65" s="58">
        <v>896.58299999999997</v>
      </c>
      <c r="BG65" s="58">
        <v>405.00400000000002</v>
      </c>
      <c r="BH65" s="58">
        <v>240.446</v>
      </c>
      <c r="BI65" s="58">
        <v>164.55799999999999</v>
      </c>
      <c r="BJ65" s="58">
        <v>185.68700000000001</v>
      </c>
      <c r="BK65" s="58">
        <v>145.28399999999999</v>
      </c>
      <c r="BL65" s="58">
        <v>40.402999999999999</v>
      </c>
      <c r="BM65" s="58">
        <v>90.555000000000007</v>
      </c>
      <c r="BN65" s="58">
        <v>65.424999999999997</v>
      </c>
      <c r="BO65" s="58">
        <v>25.13</v>
      </c>
      <c r="BP65" s="58">
        <v>95.132000000000005</v>
      </c>
      <c r="BQ65" s="58">
        <v>79.858999999999995</v>
      </c>
      <c r="BR65" s="58">
        <v>15.273999999999999</v>
      </c>
      <c r="BS65" s="58">
        <v>219.316</v>
      </c>
      <c r="BT65" s="58">
        <v>95.162000000000006</v>
      </c>
      <c r="BU65" s="58">
        <v>124.154</v>
      </c>
      <c r="BV65" s="58">
        <v>1645.3910000000001</v>
      </c>
      <c r="BW65" s="58">
        <v>835.47</v>
      </c>
      <c r="BX65" s="58">
        <v>809.92100000000005</v>
      </c>
      <c r="BY65" s="58">
        <v>614.78</v>
      </c>
      <c r="BZ65" s="58">
        <v>447.12299999999999</v>
      </c>
      <c r="CA65" s="58">
        <v>167.65700000000001</v>
      </c>
      <c r="CB65" s="58">
        <v>1030.6120000000001</v>
      </c>
      <c r="CC65" s="58">
        <v>388.34800000000001</v>
      </c>
      <c r="CD65" s="58">
        <v>642.26400000000001</v>
      </c>
      <c r="CE65" s="58">
        <v>756.899</v>
      </c>
      <c r="CF65" s="58">
        <v>557.99</v>
      </c>
      <c r="CG65" s="58">
        <v>198.90899999999999</v>
      </c>
      <c r="CH65" s="58">
        <v>1125.961</v>
      </c>
      <c r="CI65" s="58">
        <v>428.28699999999998</v>
      </c>
      <c r="CJ65" s="58">
        <v>697.67399999999998</v>
      </c>
      <c r="CK65" s="58">
        <v>1121.1669999999999</v>
      </c>
      <c r="CL65" s="58">
        <v>453.77300000000002</v>
      </c>
      <c r="CM65" s="58">
        <v>667.39400000000001</v>
      </c>
      <c r="CN65" s="58">
        <v>1970.35</v>
      </c>
      <c r="CO65" s="58">
        <v>1011.563</v>
      </c>
      <c r="CP65" s="58">
        <v>958.78700000000003</v>
      </c>
      <c r="CQ65" s="58">
        <v>934.60400000000004</v>
      </c>
      <c r="CR65" s="58">
        <v>574.68600000000004</v>
      </c>
      <c r="CS65" s="58">
        <v>359.91899999999998</v>
      </c>
      <c r="CT65" s="58">
        <v>1035.7460000000001</v>
      </c>
      <c r="CU65" s="58">
        <v>436.87700000000001</v>
      </c>
      <c r="CV65" s="58">
        <v>598.86900000000003</v>
      </c>
      <c r="CW65" s="58">
        <v>573.52800000000002</v>
      </c>
      <c r="CX65" s="58">
        <v>282.60899999999998</v>
      </c>
      <c r="CY65" s="58">
        <v>290.91899999999998</v>
      </c>
      <c r="CZ65" s="58">
        <v>106.24</v>
      </c>
      <c r="DA65" s="58">
        <v>55.488</v>
      </c>
      <c r="DB65" s="58">
        <v>50.752000000000002</v>
      </c>
      <c r="DC65" s="58">
        <v>24.19</v>
      </c>
      <c r="DD65" s="58">
        <v>18.373000000000001</v>
      </c>
      <c r="DE65" s="58">
        <v>5.8170000000000002</v>
      </c>
      <c r="DF65" s="58">
        <v>15.478999999999999</v>
      </c>
      <c r="DG65" s="58">
        <v>10.324999999999999</v>
      </c>
      <c r="DH65" s="58">
        <v>5.1539999999999999</v>
      </c>
      <c r="DI65" s="58">
        <v>8.7110000000000003</v>
      </c>
      <c r="DJ65" s="58">
        <v>8.048</v>
      </c>
      <c r="DK65" s="58">
        <v>0.66300000000000003</v>
      </c>
      <c r="DL65" s="58">
        <v>82.05</v>
      </c>
      <c r="DM65" s="58">
        <v>37.115000000000002</v>
      </c>
      <c r="DN65" s="58">
        <v>44.935000000000002</v>
      </c>
      <c r="DO65" s="58">
        <v>527.44399999999996</v>
      </c>
      <c r="DP65" s="58">
        <v>253.57400000000001</v>
      </c>
      <c r="DQ65" s="58">
        <v>273.87</v>
      </c>
      <c r="DR65" s="58">
        <v>116.379</v>
      </c>
      <c r="DS65" s="58">
        <v>79.7</v>
      </c>
      <c r="DT65" s="58">
        <v>36.68</v>
      </c>
      <c r="DU65" s="58">
        <v>411.06400000000002</v>
      </c>
      <c r="DV65" s="58">
        <v>173.874</v>
      </c>
      <c r="DW65" s="58">
        <v>237.19</v>
      </c>
      <c r="DX65" s="58">
        <v>129.05099999999999</v>
      </c>
      <c r="DY65" s="58">
        <v>90.272999999999996</v>
      </c>
      <c r="DZ65" s="58">
        <v>38.777999999999999</v>
      </c>
      <c r="EA65" s="58">
        <v>444.47699999999998</v>
      </c>
      <c r="EB65" s="58">
        <v>192.33600000000001</v>
      </c>
      <c r="EC65" s="58">
        <v>252.14099999999999</v>
      </c>
      <c r="ED65" s="58">
        <v>426.54300000000001</v>
      </c>
      <c r="EE65" s="58">
        <v>184.19900000000001</v>
      </c>
      <c r="EF65" s="58">
        <v>242.34399999999999</v>
      </c>
      <c r="EG65" s="58">
        <v>691.76700000000005</v>
      </c>
      <c r="EH65" s="58">
        <v>349.19200000000001</v>
      </c>
      <c r="EI65" s="58">
        <v>342.57499999999999</v>
      </c>
      <c r="EJ65" s="58">
        <v>181.37200000000001</v>
      </c>
      <c r="EK65" s="58">
        <v>129.62700000000001</v>
      </c>
      <c r="EL65" s="58">
        <v>51.744999999999997</v>
      </c>
      <c r="EM65" s="58">
        <v>510.39499999999998</v>
      </c>
      <c r="EN65" s="58">
        <v>219.565</v>
      </c>
      <c r="EO65" s="58">
        <v>290.83</v>
      </c>
      <c r="EP65" s="58">
        <v>242.761</v>
      </c>
      <c r="EQ65" s="58">
        <v>118.149</v>
      </c>
      <c r="ER65" s="58">
        <v>124.613</v>
      </c>
      <c r="ES65" s="58">
        <v>40.262999999999998</v>
      </c>
      <c r="ET65" s="58">
        <v>17.978999999999999</v>
      </c>
      <c r="EU65" s="58">
        <v>22.283999999999999</v>
      </c>
      <c r="EV65" s="58">
        <v>4.97</v>
      </c>
      <c r="EW65" s="58">
        <v>3.3359999999999999</v>
      </c>
      <c r="EX65" s="58">
        <v>1.6339999999999999</v>
      </c>
      <c r="EY65" s="58">
        <v>4.367</v>
      </c>
      <c r="EZ65" s="58">
        <v>2.7330000000000001</v>
      </c>
      <c r="FA65" s="58">
        <v>1.6339999999999999</v>
      </c>
      <c r="FB65" s="58">
        <v>0.60299999999999998</v>
      </c>
      <c r="FC65" s="58">
        <v>0.60299999999999998</v>
      </c>
      <c r="FD65" s="58">
        <v>0</v>
      </c>
      <c r="FE65" s="58">
        <v>35.292999999999999</v>
      </c>
      <c r="FF65" s="58">
        <v>14.643000000000001</v>
      </c>
      <c r="FG65" s="58">
        <v>20.65</v>
      </c>
      <c r="FH65" s="58">
        <v>224.16900000000001</v>
      </c>
      <c r="FI65" s="58">
        <v>108.405</v>
      </c>
      <c r="FJ65" s="58">
        <v>115.764</v>
      </c>
      <c r="FK65" s="58">
        <v>22.585999999999999</v>
      </c>
      <c r="FL65" s="58">
        <v>16.82</v>
      </c>
      <c r="FM65" s="58">
        <v>5.766</v>
      </c>
      <c r="FN65" s="58">
        <v>201.583</v>
      </c>
      <c r="FO65" s="58">
        <v>91.584000000000003</v>
      </c>
      <c r="FP65" s="58">
        <v>109.998</v>
      </c>
      <c r="FQ65" s="58">
        <v>26.03</v>
      </c>
      <c r="FR65" s="58">
        <v>19.321000000000002</v>
      </c>
      <c r="FS65" s="58">
        <v>6.71</v>
      </c>
      <c r="FT65" s="58">
        <v>216.73099999999999</v>
      </c>
      <c r="FU65" s="58">
        <v>98.828000000000003</v>
      </c>
      <c r="FV65" s="58">
        <v>117.90300000000001</v>
      </c>
      <c r="FW65" s="58">
        <v>205.95</v>
      </c>
      <c r="FX65" s="58">
        <v>94.316999999999993</v>
      </c>
      <c r="FY65" s="58">
        <v>111.633</v>
      </c>
      <c r="FZ65" s="58">
        <v>1278.5830000000001</v>
      </c>
      <c r="GA65" s="58">
        <v>662.37</v>
      </c>
      <c r="GB65" s="58">
        <v>616.21199999999999</v>
      </c>
      <c r="GC65" s="58">
        <v>753.23199999999997</v>
      </c>
      <c r="GD65" s="58">
        <v>445.05900000000003</v>
      </c>
      <c r="GE65" s="58">
        <v>308.173</v>
      </c>
      <c r="GF65" s="58">
        <v>525.351</v>
      </c>
      <c r="GG65" s="58">
        <v>217.31200000000001</v>
      </c>
      <c r="GH65" s="58">
        <v>308.03899999999999</v>
      </c>
      <c r="GI65" s="58">
        <v>330.767</v>
      </c>
      <c r="GJ65" s="58">
        <v>164.46</v>
      </c>
      <c r="GK65" s="58">
        <v>166.30699999999999</v>
      </c>
      <c r="GL65" s="58">
        <v>65.975999999999999</v>
      </c>
      <c r="GM65" s="58">
        <v>37.509</v>
      </c>
      <c r="GN65" s="58">
        <v>28.466999999999999</v>
      </c>
      <c r="GO65" s="58">
        <v>19.22</v>
      </c>
      <c r="GP65" s="58">
        <v>15.038</v>
      </c>
      <c r="GQ65" s="58">
        <v>4.1820000000000004</v>
      </c>
      <c r="GR65" s="58">
        <v>11.112</v>
      </c>
      <c r="GS65" s="58">
        <v>7.593</v>
      </c>
      <c r="GT65" s="58">
        <v>3.5190000000000001</v>
      </c>
      <c r="GU65" s="58">
        <v>8.1080000000000005</v>
      </c>
      <c r="GV65" s="58">
        <v>7.4450000000000003</v>
      </c>
      <c r="GW65" s="58">
        <v>0.66300000000000003</v>
      </c>
      <c r="GX65" s="58">
        <v>46.756999999999998</v>
      </c>
      <c r="GY65" s="58">
        <v>22.472000000000001</v>
      </c>
      <c r="GZ65" s="58">
        <v>24.285</v>
      </c>
      <c r="HA65" s="58">
        <v>303.27499999999998</v>
      </c>
      <c r="HB65" s="58">
        <v>145.16900000000001</v>
      </c>
      <c r="HC65" s="58">
        <v>158.10599999999999</v>
      </c>
      <c r="HD65" s="58">
        <v>93.793000000000006</v>
      </c>
      <c r="HE65" s="58">
        <v>62.878999999999998</v>
      </c>
      <c r="HF65" s="58">
        <v>30.914000000000001</v>
      </c>
      <c r="HG65" s="58">
        <v>209.482</v>
      </c>
      <c r="HH65" s="58">
        <v>82.289000000000001</v>
      </c>
      <c r="HI65" s="58">
        <v>127.19199999999999</v>
      </c>
      <c r="HJ65" s="58">
        <v>103.021</v>
      </c>
      <c r="HK65" s="58">
        <v>70.951999999999998</v>
      </c>
      <c r="HL65" s="58">
        <v>32.067999999999998</v>
      </c>
      <c r="HM65" s="58">
        <v>227.74600000000001</v>
      </c>
      <c r="HN65" s="58">
        <v>93.507999999999996</v>
      </c>
      <c r="HO65" s="58">
        <v>134.238</v>
      </c>
      <c r="HP65" s="58">
        <v>220.59299999999999</v>
      </c>
      <c r="HQ65" s="58">
        <v>89.882000000000005</v>
      </c>
      <c r="HR65" s="58">
        <v>130.71100000000001</v>
      </c>
      <c r="HS65" s="58">
        <v>3010.42</v>
      </c>
      <c r="HT65" s="58">
        <v>1616.1279999999999</v>
      </c>
      <c r="HU65" s="58">
        <v>1394.2919999999999</v>
      </c>
      <c r="HV65" s="58">
        <v>2329.0439999999999</v>
      </c>
      <c r="HW65" s="58">
        <v>1400.8610000000001</v>
      </c>
      <c r="HX65" s="58">
        <v>928.18299999999999</v>
      </c>
      <c r="HY65" s="58">
        <v>681.37599999999998</v>
      </c>
      <c r="HZ65" s="58">
        <v>215.267</v>
      </c>
      <c r="IA65" s="58">
        <v>466.10899999999998</v>
      </c>
      <c r="IB65" s="58">
        <v>450.18599999999998</v>
      </c>
      <c r="IC65" s="58">
        <v>263.50299999999999</v>
      </c>
      <c r="ID65" s="58">
        <v>186.68299999999999</v>
      </c>
      <c r="IE65" s="58">
        <v>95.238</v>
      </c>
      <c r="IF65" s="58">
        <v>58.918999999999997</v>
      </c>
      <c r="IG65" s="58">
        <v>36.319000000000003</v>
      </c>
      <c r="IH65" s="58">
        <v>53.128</v>
      </c>
      <c r="II65" s="58">
        <v>40.762999999999998</v>
      </c>
      <c r="IJ65" s="58">
        <v>12.364000000000001</v>
      </c>
      <c r="IK65" s="58">
        <v>23.338000000000001</v>
      </c>
      <c r="IL65" s="58">
        <v>16.698</v>
      </c>
      <c r="IM65" s="58">
        <v>6.64</v>
      </c>
      <c r="IN65" s="58">
        <v>29.79</v>
      </c>
      <c r="IO65" s="58">
        <v>24.065999999999999</v>
      </c>
      <c r="IP65" s="58">
        <v>5.7240000000000002</v>
      </c>
      <c r="IQ65" s="58">
        <v>42.11</v>
      </c>
    </row>
    <row r="66" spans="1:251">
      <c r="A66" s="5">
        <v>43497</v>
      </c>
      <c r="B66" s="58">
        <v>12802.157999999999</v>
      </c>
      <c r="C66" s="58">
        <v>6791.6109999999999</v>
      </c>
      <c r="D66" s="58">
        <v>6010.5469999999996</v>
      </c>
      <c r="E66" s="58">
        <v>8828.3439999999991</v>
      </c>
      <c r="F66" s="58">
        <v>5549.0550000000003</v>
      </c>
      <c r="G66" s="58">
        <v>3279.2890000000002</v>
      </c>
      <c r="H66" s="58">
        <v>3973.8139999999999</v>
      </c>
      <c r="I66" s="58">
        <v>1242.556</v>
      </c>
      <c r="J66" s="58">
        <v>2731.2579999999998</v>
      </c>
      <c r="K66" s="58">
        <v>1773.9359999999999</v>
      </c>
      <c r="L66" s="58">
        <v>930.72299999999996</v>
      </c>
      <c r="M66" s="58">
        <v>843.21299999999997</v>
      </c>
      <c r="N66" s="58">
        <v>381.64</v>
      </c>
      <c r="O66" s="58">
        <v>216.78700000000001</v>
      </c>
      <c r="P66" s="58">
        <v>164.85300000000001</v>
      </c>
      <c r="Q66" s="58">
        <v>149.56299999999999</v>
      </c>
      <c r="R66" s="58">
        <v>113.26</v>
      </c>
      <c r="S66" s="58">
        <v>36.302999999999997</v>
      </c>
      <c r="T66" s="58">
        <v>85.933999999999997</v>
      </c>
      <c r="U66" s="58">
        <v>61.051000000000002</v>
      </c>
      <c r="V66" s="58">
        <v>24.882999999999999</v>
      </c>
      <c r="W66" s="58">
        <v>63.628999999999998</v>
      </c>
      <c r="X66" s="58">
        <v>52.209000000000003</v>
      </c>
      <c r="Y66" s="58">
        <v>11.42</v>
      </c>
      <c r="Z66" s="58">
        <v>232.077</v>
      </c>
      <c r="AA66" s="58">
        <v>103.527</v>
      </c>
      <c r="AB66" s="58">
        <v>128.55000000000001</v>
      </c>
      <c r="AC66" s="58">
        <v>1557.212</v>
      </c>
      <c r="AD66" s="58">
        <v>804.96799999999996</v>
      </c>
      <c r="AE66" s="58">
        <v>752.24400000000003</v>
      </c>
      <c r="AF66" s="58">
        <v>582.55100000000004</v>
      </c>
      <c r="AG66" s="58">
        <v>423.63600000000002</v>
      </c>
      <c r="AH66" s="58">
        <v>158.91499999999999</v>
      </c>
      <c r="AI66" s="58">
        <v>974.66099999999994</v>
      </c>
      <c r="AJ66" s="58">
        <v>381.33199999999999</v>
      </c>
      <c r="AK66" s="58">
        <v>593.32899999999995</v>
      </c>
      <c r="AL66" s="58">
        <v>692.68299999999999</v>
      </c>
      <c r="AM66" s="58">
        <v>505.83600000000001</v>
      </c>
      <c r="AN66" s="58">
        <v>186.84700000000001</v>
      </c>
      <c r="AO66" s="58">
        <v>1081.2529999999999</v>
      </c>
      <c r="AP66" s="58">
        <v>424.887</v>
      </c>
      <c r="AQ66" s="58">
        <v>656.36599999999999</v>
      </c>
      <c r="AR66" s="58">
        <v>1060.595</v>
      </c>
      <c r="AS66" s="58">
        <v>442.38299999999998</v>
      </c>
      <c r="AT66" s="58">
        <v>618.21100000000001</v>
      </c>
      <c r="AU66" s="58">
        <v>12229.343999999999</v>
      </c>
      <c r="AV66" s="58">
        <v>6439.1959999999999</v>
      </c>
      <c r="AW66" s="58">
        <v>5790.1480000000001</v>
      </c>
      <c r="AX66" s="58">
        <v>8565.9670000000006</v>
      </c>
      <c r="AY66" s="58">
        <v>5359.92</v>
      </c>
      <c r="AZ66" s="58">
        <v>3206.0459999999998</v>
      </c>
      <c r="BA66" s="58">
        <v>3663.377</v>
      </c>
      <c r="BB66" s="58">
        <v>1079.2760000000001</v>
      </c>
      <c r="BC66" s="58">
        <v>2584.1019999999999</v>
      </c>
      <c r="BD66" s="58">
        <v>1721.3330000000001</v>
      </c>
      <c r="BE66" s="58">
        <v>893.428</v>
      </c>
      <c r="BF66" s="58">
        <v>827.90599999999995</v>
      </c>
      <c r="BG66" s="58">
        <v>358.79199999999997</v>
      </c>
      <c r="BH66" s="58">
        <v>199.214</v>
      </c>
      <c r="BI66" s="58">
        <v>159.578</v>
      </c>
      <c r="BJ66" s="58">
        <v>144.54499999999999</v>
      </c>
      <c r="BK66" s="58">
        <v>109.575</v>
      </c>
      <c r="BL66" s="58">
        <v>34.97</v>
      </c>
      <c r="BM66" s="58">
        <v>82.637</v>
      </c>
      <c r="BN66" s="58">
        <v>58.707999999999998</v>
      </c>
      <c r="BO66" s="58">
        <v>23.928999999999998</v>
      </c>
      <c r="BP66" s="58">
        <v>61.908000000000001</v>
      </c>
      <c r="BQ66" s="58">
        <v>50.866999999999997</v>
      </c>
      <c r="BR66" s="58">
        <v>11.041</v>
      </c>
      <c r="BS66" s="58">
        <v>214.24600000000001</v>
      </c>
      <c r="BT66" s="58">
        <v>89.638000000000005</v>
      </c>
      <c r="BU66" s="58">
        <v>124.608</v>
      </c>
      <c r="BV66" s="58">
        <v>1522.3</v>
      </c>
      <c r="BW66" s="58">
        <v>781.18399999999997</v>
      </c>
      <c r="BX66" s="58">
        <v>741.11599999999999</v>
      </c>
      <c r="BY66" s="58">
        <v>571.94200000000001</v>
      </c>
      <c r="BZ66" s="58">
        <v>415.66500000000002</v>
      </c>
      <c r="CA66" s="58">
        <v>156.27699999999999</v>
      </c>
      <c r="CB66" s="58">
        <v>950.35699999999997</v>
      </c>
      <c r="CC66" s="58">
        <v>365.51900000000001</v>
      </c>
      <c r="CD66" s="58">
        <v>584.83900000000006</v>
      </c>
      <c r="CE66" s="58">
        <v>678.1</v>
      </c>
      <c r="CF66" s="58">
        <v>494.60399999999998</v>
      </c>
      <c r="CG66" s="58">
        <v>183.49600000000001</v>
      </c>
      <c r="CH66" s="58">
        <v>1043.2339999999999</v>
      </c>
      <c r="CI66" s="58">
        <v>398.82400000000001</v>
      </c>
      <c r="CJ66" s="58">
        <v>644.41</v>
      </c>
      <c r="CK66" s="58">
        <v>1032.9949999999999</v>
      </c>
      <c r="CL66" s="58">
        <v>424.22699999999998</v>
      </c>
      <c r="CM66" s="58">
        <v>608.76800000000003</v>
      </c>
      <c r="CN66" s="58">
        <v>1977.9749999999999</v>
      </c>
      <c r="CO66" s="58">
        <v>1012.467</v>
      </c>
      <c r="CP66" s="58">
        <v>965.50699999999995</v>
      </c>
      <c r="CQ66" s="58">
        <v>945.88900000000001</v>
      </c>
      <c r="CR66" s="58">
        <v>574.81500000000005</v>
      </c>
      <c r="CS66" s="58">
        <v>371.07499999999999</v>
      </c>
      <c r="CT66" s="58">
        <v>1032.085</v>
      </c>
      <c r="CU66" s="58">
        <v>437.65300000000002</v>
      </c>
      <c r="CV66" s="58">
        <v>594.43299999999999</v>
      </c>
      <c r="CW66" s="58">
        <v>486.00099999999998</v>
      </c>
      <c r="CX66" s="58">
        <v>236.57</v>
      </c>
      <c r="CY66" s="58">
        <v>249.43100000000001</v>
      </c>
      <c r="CZ66" s="58">
        <v>87.893000000000001</v>
      </c>
      <c r="DA66" s="58">
        <v>42.292999999999999</v>
      </c>
      <c r="DB66" s="58">
        <v>45.6</v>
      </c>
      <c r="DC66" s="58">
        <v>16.503</v>
      </c>
      <c r="DD66" s="58">
        <v>12.853</v>
      </c>
      <c r="DE66" s="58">
        <v>3.6509999999999998</v>
      </c>
      <c r="DF66" s="58">
        <v>11.872999999999999</v>
      </c>
      <c r="DG66" s="58">
        <v>9.0869999999999997</v>
      </c>
      <c r="DH66" s="58">
        <v>2.7869999999999999</v>
      </c>
      <c r="DI66" s="58">
        <v>4.63</v>
      </c>
      <c r="DJ66" s="58">
        <v>3.766</v>
      </c>
      <c r="DK66" s="58">
        <v>0.86399999999999999</v>
      </c>
      <c r="DL66" s="58">
        <v>71.39</v>
      </c>
      <c r="DM66" s="58">
        <v>29.44</v>
      </c>
      <c r="DN66" s="58">
        <v>41.95</v>
      </c>
      <c r="DO66" s="58">
        <v>447.31200000000001</v>
      </c>
      <c r="DP66" s="58">
        <v>218.59200000000001</v>
      </c>
      <c r="DQ66" s="58">
        <v>228.72</v>
      </c>
      <c r="DR66" s="58">
        <v>99.117999999999995</v>
      </c>
      <c r="DS66" s="58">
        <v>71.668000000000006</v>
      </c>
      <c r="DT66" s="58">
        <v>27.449000000000002</v>
      </c>
      <c r="DU66" s="58">
        <v>348.19499999999999</v>
      </c>
      <c r="DV66" s="58">
        <v>146.92400000000001</v>
      </c>
      <c r="DW66" s="58">
        <v>201.27</v>
      </c>
      <c r="DX66" s="58">
        <v>111.196</v>
      </c>
      <c r="DY66" s="58">
        <v>80.096000000000004</v>
      </c>
      <c r="DZ66" s="58">
        <v>31.1</v>
      </c>
      <c r="EA66" s="58">
        <v>374.80500000000001</v>
      </c>
      <c r="EB66" s="58">
        <v>156.47399999999999</v>
      </c>
      <c r="EC66" s="58">
        <v>218.33099999999999</v>
      </c>
      <c r="ED66" s="58">
        <v>360.06799999999998</v>
      </c>
      <c r="EE66" s="58">
        <v>156.011</v>
      </c>
      <c r="EF66" s="58">
        <v>204.05699999999999</v>
      </c>
      <c r="EG66" s="58">
        <v>697.89599999999996</v>
      </c>
      <c r="EH66" s="58">
        <v>346.13400000000001</v>
      </c>
      <c r="EI66" s="58">
        <v>351.76100000000002</v>
      </c>
      <c r="EJ66" s="58">
        <v>184.74700000000001</v>
      </c>
      <c r="EK66" s="58">
        <v>132.50200000000001</v>
      </c>
      <c r="EL66" s="58">
        <v>52.244999999999997</v>
      </c>
      <c r="EM66" s="58">
        <v>513.149</v>
      </c>
      <c r="EN66" s="58">
        <v>213.63200000000001</v>
      </c>
      <c r="EO66" s="58">
        <v>299.517</v>
      </c>
      <c r="EP66" s="58">
        <v>207.61600000000001</v>
      </c>
      <c r="EQ66" s="58">
        <v>100.979</v>
      </c>
      <c r="ER66" s="58">
        <v>106.636</v>
      </c>
      <c r="ES66" s="58">
        <v>36.292999999999999</v>
      </c>
      <c r="ET66" s="58">
        <v>18.021999999999998</v>
      </c>
      <c r="EU66" s="58">
        <v>18.271000000000001</v>
      </c>
      <c r="EV66" s="58">
        <v>3.8479999999999999</v>
      </c>
      <c r="EW66" s="58">
        <v>3.286</v>
      </c>
      <c r="EX66" s="58">
        <v>0.56200000000000006</v>
      </c>
      <c r="EY66" s="58">
        <v>3.8479999999999999</v>
      </c>
      <c r="EZ66" s="58">
        <v>3.286</v>
      </c>
      <c r="FA66" s="58">
        <v>0.56200000000000006</v>
      </c>
      <c r="FB66" s="58">
        <v>0</v>
      </c>
      <c r="FC66" s="58">
        <v>0</v>
      </c>
      <c r="FD66" s="58">
        <v>0</v>
      </c>
      <c r="FE66" s="58">
        <v>32.445</v>
      </c>
      <c r="FF66" s="58">
        <v>14.736000000000001</v>
      </c>
      <c r="FG66" s="58">
        <v>17.709</v>
      </c>
      <c r="FH66" s="58">
        <v>191.839</v>
      </c>
      <c r="FI66" s="58">
        <v>93.581999999999994</v>
      </c>
      <c r="FJ66" s="58">
        <v>98.257999999999996</v>
      </c>
      <c r="FK66" s="58">
        <v>23.405999999999999</v>
      </c>
      <c r="FL66" s="58">
        <v>20.111000000000001</v>
      </c>
      <c r="FM66" s="58">
        <v>3.2949999999999999</v>
      </c>
      <c r="FN66" s="58">
        <v>168.434</v>
      </c>
      <c r="FO66" s="58">
        <v>73.471000000000004</v>
      </c>
      <c r="FP66" s="58">
        <v>94.962999999999994</v>
      </c>
      <c r="FQ66" s="58">
        <v>25.876000000000001</v>
      </c>
      <c r="FR66" s="58">
        <v>22.018999999999998</v>
      </c>
      <c r="FS66" s="58">
        <v>3.8570000000000002</v>
      </c>
      <c r="FT66" s="58">
        <v>181.74</v>
      </c>
      <c r="FU66" s="58">
        <v>78.959999999999994</v>
      </c>
      <c r="FV66" s="58">
        <v>102.78</v>
      </c>
      <c r="FW66" s="58">
        <v>172.28200000000001</v>
      </c>
      <c r="FX66" s="58">
        <v>76.757000000000005</v>
      </c>
      <c r="FY66" s="58">
        <v>95.524000000000001</v>
      </c>
      <c r="FZ66" s="58">
        <v>1280.079</v>
      </c>
      <c r="GA66" s="58">
        <v>666.33299999999997</v>
      </c>
      <c r="GB66" s="58">
        <v>613.74599999999998</v>
      </c>
      <c r="GC66" s="58">
        <v>761.14200000000005</v>
      </c>
      <c r="GD66" s="58">
        <v>442.31200000000001</v>
      </c>
      <c r="GE66" s="58">
        <v>318.83</v>
      </c>
      <c r="GF66" s="58">
        <v>518.93700000000001</v>
      </c>
      <c r="GG66" s="58">
        <v>224.02099999999999</v>
      </c>
      <c r="GH66" s="58">
        <v>294.916</v>
      </c>
      <c r="GI66" s="58">
        <v>278.38499999999999</v>
      </c>
      <c r="GJ66" s="58">
        <v>135.59100000000001</v>
      </c>
      <c r="GK66" s="58">
        <v>142.79499999999999</v>
      </c>
      <c r="GL66" s="58">
        <v>51.6</v>
      </c>
      <c r="GM66" s="58">
        <v>24.27</v>
      </c>
      <c r="GN66" s="58">
        <v>27.329000000000001</v>
      </c>
      <c r="GO66" s="58">
        <v>12.654999999999999</v>
      </c>
      <c r="GP66" s="58">
        <v>9.5670000000000002</v>
      </c>
      <c r="GQ66" s="58">
        <v>3.089</v>
      </c>
      <c r="GR66" s="58">
        <v>8.0259999999999998</v>
      </c>
      <c r="GS66" s="58">
        <v>5.8010000000000002</v>
      </c>
      <c r="GT66" s="58">
        <v>2.2250000000000001</v>
      </c>
      <c r="GU66" s="58">
        <v>4.63</v>
      </c>
      <c r="GV66" s="58">
        <v>3.766</v>
      </c>
      <c r="GW66" s="58">
        <v>0.86399999999999999</v>
      </c>
      <c r="GX66" s="58">
        <v>38.944000000000003</v>
      </c>
      <c r="GY66" s="58">
        <v>14.704000000000001</v>
      </c>
      <c r="GZ66" s="58">
        <v>24.241</v>
      </c>
      <c r="HA66" s="58">
        <v>255.47300000000001</v>
      </c>
      <c r="HB66" s="58">
        <v>125.01</v>
      </c>
      <c r="HC66" s="58">
        <v>130.46199999999999</v>
      </c>
      <c r="HD66" s="58">
        <v>75.712000000000003</v>
      </c>
      <c r="HE66" s="58">
        <v>51.557000000000002</v>
      </c>
      <c r="HF66" s="58">
        <v>24.154</v>
      </c>
      <c r="HG66" s="58">
        <v>179.761</v>
      </c>
      <c r="HH66" s="58">
        <v>73.453000000000003</v>
      </c>
      <c r="HI66" s="58">
        <v>106.30800000000001</v>
      </c>
      <c r="HJ66" s="58">
        <v>85.320999999999998</v>
      </c>
      <c r="HK66" s="58">
        <v>58.076999999999998</v>
      </c>
      <c r="HL66" s="58">
        <v>27.242999999999999</v>
      </c>
      <c r="HM66" s="58">
        <v>193.065</v>
      </c>
      <c r="HN66" s="58">
        <v>77.513000000000005</v>
      </c>
      <c r="HO66" s="58">
        <v>115.55200000000001</v>
      </c>
      <c r="HP66" s="58">
        <v>187.78700000000001</v>
      </c>
      <c r="HQ66" s="58">
        <v>79.254000000000005</v>
      </c>
      <c r="HR66" s="58">
        <v>108.533</v>
      </c>
      <c r="HS66" s="58">
        <v>3042.8090000000002</v>
      </c>
      <c r="HT66" s="58">
        <v>1636.2329999999999</v>
      </c>
      <c r="HU66" s="58">
        <v>1406.576</v>
      </c>
      <c r="HV66" s="58">
        <v>2342.2539999999999</v>
      </c>
      <c r="HW66" s="58">
        <v>1421.8779999999999</v>
      </c>
      <c r="HX66" s="58">
        <v>920.37599999999998</v>
      </c>
      <c r="HY66" s="58">
        <v>700.55499999999995</v>
      </c>
      <c r="HZ66" s="58">
        <v>214.35499999999999</v>
      </c>
      <c r="IA66" s="58">
        <v>486.2</v>
      </c>
      <c r="IB66" s="58">
        <v>422.68</v>
      </c>
      <c r="IC66" s="58">
        <v>240.33500000000001</v>
      </c>
      <c r="ID66" s="58">
        <v>182.345</v>
      </c>
      <c r="IE66" s="58">
        <v>73.725999999999999</v>
      </c>
      <c r="IF66" s="58">
        <v>40.093000000000004</v>
      </c>
      <c r="IG66" s="58">
        <v>33.634</v>
      </c>
      <c r="IH66" s="58">
        <v>35.816000000000003</v>
      </c>
      <c r="II66" s="58">
        <v>23.599</v>
      </c>
      <c r="IJ66" s="58">
        <v>12.218</v>
      </c>
      <c r="IK66" s="58">
        <v>20.648</v>
      </c>
      <c r="IL66" s="58">
        <v>12.574</v>
      </c>
      <c r="IM66" s="58">
        <v>8.0739999999999998</v>
      </c>
      <c r="IN66" s="58">
        <v>15.167999999999999</v>
      </c>
      <c r="IO66" s="58">
        <v>11.025</v>
      </c>
      <c r="IP66" s="58">
        <v>4.1429999999999998</v>
      </c>
      <c r="IQ66" s="58">
        <v>37.909999999999997</v>
      </c>
    </row>
    <row r="67" spans="1:251">
      <c r="A67" s="5">
        <v>43525</v>
      </c>
      <c r="B67" s="58">
        <v>12785.249</v>
      </c>
      <c r="C67" s="58">
        <v>6789.1629999999996</v>
      </c>
      <c r="D67" s="58">
        <v>5996.0870000000004</v>
      </c>
      <c r="E67" s="58">
        <v>8763.4549999999999</v>
      </c>
      <c r="F67" s="58">
        <v>5516.8879999999999</v>
      </c>
      <c r="G67" s="58">
        <v>3246.567</v>
      </c>
      <c r="H67" s="58">
        <v>4021.7939999999999</v>
      </c>
      <c r="I67" s="58">
        <v>1272.2739999999999</v>
      </c>
      <c r="J67" s="58">
        <v>2749.5189999999998</v>
      </c>
      <c r="K67" s="58">
        <v>1784.9829999999999</v>
      </c>
      <c r="L67" s="58">
        <v>925.05799999999999</v>
      </c>
      <c r="M67" s="58">
        <v>859.92499999999995</v>
      </c>
      <c r="N67" s="58">
        <v>339.334</v>
      </c>
      <c r="O67" s="58">
        <v>188.09</v>
      </c>
      <c r="P67" s="58">
        <v>151.244</v>
      </c>
      <c r="Q67" s="58">
        <v>124.345</v>
      </c>
      <c r="R67" s="58">
        <v>93.87</v>
      </c>
      <c r="S67" s="58">
        <v>30.475000000000001</v>
      </c>
      <c r="T67" s="58">
        <v>68.460999999999999</v>
      </c>
      <c r="U67" s="58">
        <v>53.643999999999998</v>
      </c>
      <c r="V67" s="58">
        <v>14.817</v>
      </c>
      <c r="W67" s="58">
        <v>55.884</v>
      </c>
      <c r="X67" s="58">
        <v>40.225000000000001</v>
      </c>
      <c r="Y67" s="58">
        <v>15.659000000000001</v>
      </c>
      <c r="Z67" s="58">
        <v>214.989</v>
      </c>
      <c r="AA67" s="58">
        <v>94.221000000000004</v>
      </c>
      <c r="AB67" s="58">
        <v>120.768</v>
      </c>
      <c r="AC67" s="58">
        <v>1595.508</v>
      </c>
      <c r="AD67" s="58">
        <v>820.38900000000001</v>
      </c>
      <c r="AE67" s="58">
        <v>775.11900000000003</v>
      </c>
      <c r="AF67" s="58">
        <v>575.14300000000003</v>
      </c>
      <c r="AG67" s="58">
        <v>418.95299999999997</v>
      </c>
      <c r="AH67" s="58">
        <v>156.18899999999999</v>
      </c>
      <c r="AI67" s="58">
        <v>1020.365</v>
      </c>
      <c r="AJ67" s="58">
        <v>401.435</v>
      </c>
      <c r="AK67" s="58">
        <v>618.92999999999995</v>
      </c>
      <c r="AL67" s="58">
        <v>664.16200000000003</v>
      </c>
      <c r="AM67" s="58">
        <v>483.755</v>
      </c>
      <c r="AN67" s="58">
        <v>180.40700000000001</v>
      </c>
      <c r="AO67" s="58">
        <v>1120.8209999999999</v>
      </c>
      <c r="AP67" s="58">
        <v>441.303</v>
      </c>
      <c r="AQ67" s="58">
        <v>679.51800000000003</v>
      </c>
      <c r="AR67" s="58">
        <v>1088.826</v>
      </c>
      <c r="AS67" s="58">
        <v>455.08</v>
      </c>
      <c r="AT67" s="58">
        <v>633.74599999999998</v>
      </c>
      <c r="AU67" s="58">
        <v>12221.815000000001</v>
      </c>
      <c r="AV67" s="58">
        <v>6447.5479999999998</v>
      </c>
      <c r="AW67" s="58">
        <v>5774.2669999999998</v>
      </c>
      <c r="AX67" s="58">
        <v>8500.6409999999996</v>
      </c>
      <c r="AY67" s="58">
        <v>5328.982</v>
      </c>
      <c r="AZ67" s="58">
        <v>3171.6579999999999</v>
      </c>
      <c r="BA67" s="58">
        <v>3721.174</v>
      </c>
      <c r="BB67" s="58">
        <v>1118.566</v>
      </c>
      <c r="BC67" s="58">
        <v>2602.6080000000002</v>
      </c>
      <c r="BD67" s="58">
        <v>1734.655</v>
      </c>
      <c r="BE67" s="58">
        <v>893.28800000000001</v>
      </c>
      <c r="BF67" s="58">
        <v>841.36699999999996</v>
      </c>
      <c r="BG67" s="58">
        <v>315.02800000000002</v>
      </c>
      <c r="BH67" s="58">
        <v>171.416</v>
      </c>
      <c r="BI67" s="58">
        <v>143.613</v>
      </c>
      <c r="BJ67" s="58">
        <v>116.13500000000001</v>
      </c>
      <c r="BK67" s="58">
        <v>87.534999999999997</v>
      </c>
      <c r="BL67" s="58">
        <v>28.6</v>
      </c>
      <c r="BM67" s="58">
        <v>61.804000000000002</v>
      </c>
      <c r="BN67" s="58">
        <v>48.502000000000002</v>
      </c>
      <c r="BO67" s="58">
        <v>13.301</v>
      </c>
      <c r="BP67" s="58">
        <v>54.331000000000003</v>
      </c>
      <c r="BQ67" s="58">
        <v>39.033000000000001</v>
      </c>
      <c r="BR67" s="58">
        <v>15.298</v>
      </c>
      <c r="BS67" s="58">
        <v>198.89400000000001</v>
      </c>
      <c r="BT67" s="58">
        <v>83.881</v>
      </c>
      <c r="BU67" s="58">
        <v>115.01300000000001</v>
      </c>
      <c r="BV67" s="58">
        <v>1565.84</v>
      </c>
      <c r="BW67" s="58">
        <v>802.08199999999999</v>
      </c>
      <c r="BX67" s="58">
        <v>763.75800000000004</v>
      </c>
      <c r="BY67" s="58">
        <v>568.64499999999998</v>
      </c>
      <c r="BZ67" s="58">
        <v>413.98899999999998</v>
      </c>
      <c r="CA67" s="58">
        <v>154.65600000000001</v>
      </c>
      <c r="CB67" s="58">
        <v>997.19500000000005</v>
      </c>
      <c r="CC67" s="58">
        <v>388.09300000000002</v>
      </c>
      <c r="CD67" s="58">
        <v>609.10199999999998</v>
      </c>
      <c r="CE67" s="58">
        <v>650.11400000000003</v>
      </c>
      <c r="CF67" s="58">
        <v>473.11599999999999</v>
      </c>
      <c r="CG67" s="58">
        <v>176.99799999999999</v>
      </c>
      <c r="CH67" s="58">
        <v>1084.5409999999999</v>
      </c>
      <c r="CI67" s="58">
        <v>420.17200000000003</v>
      </c>
      <c r="CJ67" s="58">
        <v>664.36900000000003</v>
      </c>
      <c r="CK67" s="58">
        <v>1058.998</v>
      </c>
      <c r="CL67" s="58">
        <v>436.59500000000003</v>
      </c>
      <c r="CM67" s="58">
        <v>622.40300000000002</v>
      </c>
      <c r="CN67" s="58">
        <v>1947.0340000000001</v>
      </c>
      <c r="CO67" s="58">
        <v>995.46</v>
      </c>
      <c r="CP67" s="58">
        <v>951.57399999999996</v>
      </c>
      <c r="CQ67" s="58">
        <v>890.06</v>
      </c>
      <c r="CR67" s="58">
        <v>540.10799999999995</v>
      </c>
      <c r="CS67" s="58">
        <v>349.95299999999997</v>
      </c>
      <c r="CT67" s="58">
        <v>1056.973</v>
      </c>
      <c r="CU67" s="58">
        <v>455.35199999999998</v>
      </c>
      <c r="CV67" s="58">
        <v>601.62099999999998</v>
      </c>
      <c r="CW67" s="58">
        <v>491.11599999999999</v>
      </c>
      <c r="CX67" s="58">
        <v>244.78700000000001</v>
      </c>
      <c r="CY67" s="58">
        <v>246.32900000000001</v>
      </c>
      <c r="CZ67" s="58">
        <v>83.066000000000003</v>
      </c>
      <c r="DA67" s="58">
        <v>39.045999999999999</v>
      </c>
      <c r="DB67" s="58">
        <v>44.02</v>
      </c>
      <c r="DC67" s="58">
        <v>11.7</v>
      </c>
      <c r="DD67" s="58">
        <v>8.4280000000000008</v>
      </c>
      <c r="DE67" s="58">
        <v>3.2709999999999999</v>
      </c>
      <c r="DF67" s="58">
        <v>6.48</v>
      </c>
      <c r="DG67" s="58">
        <v>4.9779999999999998</v>
      </c>
      <c r="DH67" s="58">
        <v>1.502</v>
      </c>
      <c r="DI67" s="58">
        <v>5.22</v>
      </c>
      <c r="DJ67" s="58">
        <v>3.4510000000000001</v>
      </c>
      <c r="DK67" s="58">
        <v>1.7689999999999999</v>
      </c>
      <c r="DL67" s="58">
        <v>71.366</v>
      </c>
      <c r="DM67" s="58">
        <v>30.617999999999999</v>
      </c>
      <c r="DN67" s="58">
        <v>40.747999999999998</v>
      </c>
      <c r="DO67" s="58">
        <v>459.25700000000001</v>
      </c>
      <c r="DP67" s="58">
        <v>228.376</v>
      </c>
      <c r="DQ67" s="58">
        <v>230.88</v>
      </c>
      <c r="DR67" s="58">
        <v>97.28</v>
      </c>
      <c r="DS67" s="58">
        <v>65.756</v>
      </c>
      <c r="DT67" s="58">
        <v>31.524000000000001</v>
      </c>
      <c r="DU67" s="58">
        <v>361.97699999999998</v>
      </c>
      <c r="DV67" s="58">
        <v>162.62</v>
      </c>
      <c r="DW67" s="58">
        <v>199.357</v>
      </c>
      <c r="DX67" s="58">
        <v>102.705</v>
      </c>
      <c r="DY67" s="58">
        <v>69.745000000000005</v>
      </c>
      <c r="DZ67" s="58">
        <v>32.96</v>
      </c>
      <c r="EA67" s="58">
        <v>388.411</v>
      </c>
      <c r="EB67" s="58">
        <v>175.042</v>
      </c>
      <c r="EC67" s="58">
        <v>213.369</v>
      </c>
      <c r="ED67" s="58">
        <v>368.45699999999999</v>
      </c>
      <c r="EE67" s="58">
        <v>167.59700000000001</v>
      </c>
      <c r="EF67" s="58">
        <v>200.85900000000001</v>
      </c>
      <c r="EG67" s="58">
        <v>683.18100000000004</v>
      </c>
      <c r="EH67" s="58">
        <v>333.66899999999998</v>
      </c>
      <c r="EI67" s="58">
        <v>349.512</v>
      </c>
      <c r="EJ67" s="58">
        <v>165.101</v>
      </c>
      <c r="EK67" s="58">
        <v>115.07599999999999</v>
      </c>
      <c r="EL67" s="58">
        <v>50.024999999999999</v>
      </c>
      <c r="EM67" s="58">
        <v>518.08000000000004</v>
      </c>
      <c r="EN67" s="58">
        <v>218.59299999999999</v>
      </c>
      <c r="EO67" s="58">
        <v>299.48700000000002</v>
      </c>
      <c r="EP67" s="58">
        <v>216.35900000000001</v>
      </c>
      <c r="EQ67" s="58">
        <v>104.12</v>
      </c>
      <c r="ER67" s="58">
        <v>112.239</v>
      </c>
      <c r="ES67" s="58">
        <v>38.771999999999998</v>
      </c>
      <c r="ET67" s="58">
        <v>15.548999999999999</v>
      </c>
      <c r="EU67" s="58">
        <v>23.222999999999999</v>
      </c>
      <c r="EV67" s="58">
        <v>2.35</v>
      </c>
      <c r="EW67" s="58">
        <v>1.375</v>
      </c>
      <c r="EX67" s="58">
        <v>0.97499999999999998</v>
      </c>
      <c r="EY67" s="58">
        <v>1.577</v>
      </c>
      <c r="EZ67" s="58">
        <v>1.145</v>
      </c>
      <c r="FA67" s="58">
        <v>0.432</v>
      </c>
      <c r="FB67" s="58">
        <v>0.77300000000000002</v>
      </c>
      <c r="FC67" s="58">
        <v>0.23</v>
      </c>
      <c r="FD67" s="58">
        <v>0.54300000000000004</v>
      </c>
      <c r="FE67" s="58">
        <v>36.421999999999997</v>
      </c>
      <c r="FF67" s="58">
        <v>14.173999999999999</v>
      </c>
      <c r="FG67" s="58">
        <v>22.248000000000001</v>
      </c>
      <c r="FH67" s="58">
        <v>201.91</v>
      </c>
      <c r="FI67" s="58">
        <v>98.468999999999994</v>
      </c>
      <c r="FJ67" s="58">
        <v>103.441</v>
      </c>
      <c r="FK67" s="58">
        <v>19.492999999999999</v>
      </c>
      <c r="FL67" s="58">
        <v>14.612</v>
      </c>
      <c r="FM67" s="58">
        <v>4.8819999999999997</v>
      </c>
      <c r="FN67" s="58">
        <v>182.417</v>
      </c>
      <c r="FO67" s="58">
        <v>83.856999999999999</v>
      </c>
      <c r="FP67" s="58">
        <v>98.56</v>
      </c>
      <c r="FQ67" s="58">
        <v>20.606000000000002</v>
      </c>
      <c r="FR67" s="58">
        <v>15.180999999999999</v>
      </c>
      <c r="FS67" s="58">
        <v>5.4240000000000004</v>
      </c>
      <c r="FT67" s="58">
        <v>195.75299999999999</v>
      </c>
      <c r="FU67" s="58">
        <v>88.938999999999993</v>
      </c>
      <c r="FV67" s="58">
        <v>106.815</v>
      </c>
      <c r="FW67" s="58">
        <v>183.994</v>
      </c>
      <c r="FX67" s="58">
        <v>85.001999999999995</v>
      </c>
      <c r="FY67" s="58">
        <v>98.992000000000004</v>
      </c>
      <c r="FZ67" s="58">
        <v>1263.8530000000001</v>
      </c>
      <c r="GA67" s="58">
        <v>661.79100000000005</v>
      </c>
      <c r="GB67" s="58">
        <v>602.06100000000004</v>
      </c>
      <c r="GC67" s="58">
        <v>724.96</v>
      </c>
      <c r="GD67" s="58">
        <v>425.03199999999998</v>
      </c>
      <c r="GE67" s="58">
        <v>299.92700000000002</v>
      </c>
      <c r="GF67" s="58">
        <v>538.89300000000003</v>
      </c>
      <c r="GG67" s="58">
        <v>236.75899999999999</v>
      </c>
      <c r="GH67" s="58">
        <v>302.13400000000001</v>
      </c>
      <c r="GI67" s="58">
        <v>274.75599999999997</v>
      </c>
      <c r="GJ67" s="58">
        <v>140.667</v>
      </c>
      <c r="GK67" s="58">
        <v>134.09</v>
      </c>
      <c r="GL67" s="58">
        <v>44.293999999999997</v>
      </c>
      <c r="GM67" s="58">
        <v>23.498000000000001</v>
      </c>
      <c r="GN67" s="58">
        <v>20.797000000000001</v>
      </c>
      <c r="GO67" s="58">
        <v>9.35</v>
      </c>
      <c r="GP67" s="58">
        <v>7.0529999999999999</v>
      </c>
      <c r="GQ67" s="58">
        <v>2.2959999999999998</v>
      </c>
      <c r="GR67" s="58">
        <v>4.9029999999999996</v>
      </c>
      <c r="GS67" s="58">
        <v>3.8319999999999999</v>
      </c>
      <c r="GT67" s="58">
        <v>1.07</v>
      </c>
      <c r="GU67" s="58">
        <v>4.4470000000000001</v>
      </c>
      <c r="GV67" s="58">
        <v>3.2210000000000001</v>
      </c>
      <c r="GW67" s="58">
        <v>1.226</v>
      </c>
      <c r="GX67" s="58">
        <v>34.945</v>
      </c>
      <c r="GY67" s="58">
        <v>16.443999999999999</v>
      </c>
      <c r="GZ67" s="58">
        <v>18.5</v>
      </c>
      <c r="HA67" s="58">
        <v>257.34699999999998</v>
      </c>
      <c r="HB67" s="58">
        <v>129.90700000000001</v>
      </c>
      <c r="HC67" s="58">
        <v>127.43899999999999</v>
      </c>
      <c r="HD67" s="58">
        <v>77.786000000000001</v>
      </c>
      <c r="HE67" s="58">
        <v>51.143999999999998</v>
      </c>
      <c r="HF67" s="58">
        <v>26.641999999999999</v>
      </c>
      <c r="HG67" s="58">
        <v>179.56</v>
      </c>
      <c r="HH67" s="58">
        <v>78.763000000000005</v>
      </c>
      <c r="HI67" s="58">
        <v>100.797</v>
      </c>
      <c r="HJ67" s="58">
        <v>82.099000000000004</v>
      </c>
      <c r="HK67" s="58">
        <v>54.563000000000002</v>
      </c>
      <c r="HL67" s="58">
        <v>27.536000000000001</v>
      </c>
      <c r="HM67" s="58">
        <v>192.65700000000001</v>
      </c>
      <c r="HN67" s="58">
        <v>86.102999999999994</v>
      </c>
      <c r="HO67" s="58">
        <v>106.554</v>
      </c>
      <c r="HP67" s="58">
        <v>184.46299999999999</v>
      </c>
      <c r="HQ67" s="58">
        <v>82.594999999999999</v>
      </c>
      <c r="HR67" s="58">
        <v>101.867</v>
      </c>
      <c r="HS67" s="58">
        <v>3028.739</v>
      </c>
      <c r="HT67" s="58">
        <v>1634.9110000000001</v>
      </c>
      <c r="HU67" s="58">
        <v>1393.829</v>
      </c>
      <c r="HV67" s="58">
        <v>2303.4229999999998</v>
      </c>
      <c r="HW67" s="58">
        <v>1396.5540000000001</v>
      </c>
      <c r="HX67" s="58">
        <v>906.87</v>
      </c>
      <c r="HY67" s="58">
        <v>725.31600000000003</v>
      </c>
      <c r="HZ67" s="58">
        <v>238.357</v>
      </c>
      <c r="IA67" s="58">
        <v>486.959</v>
      </c>
      <c r="IB67" s="58">
        <v>412.15199999999999</v>
      </c>
      <c r="IC67" s="58">
        <v>241.76900000000001</v>
      </c>
      <c r="ID67" s="58">
        <v>170.38300000000001</v>
      </c>
      <c r="IE67" s="58">
        <v>58.975999999999999</v>
      </c>
      <c r="IF67" s="58">
        <v>33.691000000000003</v>
      </c>
      <c r="IG67" s="58">
        <v>25.285</v>
      </c>
      <c r="IH67" s="58">
        <v>23.622</v>
      </c>
      <c r="II67" s="58">
        <v>16.446999999999999</v>
      </c>
      <c r="IJ67" s="58">
        <v>7.1749999999999998</v>
      </c>
      <c r="IK67" s="58">
        <v>11.488</v>
      </c>
      <c r="IL67" s="58">
        <v>9.4640000000000004</v>
      </c>
      <c r="IM67" s="58">
        <v>2.024</v>
      </c>
      <c r="IN67" s="58">
        <v>12.132999999999999</v>
      </c>
      <c r="IO67" s="58">
        <v>6.9829999999999997</v>
      </c>
      <c r="IP67" s="58">
        <v>5.1509999999999998</v>
      </c>
      <c r="IQ67" s="58">
        <v>35.353999999999999</v>
      </c>
    </row>
    <row r="68" spans="1:251">
      <c r="A68" s="5">
        <v>43556</v>
      </c>
      <c r="B68" s="58">
        <v>12831.683000000001</v>
      </c>
      <c r="C68" s="58">
        <v>6790.973</v>
      </c>
      <c r="D68" s="58">
        <v>6040.71</v>
      </c>
      <c r="E68" s="58">
        <v>8746.9490000000005</v>
      </c>
      <c r="F68" s="58">
        <v>5480.4459999999999</v>
      </c>
      <c r="G68" s="58">
        <v>3266.5030000000002</v>
      </c>
      <c r="H68" s="58">
        <v>4084.7339999999999</v>
      </c>
      <c r="I68" s="58">
        <v>1310.528</v>
      </c>
      <c r="J68" s="58">
        <v>2774.2069999999999</v>
      </c>
      <c r="K68" s="58">
        <v>1859.7429999999999</v>
      </c>
      <c r="L68" s="58">
        <v>989.351</v>
      </c>
      <c r="M68" s="58">
        <v>870.39200000000005</v>
      </c>
      <c r="N68" s="58">
        <v>355.68599999999998</v>
      </c>
      <c r="O68" s="58">
        <v>211.30699999999999</v>
      </c>
      <c r="P68" s="58">
        <v>144.38</v>
      </c>
      <c r="Q68" s="58">
        <v>136.03700000000001</v>
      </c>
      <c r="R68" s="58">
        <v>107.84399999999999</v>
      </c>
      <c r="S68" s="58">
        <v>28.193999999999999</v>
      </c>
      <c r="T68" s="58">
        <v>75.742999999999995</v>
      </c>
      <c r="U68" s="58">
        <v>57.893999999999998</v>
      </c>
      <c r="V68" s="58">
        <v>17.849</v>
      </c>
      <c r="W68" s="58">
        <v>60.293999999999997</v>
      </c>
      <c r="X68" s="58">
        <v>49.95</v>
      </c>
      <c r="Y68" s="58">
        <v>10.345000000000001</v>
      </c>
      <c r="Z68" s="58">
        <v>219.649</v>
      </c>
      <c r="AA68" s="58">
        <v>103.46299999999999</v>
      </c>
      <c r="AB68" s="58">
        <v>116.18600000000001</v>
      </c>
      <c r="AC68" s="58">
        <v>1666.867</v>
      </c>
      <c r="AD68" s="58">
        <v>872.91499999999996</v>
      </c>
      <c r="AE68" s="58">
        <v>793.952</v>
      </c>
      <c r="AF68" s="58">
        <v>607.30499999999995</v>
      </c>
      <c r="AG68" s="58">
        <v>443.17200000000003</v>
      </c>
      <c r="AH68" s="58">
        <v>164.13300000000001</v>
      </c>
      <c r="AI68" s="58">
        <v>1059.5619999999999</v>
      </c>
      <c r="AJ68" s="58">
        <v>429.74299999999999</v>
      </c>
      <c r="AK68" s="58">
        <v>629.81899999999996</v>
      </c>
      <c r="AL68" s="58">
        <v>700.76</v>
      </c>
      <c r="AM68" s="58">
        <v>516.322</v>
      </c>
      <c r="AN68" s="58">
        <v>184.43799999999999</v>
      </c>
      <c r="AO68" s="58">
        <v>1158.9829999999999</v>
      </c>
      <c r="AP68" s="58">
        <v>473.029</v>
      </c>
      <c r="AQ68" s="58">
        <v>685.95399999999995</v>
      </c>
      <c r="AR68" s="58">
        <v>1135.3040000000001</v>
      </c>
      <c r="AS68" s="58">
        <v>487.637</v>
      </c>
      <c r="AT68" s="58">
        <v>647.66800000000001</v>
      </c>
      <c r="AU68" s="58">
        <v>12264.206</v>
      </c>
      <c r="AV68" s="58">
        <v>6444.1949999999997</v>
      </c>
      <c r="AW68" s="58">
        <v>5820.0119999999997</v>
      </c>
      <c r="AX68" s="58">
        <v>8486.9470000000001</v>
      </c>
      <c r="AY68" s="58">
        <v>5296.0690000000004</v>
      </c>
      <c r="AZ68" s="58">
        <v>3190.8780000000002</v>
      </c>
      <c r="BA68" s="58">
        <v>3777.259</v>
      </c>
      <c r="BB68" s="58">
        <v>1148.126</v>
      </c>
      <c r="BC68" s="58">
        <v>2629.1329999999998</v>
      </c>
      <c r="BD68" s="58">
        <v>1805.6310000000001</v>
      </c>
      <c r="BE68" s="58">
        <v>953.077</v>
      </c>
      <c r="BF68" s="58">
        <v>852.553</v>
      </c>
      <c r="BG68" s="58">
        <v>328.41500000000002</v>
      </c>
      <c r="BH68" s="58">
        <v>191.15799999999999</v>
      </c>
      <c r="BI68" s="58">
        <v>137.25700000000001</v>
      </c>
      <c r="BJ68" s="58">
        <v>129.15600000000001</v>
      </c>
      <c r="BK68" s="58">
        <v>102.803</v>
      </c>
      <c r="BL68" s="58">
        <v>26.353999999999999</v>
      </c>
      <c r="BM68" s="58">
        <v>71.692999999999998</v>
      </c>
      <c r="BN68" s="58">
        <v>55.128</v>
      </c>
      <c r="BO68" s="58">
        <v>16.564</v>
      </c>
      <c r="BP68" s="58">
        <v>57.463999999999999</v>
      </c>
      <c r="BQ68" s="58">
        <v>47.673999999999999</v>
      </c>
      <c r="BR68" s="58">
        <v>9.7889999999999997</v>
      </c>
      <c r="BS68" s="58">
        <v>199.25899999999999</v>
      </c>
      <c r="BT68" s="58">
        <v>88.355000000000004</v>
      </c>
      <c r="BU68" s="58">
        <v>110.90300000000001</v>
      </c>
      <c r="BV68" s="58">
        <v>1632.8589999999999</v>
      </c>
      <c r="BW68" s="58">
        <v>850.67600000000004</v>
      </c>
      <c r="BX68" s="58">
        <v>782.18299999999999</v>
      </c>
      <c r="BY68" s="58">
        <v>598.79499999999996</v>
      </c>
      <c r="BZ68" s="58">
        <v>437.35599999999999</v>
      </c>
      <c r="CA68" s="58">
        <v>161.43799999999999</v>
      </c>
      <c r="CB68" s="58">
        <v>1034.0640000000001</v>
      </c>
      <c r="CC68" s="58">
        <v>413.32</v>
      </c>
      <c r="CD68" s="58">
        <v>620.74400000000003</v>
      </c>
      <c r="CE68" s="58">
        <v>686.61699999999996</v>
      </c>
      <c r="CF68" s="58">
        <v>505.98099999999999</v>
      </c>
      <c r="CG68" s="58">
        <v>180.636</v>
      </c>
      <c r="CH68" s="58">
        <v>1119.0129999999999</v>
      </c>
      <c r="CI68" s="58">
        <v>447.096</v>
      </c>
      <c r="CJ68" s="58">
        <v>671.91700000000003</v>
      </c>
      <c r="CK68" s="58">
        <v>1105.7570000000001</v>
      </c>
      <c r="CL68" s="58">
        <v>468.44799999999998</v>
      </c>
      <c r="CM68" s="58">
        <v>637.30899999999997</v>
      </c>
      <c r="CN68" s="58">
        <v>1955.625</v>
      </c>
      <c r="CO68" s="58">
        <v>996.726</v>
      </c>
      <c r="CP68" s="58">
        <v>958.89800000000002</v>
      </c>
      <c r="CQ68" s="58">
        <v>869.15</v>
      </c>
      <c r="CR68" s="58">
        <v>527.13099999999997</v>
      </c>
      <c r="CS68" s="58">
        <v>342.01900000000001</v>
      </c>
      <c r="CT68" s="58">
        <v>1086.4749999999999</v>
      </c>
      <c r="CU68" s="58">
        <v>469.596</v>
      </c>
      <c r="CV68" s="58">
        <v>616.87900000000002</v>
      </c>
      <c r="CW68" s="58">
        <v>518.65800000000002</v>
      </c>
      <c r="CX68" s="58">
        <v>264.06900000000002</v>
      </c>
      <c r="CY68" s="58">
        <v>254.589</v>
      </c>
      <c r="CZ68" s="58">
        <v>89.915999999999997</v>
      </c>
      <c r="DA68" s="58">
        <v>50.35</v>
      </c>
      <c r="DB68" s="58">
        <v>39.566000000000003</v>
      </c>
      <c r="DC68" s="58">
        <v>19.911999999999999</v>
      </c>
      <c r="DD68" s="58">
        <v>15.76</v>
      </c>
      <c r="DE68" s="58">
        <v>4.1520000000000001</v>
      </c>
      <c r="DF68" s="58">
        <v>12.39</v>
      </c>
      <c r="DG68" s="58">
        <v>9.7210000000000001</v>
      </c>
      <c r="DH68" s="58">
        <v>2.669</v>
      </c>
      <c r="DI68" s="58">
        <v>7.5220000000000002</v>
      </c>
      <c r="DJ68" s="58">
        <v>6.0389999999999997</v>
      </c>
      <c r="DK68" s="58">
        <v>1.4830000000000001</v>
      </c>
      <c r="DL68" s="58">
        <v>70.004000000000005</v>
      </c>
      <c r="DM68" s="58">
        <v>34.590000000000003</v>
      </c>
      <c r="DN68" s="58">
        <v>35.414000000000001</v>
      </c>
      <c r="DO68" s="58">
        <v>473.77100000000002</v>
      </c>
      <c r="DP68" s="58">
        <v>235.762</v>
      </c>
      <c r="DQ68" s="58">
        <v>238.00899999999999</v>
      </c>
      <c r="DR68" s="58">
        <v>102.036</v>
      </c>
      <c r="DS68" s="58">
        <v>67.664000000000001</v>
      </c>
      <c r="DT68" s="58">
        <v>34.371000000000002</v>
      </c>
      <c r="DU68" s="58">
        <v>371.73500000000001</v>
      </c>
      <c r="DV68" s="58">
        <v>168.09800000000001</v>
      </c>
      <c r="DW68" s="58">
        <v>203.63800000000001</v>
      </c>
      <c r="DX68" s="58">
        <v>114.291</v>
      </c>
      <c r="DY68" s="58">
        <v>78.713999999999999</v>
      </c>
      <c r="DZ68" s="58">
        <v>35.578000000000003</v>
      </c>
      <c r="EA68" s="58">
        <v>404.36700000000002</v>
      </c>
      <c r="EB68" s="58">
        <v>185.35599999999999</v>
      </c>
      <c r="EC68" s="58">
        <v>219.012</v>
      </c>
      <c r="ED68" s="58">
        <v>384.12599999999998</v>
      </c>
      <c r="EE68" s="58">
        <v>177.81899999999999</v>
      </c>
      <c r="EF68" s="58">
        <v>206.30699999999999</v>
      </c>
      <c r="EG68" s="58">
        <v>692.01400000000001</v>
      </c>
      <c r="EH68" s="58">
        <v>336.96699999999998</v>
      </c>
      <c r="EI68" s="58">
        <v>355.04700000000003</v>
      </c>
      <c r="EJ68" s="58">
        <v>165.90899999999999</v>
      </c>
      <c r="EK68" s="58">
        <v>114.22499999999999</v>
      </c>
      <c r="EL68" s="58">
        <v>51.683999999999997</v>
      </c>
      <c r="EM68" s="58">
        <v>526.10500000000002</v>
      </c>
      <c r="EN68" s="58">
        <v>222.74199999999999</v>
      </c>
      <c r="EO68" s="58">
        <v>303.363</v>
      </c>
      <c r="EP68" s="58">
        <v>228.904</v>
      </c>
      <c r="EQ68" s="58">
        <v>112.014</v>
      </c>
      <c r="ER68" s="58">
        <v>116.89</v>
      </c>
      <c r="ES68" s="58">
        <v>37.695999999999998</v>
      </c>
      <c r="ET68" s="58">
        <v>19.122</v>
      </c>
      <c r="EU68" s="58">
        <v>18.573</v>
      </c>
      <c r="EV68" s="58">
        <v>4.0039999999999996</v>
      </c>
      <c r="EW68" s="58">
        <v>2.996</v>
      </c>
      <c r="EX68" s="58">
        <v>1.008</v>
      </c>
      <c r="EY68" s="58">
        <v>2.61</v>
      </c>
      <c r="EZ68" s="58">
        <v>2.2789999999999999</v>
      </c>
      <c r="FA68" s="58">
        <v>0.33</v>
      </c>
      <c r="FB68" s="58">
        <v>1.3939999999999999</v>
      </c>
      <c r="FC68" s="58">
        <v>0.71699999999999997</v>
      </c>
      <c r="FD68" s="58">
        <v>0.67800000000000005</v>
      </c>
      <c r="FE68" s="58">
        <v>33.691000000000003</v>
      </c>
      <c r="FF68" s="58">
        <v>16.126000000000001</v>
      </c>
      <c r="FG68" s="58">
        <v>17.565000000000001</v>
      </c>
      <c r="FH68" s="58">
        <v>209.655</v>
      </c>
      <c r="FI68" s="58">
        <v>101.31399999999999</v>
      </c>
      <c r="FJ68" s="58">
        <v>108.34099999999999</v>
      </c>
      <c r="FK68" s="58">
        <v>20.271999999999998</v>
      </c>
      <c r="FL68" s="58">
        <v>14.685</v>
      </c>
      <c r="FM68" s="58">
        <v>5.5869999999999997</v>
      </c>
      <c r="FN68" s="58">
        <v>189.38200000000001</v>
      </c>
      <c r="FO68" s="58">
        <v>86.628</v>
      </c>
      <c r="FP68" s="58">
        <v>102.754</v>
      </c>
      <c r="FQ68" s="58">
        <v>22.577999999999999</v>
      </c>
      <c r="FR68" s="58">
        <v>16.716000000000001</v>
      </c>
      <c r="FS68" s="58">
        <v>5.8609999999999998</v>
      </c>
      <c r="FT68" s="58">
        <v>206.327</v>
      </c>
      <c r="FU68" s="58">
        <v>95.298000000000002</v>
      </c>
      <c r="FV68" s="58">
        <v>111.029</v>
      </c>
      <c r="FW68" s="58">
        <v>191.99199999999999</v>
      </c>
      <c r="FX68" s="58">
        <v>88.908000000000001</v>
      </c>
      <c r="FY68" s="58">
        <v>103.08499999999999</v>
      </c>
      <c r="FZ68" s="58">
        <v>1263.6110000000001</v>
      </c>
      <c r="GA68" s="58">
        <v>659.75900000000001</v>
      </c>
      <c r="GB68" s="58">
        <v>603.851</v>
      </c>
      <c r="GC68" s="58">
        <v>703.24099999999999</v>
      </c>
      <c r="GD68" s="58">
        <v>412.90600000000001</v>
      </c>
      <c r="GE68" s="58">
        <v>290.33499999999998</v>
      </c>
      <c r="GF68" s="58">
        <v>560.37</v>
      </c>
      <c r="GG68" s="58">
        <v>246.85300000000001</v>
      </c>
      <c r="GH68" s="58">
        <v>313.51600000000002</v>
      </c>
      <c r="GI68" s="58">
        <v>289.75400000000002</v>
      </c>
      <c r="GJ68" s="58">
        <v>152.05500000000001</v>
      </c>
      <c r="GK68" s="58">
        <v>137.69900000000001</v>
      </c>
      <c r="GL68" s="58">
        <v>52.22</v>
      </c>
      <c r="GM68" s="58">
        <v>31.227</v>
      </c>
      <c r="GN68" s="58">
        <v>20.992999999999999</v>
      </c>
      <c r="GO68" s="58">
        <v>15.907999999999999</v>
      </c>
      <c r="GP68" s="58">
        <v>12.763999999999999</v>
      </c>
      <c r="GQ68" s="58">
        <v>3.1440000000000001</v>
      </c>
      <c r="GR68" s="58">
        <v>9.7799999999999994</v>
      </c>
      <c r="GS68" s="58">
        <v>7.4420000000000002</v>
      </c>
      <c r="GT68" s="58">
        <v>2.339</v>
      </c>
      <c r="GU68" s="58">
        <v>6.1280000000000001</v>
      </c>
      <c r="GV68" s="58">
        <v>5.3220000000000001</v>
      </c>
      <c r="GW68" s="58">
        <v>0.80500000000000005</v>
      </c>
      <c r="GX68" s="58">
        <v>36.311999999999998</v>
      </c>
      <c r="GY68" s="58">
        <v>18.463000000000001</v>
      </c>
      <c r="GZ68" s="58">
        <v>17.849</v>
      </c>
      <c r="HA68" s="58">
        <v>264.11599999999999</v>
      </c>
      <c r="HB68" s="58">
        <v>134.44800000000001</v>
      </c>
      <c r="HC68" s="58">
        <v>129.66800000000001</v>
      </c>
      <c r="HD68" s="58">
        <v>81.763000000000005</v>
      </c>
      <c r="HE68" s="58">
        <v>52.978999999999999</v>
      </c>
      <c r="HF68" s="58">
        <v>28.783999999999999</v>
      </c>
      <c r="HG68" s="58">
        <v>182.35300000000001</v>
      </c>
      <c r="HH68" s="58">
        <v>81.468999999999994</v>
      </c>
      <c r="HI68" s="58">
        <v>100.884</v>
      </c>
      <c r="HJ68" s="58">
        <v>91.713999999999999</v>
      </c>
      <c r="HK68" s="58">
        <v>61.997</v>
      </c>
      <c r="HL68" s="58">
        <v>29.716000000000001</v>
      </c>
      <c r="HM68" s="58">
        <v>198.041</v>
      </c>
      <c r="HN68" s="58">
        <v>90.058000000000007</v>
      </c>
      <c r="HO68" s="58">
        <v>107.983</v>
      </c>
      <c r="HP68" s="58">
        <v>192.13399999999999</v>
      </c>
      <c r="HQ68" s="58">
        <v>88.911000000000001</v>
      </c>
      <c r="HR68" s="58">
        <v>103.223</v>
      </c>
      <c r="HS68" s="58">
        <v>3045.2190000000001</v>
      </c>
      <c r="HT68" s="58">
        <v>1621.1210000000001</v>
      </c>
      <c r="HU68" s="58">
        <v>1424.098</v>
      </c>
      <c r="HV68" s="58">
        <v>2316</v>
      </c>
      <c r="HW68" s="58">
        <v>1379.5619999999999</v>
      </c>
      <c r="HX68" s="58">
        <v>936.43799999999999</v>
      </c>
      <c r="HY68" s="58">
        <v>729.21900000000005</v>
      </c>
      <c r="HZ68" s="58">
        <v>241.559</v>
      </c>
      <c r="IA68" s="58">
        <v>487.66</v>
      </c>
      <c r="IB68" s="58">
        <v>430.78</v>
      </c>
      <c r="IC68" s="58">
        <v>258.78800000000001</v>
      </c>
      <c r="ID68" s="58">
        <v>171.99199999999999</v>
      </c>
      <c r="IE68" s="58">
        <v>66.984999999999999</v>
      </c>
      <c r="IF68" s="58">
        <v>39.798999999999999</v>
      </c>
      <c r="IG68" s="58">
        <v>27.186</v>
      </c>
      <c r="IH68" s="58">
        <v>32.65</v>
      </c>
      <c r="II68" s="58">
        <v>25.451000000000001</v>
      </c>
      <c r="IJ68" s="58">
        <v>7.2</v>
      </c>
      <c r="IK68" s="58">
        <v>19.483000000000001</v>
      </c>
      <c r="IL68" s="58">
        <v>14.3</v>
      </c>
      <c r="IM68" s="58">
        <v>5.1829999999999998</v>
      </c>
      <c r="IN68" s="58">
        <v>13.167</v>
      </c>
      <c r="IO68" s="58">
        <v>11.151</v>
      </c>
      <c r="IP68" s="58">
        <v>2.0169999999999999</v>
      </c>
      <c r="IQ68" s="58">
        <v>34.335000000000001</v>
      </c>
    </row>
    <row r="69" spans="1:251">
      <c r="A69" s="5">
        <v>43586</v>
      </c>
      <c r="B69" s="58">
        <v>12921.061</v>
      </c>
      <c r="C69" s="58">
        <v>6859.3019999999997</v>
      </c>
      <c r="D69" s="58">
        <v>6061.759</v>
      </c>
      <c r="E69" s="58">
        <v>8769.41</v>
      </c>
      <c r="F69" s="58">
        <v>5529.35</v>
      </c>
      <c r="G69" s="58">
        <v>3240.06</v>
      </c>
      <c r="H69" s="58">
        <v>4151.6509999999998</v>
      </c>
      <c r="I69" s="58">
        <v>1329.952</v>
      </c>
      <c r="J69" s="58">
        <v>2821.6990000000001</v>
      </c>
      <c r="K69" s="58">
        <v>1909.895</v>
      </c>
      <c r="L69" s="58">
        <v>1026.221</v>
      </c>
      <c r="M69" s="58">
        <v>883.67399999999998</v>
      </c>
      <c r="N69" s="58">
        <v>378.78300000000002</v>
      </c>
      <c r="O69" s="58">
        <v>222.44499999999999</v>
      </c>
      <c r="P69" s="58">
        <v>156.33799999999999</v>
      </c>
      <c r="Q69" s="58">
        <v>144.09</v>
      </c>
      <c r="R69" s="58">
        <v>114.666</v>
      </c>
      <c r="S69" s="58">
        <v>29.423999999999999</v>
      </c>
      <c r="T69" s="58">
        <v>82.578999999999994</v>
      </c>
      <c r="U69" s="58">
        <v>63.872999999999998</v>
      </c>
      <c r="V69" s="58">
        <v>18.706</v>
      </c>
      <c r="W69" s="58">
        <v>61.511000000000003</v>
      </c>
      <c r="X69" s="58">
        <v>50.792999999999999</v>
      </c>
      <c r="Y69" s="58">
        <v>10.718</v>
      </c>
      <c r="Z69" s="58">
        <v>234.69300000000001</v>
      </c>
      <c r="AA69" s="58">
        <v>107.77800000000001</v>
      </c>
      <c r="AB69" s="58">
        <v>126.914</v>
      </c>
      <c r="AC69" s="58">
        <v>1701.3989999999999</v>
      </c>
      <c r="AD69" s="58">
        <v>898.25800000000004</v>
      </c>
      <c r="AE69" s="58">
        <v>803.14099999999996</v>
      </c>
      <c r="AF69" s="58">
        <v>635.96600000000001</v>
      </c>
      <c r="AG69" s="58">
        <v>471.73500000000001</v>
      </c>
      <c r="AH69" s="58">
        <v>164.23099999999999</v>
      </c>
      <c r="AI69" s="58">
        <v>1065.433</v>
      </c>
      <c r="AJ69" s="58">
        <v>426.52300000000002</v>
      </c>
      <c r="AK69" s="58">
        <v>638.91</v>
      </c>
      <c r="AL69" s="58">
        <v>739.69</v>
      </c>
      <c r="AM69" s="58">
        <v>552.84500000000003</v>
      </c>
      <c r="AN69" s="58">
        <v>186.846</v>
      </c>
      <c r="AO69" s="58">
        <v>1170.204</v>
      </c>
      <c r="AP69" s="58">
        <v>473.37599999999998</v>
      </c>
      <c r="AQ69" s="58">
        <v>696.82799999999997</v>
      </c>
      <c r="AR69" s="58">
        <v>1148.0119999999999</v>
      </c>
      <c r="AS69" s="58">
        <v>490.39600000000002</v>
      </c>
      <c r="AT69" s="58">
        <v>657.61599999999999</v>
      </c>
      <c r="AU69" s="58">
        <v>12320.548000000001</v>
      </c>
      <c r="AV69" s="58">
        <v>6492.5959999999995</v>
      </c>
      <c r="AW69" s="58">
        <v>5827.9530000000004</v>
      </c>
      <c r="AX69" s="58">
        <v>8501.7160000000003</v>
      </c>
      <c r="AY69" s="58">
        <v>5338.0559999999996</v>
      </c>
      <c r="AZ69" s="58">
        <v>3163.66</v>
      </c>
      <c r="BA69" s="58">
        <v>3818.8319999999999</v>
      </c>
      <c r="BB69" s="58">
        <v>1154.539</v>
      </c>
      <c r="BC69" s="58">
        <v>2664.2919999999999</v>
      </c>
      <c r="BD69" s="58">
        <v>1859.009</v>
      </c>
      <c r="BE69" s="58">
        <v>988.71199999999999</v>
      </c>
      <c r="BF69" s="58">
        <v>870.29700000000003</v>
      </c>
      <c r="BG69" s="58">
        <v>354.96300000000002</v>
      </c>
      <c r="BH69" s="58">
        <v>203.983</v>
      </c>
      <c r="BI69" s="58">
        <v>150.98099999999999</v>
      </c>
      <c r="BJ69" s="58">
        <v>138.51900000000001</v>
      </c>
      <c r="BK69" s="58">
        <v>110.01300000000001</v>
      </c>
      <c r="BL69" s="58">
        <v>28.506</v>
      </c>
      <c r="BM69" s="58">
        <v>79.951999999999998</v>
      </c>
      <c r="BN69" s="58">
        <v>61.917000000000002</v>
      </c>
      <c r="BO69" s="58">
        <v>18.033999999999999</v>
      </c>
      <c r="BP69" s="58">
        <v>58.567</v>
      </c>
      <c r="BQ69" s="58">
        <v>48.095999999999997</v>
      </c>
      <c r="BR69" s="58">
        <v>10.472</v>
      </c>
      <c r="BS69" s="58">
        <v>216.44499999999999</v>
      </c>
      <c r="BT69" s="58">
        <v>93.97</v>
      </c>
      <c r="BU69" s="58">
        <v>122.47499999999999</v>
      </c>
      <c r="BV69" s="58">
        <v>1667.22</v>
      </c>
      <c r="BW69" s="58">
        <v>873.02200000000005</v>
      </c>
      <c r="BX69" s="58">
        <v>794.19799999999998</v>
      </c>
      <c r="BY69" s="58">
        <v>628.09400000000005</v>
      </c>
      <c r="BZ69" s="58">
        <v>465.18</v>
      </c>
      <c r="CA69" s="58">
        <v>162.91399999999999</v>
      </c>
      <c r="CB69" s="58">
        <v>1039.127</v>
      </c>
      <c r="CC69" s="58">
        <v>407.84300000000002</v>
      </c>
      <c r="CD69" s="58">
        <v>631.28399999999999</v>
      </c>
      <c r="CE69" s="58">
        <v>727.245</v>
      </c>
      <c r="CF69" s="58">
        <v>542.63400000000001</v>
      </c>
      <c r="CG69" s="58">
        <v>184.61099999999999</v>
      </c>
      <c r="CH69" s="58">
        <v>1131.7639999999999</v>
      </c>
      <c r="CI69" s="58">
        <v>446.07799999999997</v>
      </c>
      <c r="CJ69" s="58">
        <v>685.68600000000004</v>
      </c>
      <c r="CK69" s="58">
        <v>1119.078</v>
      </c>
      <c r="CL69" s="58">
        <v>469.76</v>
      </c>
      <c r="CM69" s="58">
        <v>649.31799999999998</v>
      </c>
      <c r="CN69" s="58">
        <v>1961.8910000000001</v>
      </c>
      <c r="CO69" s="58">
        <v>996.08299999999997</v>
      </c>
      <c r="CP69" s="58">
        <v>965.80799999999999</v>
      </c>
      <c r="CQ69" s="58">
        <v>859.33199999999999</v>
      </c>
      <c r="CR69" s="58">
        <v>520.58600000000001</v>
      </c>
      <c r="CS69" s="58">
        <v>338.745</v>
      </c>
      <c r="CT69" s="58">
        <v>1102.56</v>
      </c>
      <c r="CU69" s="58">
        <v>475.49700000000001</v>
      </c>
      <c r="CV69" s="58">
        <v>627.06299999999999</v>
      </c>
      <c r="CW69" s="58">
        <v>512.79399999999998</v>
      </c>
      <c r="CX69" s="58">
        <v>260.279</v>
      </c>
      <c r="CY69" s="58">
        <v>252.51400000000001</v>
      </c>
      <c r="CZ69" s="58">
        <v>86.932000000000002</v>
      </c>
      <c r="DA69" s="58">
        <v>49.042000000000002</v>
      </c>
      <c r="DB69" s="58">
        <v>37.89</v>
      </c>
      <c r="DC69" s="58">
        <v>21.047999999999998</v>
      </c>
      <c r="DD69" s="58">
        <v>15.819000000000001</v>
      </c>
      <c r="DE69" s="58">
        <v>5.2290000000000001</v>
      </c>
      <c r="DF69" s="58">
        <v>13.464</v>
      </c>
      <c r="DG69" s="58">
        <v>9.5869999999999997</v>
      </c>
      <c r="DH69" s="58">
        <v>3.8759999999999999</v>
      </c>
      <c r="DI69" s="58">
        <v>7.585</v>
      </c>
      <c r="DJ69" s="58">
        <v>6.2320000000000002</v>
      </c>
      <c r="DK69" s="58">
        <v>1.353</v>
      </c>
      <c r="DL69" s="58">
        <v>65.882999999999996</v>
      </c>
      <c r="DM69" s="58">
        <v>33.222999999999999</v>
      </c>
      <c r="DN69" s="58">
        <v>32.661000000000001</v>
      </c>
      <c r="DO69" s="58">
        <v>472.65899999999999</v>
      </c>
      <c r="DP69" s="58">
        <v>236.517</v>
      </c>
      <c r="DQ69" s="58">
        <v>236.142</v>
      </c>
      <c r="DR69" s="58">
        <v>104.95699999999999</v>
      </c>
      <c r="DS69" s="58">
        <v>75.466999999999999</v>
      </c>
      <c r="DT69" s="58">
        <v>29.49</v>
      </c>
      <c r="DU69" s="58">
        <v>367.702</v>
      </c>
      <c r="DV69" s="58">
        <v>161.05000000000001</v>
      </c>
      <c r="DW69" s="58">
        <v>206.65199999999999</v>
      </c>
      <c r="DX69" s="58">
        <v>117.23399999999999</v>
      </c>
      <c r="DY69" s="58">
        <v>85.120999999999995</v>
      </c>
      <c r="DZ69" s="58">
        <v>32.113</v>
      </c>
      <c r="EA69" s="58">
        <v>395.56</v>
      </c>
      <c r="EB69" s="58">
        <v>175.15899999999999</v>
      </c>
      <c r="EC69" s="58">
        <v>220.40100000000001</v>
      </c>
      <c r="ED69" s="58">
        <v>381.16500000000002</v>
      </c>
      <c r="EE69" s="58">
        <v>170.637</v>
      </c>
      <c r="EF69" s="58">
        <v>210.52799999999999</v>
      </c>
      <c r="EG69" s="58">
        <v>686.67499999999995</v>
      </c>
      <c r="EH69" s="58">
        <v>334.80900000000003</v>
      </c>
      <c r="EI69" s="58">
        <v>351.86500000000001</v>
      </c>
      <c r="EJ69" s="58">
        <v>158.459</v>
      </c>
      <c r="EK69" s="58">
        <v>106.44799999999999</v>
      </c>
      <c r="EL69" s="58">
        <v>52.011000000000003</v>
      </c>
      <c r="EM69" s="58">
        <v>528.21500000000003</v>
      </c>
      <c r="EN69" s="58">
        <v>228.36099999999999</v>
      </c>
      <c r="EO69" s="58">
        <v>299.85399999999998</v>
      </c>
      <c r="EP69" s="58">
        <v>206.06899999999999</v>
      </c>
      <c r="EQ69" s="58">
        <v>99.299000000000007</v>
      </c>
      <c r="ER69" s="58">
        <v>106.76900000000001</v>
      </c>
      <c r="ES69" s="58">
        <v>34.917999999999999</v>
      </c>
      <c r="ET69" s="58">
        <v>18.873999999999999</v>
      </c>
      <c r="EU69" s="58">
        <v>16.044</v>
      </c>
      <c r="EV69" s="58">
        <v>3.9020000000000001</v>
      </c>
      <c r="EW69" s="58">
        <v>2.8010000000000002</v>
      </c>
      <c r="EX69" s="58">
        <v>1.101</v>
      </c>
      <c r="EY69" s="58">
        <v>2.6509999999999998</v>
      </c>
      <c r="EZ69" s="58">
        <v>1.55</v>
      </c>
      <c r="FA69" s="58">
        <v>1.101</v>
      </c>
      <c r="FB69" s="58">
        <v>1.2509999999999999</v>
      </c>
      <c r="FC69" s="58">
        <v>1.2509999999999999</v>
      </c>
      <c r="FD69" s="58">
        <v>0</v>
      </c>
      <c r="FE69" s="58">
        <v>31.015000000000001</v>
      </c>
      <c r="FF69" s="58">
        <v>16.071999999999999</v>
      </c>
      <c r="FG69" s="58">
        <v>14.943</v>
      </c>
      <c r="FH69" s="58">
        <v>189.08199999999999</v>
      </c>
      <c r="FI69" s="58">
        <v>89.573999999999998</v>
      </c>
      <c r="FJ69" s="58">
        <v>99.507999999999996</v>
      </c>
      <c r="FK69" s="58">
        <v>16.523</v>
      </c>
      <c r="FL69" s="58">
        <v>12.528</v>
      </c>
      <c r="FM69" s="58">
        <v>3.996</v>
      </c>
      <c r="FN69" s="58">
        <v>172.559</v>
      </c>
      <c r="FO69" s="58">
        <v>77.046000000000006</v>
      </c>
      <c r="FP69" s="58">
        <v>95.513000000000005</v>
      </c>
      <c r="FQ69" s="58">
        <v>19.611999999999998</v>
      </c>
      <c r="FR69" s="58">
        <v>14.516</v>
      </c>
      <c r="FS69" s="58">
        <v>5.0970000000000004</v>
      </c>
      <c r="FT69" s="58">
        <v>186.45599999999999</v>
      </c>
      <c r="FU69" s="58">
        <v>84.784000000000006</v>
      </c>
      <c r="FV69" s="58">
        <v>101.673</v>
      </c>
      <c r="FW69" s="58">
        <v>175.21</v>
      </c>
      <c r="FX69" s="58">
        <v>78.596000000000004</v>
      </c>
      <c r="FY69" s="58">
        <v>96.614000000000004</v>
      </c>
      <c r="FZ69" s="58">
        <v>1275.2170000000001</v>
      </c>
      <c r="GA69" s="58">
        <v>661.274</v>
      </c>
      <c r="GB69" s="58">
        <v>613.94299999999998</v>
      </c>
      <c r="GC69" s="58">
        <v>700.87199999999996</v>
      </c>
      <c r="GD69" s="58">
        <v>414.13799999999998</v>
      </c>
      <c r="GE69" s="58">
        <v>286.73399999999998</v>
      </c>
      <c r="GF69" s="58">
        <v>574.34400000000005</v>
      </c>
      <c r="GG69" s="58">
        <v>247.136</v>
      </c>
      <c r="GH69" s="58">
        <v>327.209</v>
      </c>
      <c r="GI69" s="58">
        <v>306.72500000000002</v>
      </c>
      <c r="GJ69" s="58">
        <v>160.97999999999999</v>
      </c>
      <c r="GK69" s="58">
        <v>145.745</v>
      </c>
      <c r="GL69" s="58">
        <v>52.014000000000003</v>
      </c>
      <c r="GM69" s="58">
        <v>30.169</v>
      </c>
      <c r="GN69" s="58">
        <v>21.846</v>
      </c>
      <c r="GO69" s="58">
        <v>17.146000000000001</v>
      </c>
      <c r="GP69" s="58">
        <v>13.018000000000001</v>
      </c>
      <c r="GQ69" s="58">
        <v>4.1280000000000001</v>
      </c>
      <c r="GR69" s="58">
        <v>10.811999999999999</v>
      </c>
      <c r="GS69" s="58">
        <v>8.0370000000000008</v>
      </c>
      <c r="GT69" s="58">
        <v>2.7749999999999999</v>
      </c>
      <c r="GU69" s="58">
        <v>6.3339999999999996</v>
      </c>
      <c r="GV69" s="58">
        <v>4.9809999999999999</v>
      </c>
      <c r="GW69" s="58">
        <v>1.353</v>
      </c>
      <c r="GX69" s="58">
        <v>34.868000000000002</v>
      </c>
      <c r="GY69" s="58">
        <v>17.149999999999999</v>
      </c>
      <c r="GZ69" s="58">
        <v>17.718</v>
      </c>
      <c r="HA69" s="58">
        <v>283.577</v>
      </c>
      <c r="HB69" s="58">
        <v>146.94300000000001</v>
      </c>
      <c r="HC69" s="58">
        <v>136.63399999999999</v>
      </c>
      <c r="HD69" s="58">
        <v>88.433999999999997</v>
      </c>
      <c r="HE69" s="58">
        <v>62.939</v>
      </c>
      <c r="HF69" s="58">
        <v>25.495000000000001</v>
      </c>
      <c r="HG69" s="58">
        <v>195.143</v>
      </c>
      <c r="HH69" s="58">
        <v>84.004000000000005</v>
      </c>
      <c r="HI69" s="58">
        <v>111.139</v>
      </c>
      <c r="HJ69" s="58">
        <v>97.620999999999995</v>
      </c>
      <c r="HK69" s="58">
        <v>70.605000000000004</v>
      </c>
      <c r="HL69" s="58">
        <v>27.015999999999998</v>
      </c>
      <c r="HM69" s="58">
        <v>209.10400000000001</v>
      </c>
      <c r="HN69" s="58">
        <v>90.375</v>
      </c>
      <c r="HO69" s="58">
        <v>118.729</v>
      </c>
      <c r="HP69" s="58">
        <v>205.95500000000001</v>
      </c>
      <c r="HQ69" s="58">
        <v>92.040999999999997</v>
      </c>
      <c r="HR69" s="58">
        <v>113.914</v>
      </c>
      <c r="HS69" s="58">
        <v>3060.7649999999999</v>
      </c>
      <c r="HT69" s="58">
        <v>1646.1859999999999</v>
      </c>
      <c r="HU69" s="58">
        <v>1414.579</v>
      </c>
      <c r="HV69" s="58">
        <v>2319.8649999999998</v>
      </c>
      <c r="HW69" s="58">
        <v>1398.8869999999999</v>
      </c>
      <c r="HX69" s="58">
        <v>920.97799999999995</v>
      </c>
      <c r="HY69" s="58">
        <v>740.9</v>
      </c>
      <c r="HZ69" s="58">
        <v>247.29900000000001</v>
      </c>
      <c r="IA69" s="58">
        <v>493.601</v>
      </c>
      <c r="IB69" s="58">
        <v>452.70699999999999</v>
      </c>
      <c r="IC69" s="58">
        <v>275.11</v>
      </c>
      <c r="ID69" s="58">
        <v>177.59700000000001</v>
      </c>
      <c r="IE69" s="58">
        <v>69.427999999999997</v>
      </c>
      <c r="IF69" s="58">
        <v>45.045000000000002</v>
      </c>
      <c r="IG69" s="58">
        <v>24.384</v>
      </c>
      <c r="IH69" s="58">
        <v>33.850999999999999</v>
      </c>
      <c r="II69" s="58">
        <v>28.63</v>
      </c>
      <c r="IJ69" s="58">
        <v>5.2210000000000001</v>
      </c>
      <c r="IK69" s="58">
        <v>20.218</v>
      </c>
      <c r="IL69" s="58">
        <v>16.097000000000001</v>
      </c>
      <c r="IM69" s="58">
        <v>4.1210000000000004</v>
      </c>
      <c r="IN69" s="58">
        <v>13.632999999999999</v>
      </c>
      <c r="IO69" s="58">
        <v>12.532999999999999</v>
      </c>
      <c r="IP69" s="58">
        <v>1.1000000000000001</v>
      </c>
      <c r="IQ69" s="58">
        <v>35.578000000000003</v>
      </c>
    </row>
    <row r="70" spans="1:251">
      <c r="A70" s="5">
        <v>43617</v>
      </c>
      <c r="B70" s="58">
        <v>12889.668</v>
      </c>
      <c r="C70" s="58">
        <v>6833.5709999999999</v>
      </c>
      <c r="D70" s="58">
        <v>6056.0969999999998</v>
      </c>
      <c r="E70" s="58">
        <v>8784.0280000000002</v>
      </c>
      <c r="F70" s="58">
        <v>5526.7520000000004</v>
      </c>
      <c r="G70" s="58">
        <v>3257.2759999999998</v>
      </c>
      <c r="H70" s="58">
        <v>4105.6400000000003</v>
      </c>
      <c r="I70" s="58">
        <v>1306.819</v>
      </c>
      <c r="J70" s="58">
        <v>2798.8209999999999</v>
      </c>
      <c r="K70" s="58">
        <v>1866.393</v>
      </c>
      <c r="L70" s="58">
        <v>997.00099999999998</v>
      </c>
      <c r="M70" s="58">
        <v>869.39300000000003</v>
      </c>
      <c r="N70" s="58">
        <v>346.56400000000002</v>
      </c>
      <c r="O70" s="58">
        <v>200.37299999999999</v>
      </c>
      <c r="P70" s="58">
        <v>146.191</v>
      </c>
      <c r="Q70" s="58">
        <v>130.61099999999999</v>
      </c>
      <c r="R70" s="58">
        <v>97.515000000000001</v>
      </c>
      <c r="S70" s="58">
        <v>33.097000000000001</v>
      </c>
      <c r="T70" s="58">
        <v>69.454999999999998</v>
      </c>
      <c r="U70" s="58">
        <v>52.451999999999998</v>
      </c>
      <c r="V70" s="58">
        <v>17.003</v>
      </c>
      <c r="W70" s="58">
        <v>61.156999999999996</v>
      </c>
      <c r="X70" s="58">
        <v>45.063000000000002</v>
      </c>
      <c r="Y70" s="58">
        <v>16.094000000000001</v>
      </c>
      <c r="Z70" s="58">
        <v>215.952</v>
      </c>
      <c r="AA70" s="58">
        <v>102.858</v>
      </c>
      <c r="AB70" s="58">
        <v>113.09399999999999</v>
      </c>
      <c r="AC70" s="58">
        <v>1673.33</v>
      </c>
      <c r="AD70" s="58">
        <v>883.58399999999995</v>
      </c>
      <c r="AE70" s="58">
        <v>789.74599999999998</v>
      </c>
      <c r="AF70" s="58">
        <v>634.97400000000005</v>
      </c>
      <c r="AG70" s="58">
        <v>465.10300000000001</v>
      </c>
      <c r="AH70" s="58">
        <v>169.87100000000001</v>
      </c>
      <c r="AI70" s="58">
        <v>1038.356</v>
      </c>
      <c r="AJ70" s="58">
        <v>418.48099999999999</v>
      </c>
      <c r="AK70" s="58">
        <v>619.875</v>
      </c>
      <c r="AL70" s="58">
        <v>731.31899999999996</v>
      </c>
      <c r="AM70" s="58">
        <v>535.94799999999998</v>
      </c>
      <c r="AN70" s="58">
        <v>195.37100000000001</v>
      </c>
      <c r="AO70" s="58">
        <v>1135.0740000000001</v>
      </c>
      <c r="AP70" s="58">
        <v>461.05200000000002</v>
      </c>
      <c r="AQ70" s="58">
        <v>674.02200000000005</v>
      </c>
      <c r="AR70" s="58">
        <v>1107.81</v>
      </c>
      <c r="AS70" s="58">
        <v>470.93200000000002</v>
      </c>
      <c r="AT70" s="58">
        <v>636.87800000000004</v>
      </c>
      <c r="AU70" s="58">
        <v>12279.13</v>
      </c>
      <c r="AV70" s="58">
        <v>6466.1040000000003</v>
      </c>
      <c r="AW70" s="58">
        <v>5813.0259999999998</v>
      </c>
      <c r="AX70" s="58">
        <v>8508.3950000000004</v>
      </c>
      <c r="AY70" s="58">
        <v>5337.2120000000004</v>
      </c>
      <c r="AZ70" s="58">
        <v>3171.183</v>
      </c>
      <c r="BA70" s="58">
        <v>3770.7350000000001</v>
      </c>
      <c r="BB70" s="58">
        <v>1128.8920000000001</v>
      </c>
      <c r="BC70" s="58">
        <v>2641.8440000000001</v>
      </c>
      <c r="BD70" s="58">
        <v>1803.73</v>
      </c>
      <c r="BE70" s="58">
        <v>953.98800000000006</v>
      </c>
      <c r="BF70" s="58">
        <v>849.74199999999996</v>
      </c>
      <c r="BG70" s="58">
        <v>318.49400000000003</v>
      </c>
      <c r="BH70" s="58">
        <v>180.59100000000001</v>
      </c>
      <c r="BI70" s="58">
        <v>137.904</v>
      </c>
      <c r="BJ70" s="58">
        <v>124.43600000000001</v>
      </c>
      <c r="BK70" s="58">
        <v>92.888000000000005</v>
      </c>
      <c r="BL70" s="58">
        <v>31.547999999999998</v>
      </c>
      <c r="BM70" s="58">
        <v>67.316999999999993</v>
      </c>
      <c r="BN70" s="58">
        <v>50.728999999999999</v>
      </c>
      <c r="BO70" s="58">
        <v>16.588999999999999</v>
      </c>
      <c r="BP70" s="58">
        <v>57.119</v>
      </c>
      <c r="BQ70" s="58">
        <v>42.16</v>
      </c>
      <c r="BR70" s="58">
        <v>14.959</v>
      </c>
      <c r="BS70" s="58">
        <v>194.05799999999999</v>
      </c>
      <c r="BT70" s="58">
        <v>87.701999999999998</v>
      </c>
      <c r="BU70" s="58">
        <v>106.35599999999999</v>
      </c>
      <c r="BV70" s="58">
        <v>1633.4549999999999</v>
      </c>
      <c r="BW70" s="58">
        <v>856.67499999999995</v>
      </c>
      <c r="BX70" s="58">
        <v>776.78</v>
      </c>
      <c r="BY70" s="58">
        <v>622.346</v>
      </c>
      <c r="BZ70" s="58">
        <v>457.26100000000002</v>
      </c>
      <c r="CA70" s="58">
        <v>165.08500000000001</v>
      </c>
      <c r="CB70" s="58">
        <v>1011.1079999999999</v>
      </c>
      <c r="CC70" s="58">
        <v>399.41300000000001</v>
      </c>
      <c r="CD70" s="58">
        <v>611.69500000000005</v>
      </c>
      <c r="CE70" s="58">
        <v>712.51599999999996</v>
      </c>
      <c r="CF70" s="58">
        <v>523.48</v>
      </c>
      <c r="CG70" s="58">
        <v>189.035</v>
      </c>
      <c r="CH70" s="58">
        <v>1091.2139999999999</v>
      </c>
      <c r="CI70" s="58">
        <v>430.50700000000001</v>
      </c>
      <c r="CJ70" s="58">
        <v>660.70699999999999</v>
      </c>
      <c r="CK70" s="58">
        <v>1078.4259999999999</v>
      </c>
      <c r="CL70" s="58">
        <v>450.142</v>
      </c>
      <c r="CM70" s="58">
        <v>628.28399999999999</v>
      </c>
      <c r="CN70" s="58">
        <v>1932.9269999999999</v>
      </c>
      <c r="CO70" s="58">
        <v>976</v>
      </c>
      <c r="CP70" s="58">
        <v>956.92700000000002</v>
      </c>
      <c r="CQ70" s="58">
        <v>859.66300000000001</v>
      </c>
      <c r="CR70" s="58">
        <v>518.80600000000004</v>
      </c>
      <c r="CS70" s="58">
        <v>340.85700000000003</v>
      </c>
      <c r="CT70" s="58">
        <v>1073.2639999999999</v>
      </c>
      <c r="CU70" s="58">
        <v>457.19499999999999</v>
      </c>
      <c r="CV70" s="58">
        <v>616.06899999999996</v>
      </c>
      <c r="CW70" s="58">
        <v>502.30399999999997</v>
      </c>
      <c r="CX70" s="58">
        <v>246.63</v>
      </c>
      <c r="CY70" s="58">
        <v>255.673</v>
      </c>
      <c r="CZ70" s="58">
        <v>80.379000000000005</v>
      </c>
      <c r="DA70" s="58">
        <v>39.981000000000002</v>
      </c>
      <c r="DB70" s="58">
        <v>40.398000000000003</v>
      </c>
      <c r="DC70" s="58">
        <v>14.178000000000001</v>
      </c>
      <c r="DD70" s="58">
        <v>10.086</v>
      </c>
      <c r="DE70" s="58">
        <v>4.0919999999999996</v>
      </c>
      <c r="DF70" s="58">
        <v>11.744999999999999</v>
      </c>
      <c r="DG70" s="58">
        <v>8.3650000000000002</v>
      </c>
      <c r="DH70" s="58">
        <v>3.38</v>
      </c>
      <c r="DI70" s="58">
        <v>2.4329999999999998</v>
      </c>
      <c r="DJ70" s="58">
        <v>1.7210000000000001</v>
      </c>
      <c r="DK70" s="58">
        <v>0.71199999999999997</v>
      </c>
      <c r="DL70" s="58">
        <v>66.200999999999993</v>
      </c>
      <c r="DM70" s="58">
        <v>29.895</v>
      </c>
      <c r="DN70" s="58">
        <v>36.305999999999997</v>
      </c>
      <c r="DO70" s="58">
        <v>469.61799999999999</v>
      </c>
      <c r="DP70" s="58">
        <v>229.80199999999999</v>
      </c>
      <c r="DQ70" s="58">
        <v>239.816</v>
      </c>
      <c r="DR70" s="58">
        <v>106.685</v>
      </c>
      <c r="DS70" s="58">
        <v>69.930999999999997</v>
      </c>
      <c r="DT70" s="58">
        <v>36.753</v>
      </c>
      <c r="DU70" s="58">
        <v>362.93400000000003</v>
      </c>
      <c r="DV70" s="58">
        <v>159.87100000000001</v>
      </c>
      <c r="DW70" s="58">
        <v>203.06200000000001</v>
      </c>
      <c r="DX70" s="58">
        <v>115.583</v>
      </c>
      <c r="DY70" s="58">
        <v>76.448999999999998</v>
      </c>
      <c r="DZ70" s="58">
        <v>39.134999999999998</v>
      </c>
      <c r="EA70" s="58">
        <v>386.72</v>
      </c>
      <c r="EB70" s="58">
        <v>170.18100000000001</v>
      </c>
      <c r="EC70" s="58">
        <v>216.53899999999999</v>
      </c>
      <c r="ED70" s="58">
        <v>374.67899999999997</v>
      </c>
      <c r="EE70" s="58">
        <v>168.23599999999999</v>
      </c>
      <c r="EF70" s="58">
        <v>206.44200000000001</v>
      </c>
      <c r="EG70" s="58">
        <v>672.39599999999996</v>
      </c>
      <c r="EH70" s="58">
        <v>328.13600000000002</v>
      </c>
      <c r="EI70" s="58">
        <v>344.26100000000002</v>
      </c>
      <c r="EJ70" s="58">
        <v>165.36799999999999</v>
      </c>
      <c r="EK70" s="58">
        <v>108.10599999999999</v>
      </c>
      <c r="EL70" s="58">
        <v>57.262</v>
      </c>
      <c r="EM70" s="58">
        <v>507.029</v>
      </c>
      <c r="EN70" s="58">
        <v>220.03</v>
      </c>
      <c r="EO70" s="58">
        <v>286.99900000000002</v>
      </c>
      <c r="EP70" s="58">
        <v>209.33799999999999</v>
      </c>
      <c r="EQ70" s="58">
        <v>98.918000000000006</v>
      </c>
      <c r="ER70" s="58">
        <v>110.42</v>
      </c>
      <c r="ES70" s="58">
        <v>33.481000000000002</v>
      </c>
      <c r="ET70" s="58">
        <v>15.85</v>
      </c>
      <c r="EU70" s="58">
        <v>17.631</v>
      </c>
      <c r="EV70" s="58">
        <v>1.794</v>
      </c>
      <c r="EW70" s="58">
        <v>1.2549999999999999</v>
      </c>
      <c r="EX70" s="58">
        <v>0.53900000000000003</v>
      </c>
      <c r="EY70" s="58">
        <v>1.5549999999999999</v>
      </c>
      <c r="EZ70" s="58">
        <v>1.016</v>
      </c>
      <c r="FA70" s="58">
        <v>0.53900000000000003</v>
      </c>
      <c r="FB70" s="58">
        <v>0.23899999999999999</v>
      </c>
      <c r="FC70" s="58">
        <v>0.23899999999999999</v>
      </c>
      <c r="FD70" s="58">
        <v>0</v>
      </c>
      <c r="FE70" s="58">
        <v>31.687000000000001</v>
      </c>
      <c r="FF70" s="58">
        <v>14.596</v>
      </c>
      <c r="FG70" s="58">
        <v>17.091000000000001</v>
      </c>
      <c r="FH70" s="58">
        <v>194.077</v>
      </c>
      <c r="FI70" s="58">
        <v>91.400999999999996</v>
      </c>
      <c r="FJ70" s="58">
        <v>102.676</v>
      </c>
      <c r="FK70" s="58">
        <v>21.335999999999999</v>
      </c>
      <c r="FL70" s="58">
        <v>13.532999999999999</v>
      </c>
      <c r="FM70" s="58">
        <v>7.8029999999999999</v>
      </c>
      <c r="FN70" s="58">
        <v>172.74100000000001</v>
      </c>
      <c r="FO70" s="58">
        <v>77.869</v>
      </c>
      <c r="FP70" s="58">
        <v>94.872</v>
      </c>
      <c r="FQ70" s="58">
        <v>22.631</v>
      </c>
      <c r="FR70" s="58">
        <v>14.288</v>
      </c>
      <c r="FS70" s="58">
        <v>8.343</v>
      </c>
      <c r="FT70" s="58">
        <v>186.70599999999999</v>
      </c>
      <c r="FU70" s="58">
        <v>84.629000000000005</v>
      </c>
      <c r="FV70" s="58">
        <v>102.077</v>
      </c>
      <c r="FW70" s="58">
        <v>174.29599999999999</v>
      </c>
      <c r="FX70" s="58">
        <v>78.885000000000005</v>
      </c>
      <c r="FY70" s="58">
        <v>95.412000000000006</v>
      </c>
      <c r="FZ70" s="58">
        <v>1260.5309999999999</v>
      </c>
      <c r="GA70" s="58">
        <v>647.86500000000001</v>
      </c>
      <c r="GB70" s="58">
        <v>612.66600000000005</v>
      </c>
      <c r="GC70" s="58">
        <v>694.29499999999996</v>
      </c>
      <c r="GD70" s="58">
        <v>410.7</v>
      </c>
      <c r="GE70" s="58">
        <v>283.59500000000003</v>
      </c>
      <c r="GF70" s="58">
        <v>566.23500000000001</v>
      </c>
      <c r="GG70" s="58">
        <v>237.16399999999999</v>
      </c>
      <c r="GH70" s="58">
        <v>329.07100000000003</v>
      </c>
      <c r="GI70" s="58">
        <v>292.96600000000001</v>
      </c>
      <c r="GJ70" s="58">
        <v>147.71299999999999</v>
      </c>
      <c r="GK70" s="58">
        <v>145.25299999999999</v>
      </c>
      <c r="GL70" s="58">
        <v>46.898000000000003</v>
      </c>
      <c r="GM70" s="58">
        <v>24.131</v>
      </c>
      <c r="GN70" s="58">
        <v>22.766999999999999</v>
      </c>
      <c r="GO70" s="58">
        <v>12.384</v>
      </c>
      <c r="GP70" s="58">
        <v>8.8320000000000007</v>
      </c>
      <c r="GQ70" s="58">
        <v>3.552</v>
      </c>
      <c r="GR70" s="58">
        <v>10.19</v>
      </c>
      <c r="GS70" s="58">
        <v>7.3490000000000002</v>
      </c>
      <c r="GT70" s="58">
        <v>2.8410000000000002</v>
      </c>
      <c r="GU70" s="58">
        <v>2.194</v>
      </c>
      <c r="GV70" s="58">
        <v>1.482</v>
      </c>
      <c r="GW70" s="58">
        <v>0.71199999999999997</v>
      </c>
      <c r="GX70" s="58">
        <v>34.514000000000003</v>
      </c>
      <c r="GY70" s="58">
        <v>15.298999999999999</v>
      </c>
      <c r="GZ70" s="58">
        <v>19.215</v>
      </c>
      <c r="HA70" s="58">
        <v>275.541</v>
      </c>
      <c r="HB70" s="58">
        <v>138.40100000000001</v>
      </c>
      <c r="HC70" s="58">
        <v>137.13999999999999</v>
      </c>
      <c r="HD70" s="58">
        <v>85.347999999999999</v>
      </c>
      <c r="HE70" s="58">
        <v>56.399000000000001</v>
      </c>
      <c r="HF70" s="58">
        <v>28.95</v>
      </c>
      <c r="HG70" s="58">
        <v>190.19300000000001</v>
      </c>
      <c r="HH70" s="58">
        <v>82.001999999999995</v>
      </c>
      <c r="HI70" s="58">
        <v>108.19</v>
      </c>
      <c r="HJ70" s="58">
        <v>92.951999999999998</v>
      </c>
      <c r="HK70" s="58">
        <v>62.16</v>
      </c>
      <c r="HL70" s="58">
        <v>30.792000000000002</v>
      </c>
      <c r="HM70" s="58">
        <v>200.01400000000001</v>
      </c>
      <c r="HN70" s="58">
        <v>85.552000000000007</v>
      </c>
      <c r="HO70" s="58">
        <v>114.462</v>
      </c>
      <c r="HP70" s="58">
        <v>200.38200000000001</v>
      </c>
      <c r="HQ70" s="58">
        <v>89.352000000000004</v>
      </c>
      <c r="HR70" s="58">
        <v>111.03100000000001</v>
      </c>
      <c r="HS70" s="58">
        <v>3060.01</v>
      </c>
      <c r="HT70" s="58">
        <v>1651.9680000000001</v>
      </c>
      <c r="HU70" s="58">
        <v>1408.0419999999999</v>
      </c>
      <c r="HV70" s="58">
        <v>2329.4940000000001</v>
      </c>
      <c r="HW70" s="58">
        <v>1415.231</v>
      </c>
      <c r="HX70" s="58">
        <v>914.26300000000003</v>
      </c>
      <c r="HY70" s="58">
        <v>730.51700000000005</v>
      </c>
      <c r="HZ70" s="58">
        <v>236.73699999999999</v>
      </c>
      <c r="IA70" s="58">
        <v>493.78</v>
      </c>
      <c r="IB70" s="58">
        <v>437.25799999999998</v>
      </c>
      <c r="IC70" s="58">
        <v>263.53699999999998</v>
      </c>
      <c r="ID70" s="58">
        <v>173.721</v>
      </c>
      <c r="IE70" s="58">
        <v>67.231999999999999</v>
      </c>
      <c r="IF70" s="58">
        <v>41.744</v>
      </c>
      <c r="IG70" s="58">
        <v>25.488</v>
      </c>
      <c r="IH70" s="58">
        <v>32.762</v>
      </c>
      <c r="II70" s="58">
        <v>25.376000000000001</v>
      </c>
      <c r="IJ70" s="58">
        <v>7.3869999999999996</v>
      </c>
      <c r="IK70" s="58">
        <v>12.297000000000001</v>
      </c>
      <c r="IL70" s="58">
        <v>9.7449999999999992</v>
      </c>
      <c r="IM70" s="58">
        <v>2.552</v>
      </c>
      <c r="IN70" s="58">
        <v>20.465</v>
      </c>
      <c r="IO70" s="58">
        <v>15.63</v>
      </c>
      <c r="IP70" s="58">
        <v>4.835</v>
      </c>
      <c r="IQ70" s="58">
        <v>34.469000000000001</v>
      </c>
    </row>
    <row r="71" spans="1:251">
      <c r="A71" s="5">
        <v>43647</v>
      </c>
      <c r="B71" s="58">
        <v>12887.518</v>
      </c>
      <c r="C71" s="58">
        <v>6829.31</v>
      </c>
      <c r="D71" s="58">
        <v>6058.2070000000003</v>
      </c>
      <c r="E71" s="58">
        <v>8857.1689999999999</v>
      </c>
      <c r="F71" s="58">
        <v>5536.982</v>
      </c>
      <c r="G71" s="58">
        <v>3320.1869999999999</v>
      </c>
      <c r="H71" s="58">
        <v>4030.3490000000002</v>
      </c>
      <c r="I71" s="58">
        <v>1292.329</v>
      </c>
      <c r="J71" s="58">
        <v>2738.0210000000002</v>
      </c>
      <c r="K71" s="58">
        <v>1896.0309999999999</v>
      </c>
      <c r="L71" s="58">
        <v>1016.664</v>
      </c>
      <c r="M71" s="58">
        <v>879.36699999999996</v>
      </c>
      <c r="N71" s="58">
        <v>373.30700000000002</v>
      </c>
      <c r="O71" s="58">
        <v>225.499</v>
      </c>
      <c r="P71" s="58">
        <v>147.80799999999999</v>
      </c>
      <c r="Q71" s="58">
        <v>154.69499999999999</v>
      </c>
      <c r="R71" s="58">
        <v>120.48399999999999</v>
      </c>
      <c r="S71" s="58">
        <v>34.21</v>
      </c>
      <c r="T71" s="58">
        <v>88.331000000000003</v>
      </c>
      <c r="U71" s="58">
        <v>67.215999999999994</v>
      </c>
      <c r="V71" s="58">
        <v>21.114999999999998</v>
      </c>
      <c r="W71" s="58">
        <v>66.364000000000004</v>
      </c>
      <c r="X71" s="58">
        <v>53.268000000000001</v>
      </c>
      <c r="Y71" s="58">
        <v>13.095000000000001</v>
      </c>
      <c r="Z71" s="58">
        <v>218.613</v>
      </c>
      <c r="AA71" s="58">
        <v>105.015</v>
      </c>
      <c r="AB71" s="58">
        <v>113.598</v>
      </c>
      <c r="AC71" s="58">
        <v>1697.0229999999999</v>
      </c>
      <c r="AD71" s="58">
        <v>894.68799999999999</v>
      </c>
      <c r="AE71" s="58">
        <v>802.33500000000004</v>
      </c>
      <c r="AF71" s="58">
        <v>643.84400000000005</v>
      </c>
      <c r="AG71" s="58">
        <v>474.44099999999997</v>
      </c>
      <c r="AH71" s="58">
        <v>169.40299999999999</v>
      </c>
      <c r="AI71" s="58">
        <v>1053.1780000000001</v>
      </c>
      <c r="AJ71" s="58">
        <v>420.24599999999998</v>
      </c>
      <c r="AK71" s="58">
        <v>632.93200000000002</v>
      </c>
      <c r="AL71" s="58">
        <v>751.15099999999995</v>
      </c>
      <c r="AM71" s="58">
        <v>558.06200000000001</v>
      </c>
      <c r="AN71" s="58">
        <v>193.089</v>
      </c>
      <c r="AO71" s="58">
        <v>1144.8800000000001</v>
      </c>
      <c r="AP71" s="58">
        <v>458.60199999999998</v>
      </c>
      <c r="AQ71" s="58">
        <v>686.27800000000002</v>
      </c>
      <c r="AR71" s="58">
        <v>1141.509</v>
      </c>
      <c r="AS71" s="58">
        <v>487.46199999999999</v>
      </c>
      <c r="AT71" s="58">
        <v>654.04700000000003</v>
      </c>
      <c r="AU71" s="58">
        <v>12285.471</v>
      </c>
      <c r="AV71" s="58">
        <v>6464.2179999999998</v>
      </c>
      <c r="AW71" s="58">
        <v>5821.2529999999997</v>
      </c>
      <c r="AX71" s="58">
        <v>8600.3919999999998</v>
      </c>
      <c r="AY71" s="58">
        <v>5348.9030000000002</v>
      </c>
      <c r="AZ71" s="58">
        <v>3251.489</v>
      </c>
      <c r="BA71" s="58">
        <v>3685.0790000000002</v>
      </c>
      <c r="BB71" s="58">
        <v>1115.3150000000001</v>
      </c>
      <c r="BC71" s="58">
        <v>2569.7640000000001</v>
      </c>
      <c r="BD71" s="58">
        <v>1838.8219999999999</v>
      </c>
      <c r="BE71" s="58">
        <v>982.346</v>
      </c>
      <c r="BF71" s="58">
        <v>856.476</v>
      </c>
      <c r="BG71" s="58">
        <v>347.69</v>
      </c>
      <c r="BH71" s="58">
        <v>209.30699999999999</v>
      </c>
      <c r="BI71" s="58">
        <v>138.38200000000001</v>
      </c>
      <c r="BJ71" s="58">
        <v>149.208</v>
      </c>
      <c r="BK71" s="58">
        <v>116.389</v>
      </c>
      <c r="BL71" s="58">
        <v>32.819000000000003</v>
      </c>
      <c r="BM71" s="58">
        <v>86.447999999999993</v>
      </c>
      <c r="BN71" s="58">
        <v>65.787000000000006</v>
      </c>
      <c r="BO71" s="58">
        <v>20.661000000000001</v>
      </c>
      <c r="BP71" s="58">
        <v>62.759</v>
      </c>
      <c r="BQ71" s="58">
        <v>50.600999999999999</v>
      </c>
      <c r="BR71" s="58">
        <v>12.157999999999999</v>
      </c>
      <c r="BS71" s="58">
        <v>198.482</v>
      </c>
      <c r="BT71" s="58">
        <v>92.918999999999997</v>
      </c>
      <c r="BU71" s="58">
        <v>105.563</v>
      </c>
      <c r="BV71" s="58">
        <v>1660.7660000000001</v>
      </c>
      <c r="BW71" s="58">
        <v>873.02200000000005</v>
      </c>
      <c r="BX71" s="58">
        <v>787.74300000000005</v>
      </c>
      <c r="BY71" s="58">
        <v>636.399</v>
      </c>
      <c r="BZ71" s="58">
        <v>469.30599999999998</v>
      </c>
      <c r="CA71" s="58">
        <v>167.09299999999999</v>
      </c>
      <c r="CB71" s="58">
        <v>1024.367</v>
      </c>
      <c r="CC71" s="58">
        <v>403.71600000000001</v>
      </c>
      <c r="CD71" s="58">
        <v>620.65</v>
      </c>
      <c r="CE71" s="58">
        <v>738.76700000000005</v>
      </c>
      <c r="CF71" s="58">
        <v>549.38</v>
      </c>
      <c r="CG71" s="58">
        <v>189.38800000000001</v>
      </c>
      <c r="CH71" s="58">
        <v>1100.0540000000001</v>
      </c>
      <c r="CI71" s="58">
        <v>432.96600000000001</v>
      </c>
      <c r="CJ71" s="58">
        <v>667.08799999999997</v>
      </c>
      <c r="CK71" s="58">
        <v>1110.8150000000001</v>
      </c>
      <c r="CL71" s="58">
        <v>469.50400000000002</v>
      </c>
      <c r="CM71" s="58">
        <v>641.31100000000004</v>
      </c>
      <c r="CN71" s="58">
        <v>1944.5250000000001</v>
      </c>
      <c r="CO71" s="58">
        <v>985.10500000000002</v>
      </c>
      <c r="CP71" s="58">
        <v>959.42100000000005</v>
      </c>
      <c r="CQ71" s="58">
        <v>900.572</v>
      </c>
      <c r="CR71" s="58">
        <v>541.94200000000001</v>
      </c>
      <c r="CS71" s="58">
        <v>358.63</v>
      </c>
      <c r="CT71" s="58">
        <v>1043.954</v>
      </c>
      <c r="CU71" s="58">
        <v>443.16300000000001</v>
      </c>
      <c r="CV71" s="58">
        <v>600.79</v>
      </c>
      <c r="CW71" s="58">
        <v>514.00599999999997</v>
      </c>
      <c r="CX71" s="58">
        <v>263.38099999999997</v>
      </c>
      <c r="CY71" s="58">
        <v>250.625</v>
      </c>
      <c r="CZ71" s="58">
        <v>85.513000000000005</v>
      </c>
      <c r="DA71" s="58">
        <v>47.707000000000001</v>
      </c>
      <c r="DB71" s="58">
        <v>37.807000000000002</v>
      </c>
      <c r="DC71" s="58">
        <v>18.463999999999999</v>
      </c>
      <c r="DD71" s="58">
        <v>13.439</v>
      </c>
      <c r="DE71" s="58">
        <v>5.0250000000000004</v>
      </c>
      <c r="DF71" s="58">
        <v>13.577</v>
      </c>
      <c r="DG71" s="58">
        <v>11.297000000000001</v>
      </c>
      <c r="DH71" s="58">
        <v>2.2799999999999998</v>
      </c>
      <c r="DI71" s="58">
        <v>4.8869999999999996</v>
      </c>
      <c r="DJ71" s="58">
        <v>2.1419999999999999</v>
      </c>
      <c r="DK71" s="58">
        <v>2.7450000000000001</v>
      </c>
      <c r="DL71" s="58">
        <v>67.05</v>
      </c>
      <c r="DM71" s="58">
        <v>34.268000000000001</v>
      </c>
      <c r="DN71" s="58">
        <v>32.781999999999996</v>
      </c>
      <c r="DO71" s="58">
        <v>477.678</v>
      </c>
      <c r="DP71" s="58">
        <v>240.81299999999999</v>
      </c>
      <c r="DQ71" s="58">
        <v>236.86500000000001</v>
      </c>
      <c r="DR71" s="58">
        <v>106.568</v>
      </c>
      <c r="DS71" s="58">
        <v>75.656000000000006</v>
      </c>
      <c r="DT71" s="58">
        <v>30.911999999999999</v>
      </c>
      <c r="DU71" s="58">
        <v>371.10899999999998</v>
      </c>
      <c r="DV71" s="58">
        <v>165.15700000000001</v>
      </c>
      <c r="DW71" s="58">
        <v>205.953</v>
      </c>
      <c r="DX71" s="58">
        <v>119.532</v>
      </c>
      <c r="DY71" s="58">
        <v>86.423000000000002</v>
      </c>
      <c r="DZ71" s="58">
        <v>33.109000000000002</v>
      </c>
      <c r="EA71" s="58">
        <v>394.47399999999999</v>
      </c>
      <c r="EB71" s="58">
        <v>176.959</v>
      </c>
      <c r="EC71" s="58">
        <v>217.51599999999999</v>
      </c>
      <c r="ED71" s="58">
        <v>384.68599999999998</v>
      </c>
      <c r="EE71" s="58">
        <v>176.45400000000001</v>
      </c>
      <c r="EF71" s="58">
        <v>208.233</v>
      </c>
      <c r="EG71" s="58">
        <v>678.92100000000005</v>
      </c>
      <c r="EH71" s="58">
        <v>333.78300000000002</v>
      </c>
      <c r="EI71" s="58">
        <v>345.13799999999998</v>
      </c>
      <c r="EJ71" s="58">
        <v>173.422</v>
      </c>
      <c r="EK71" s="58">
        <v>116.32599999999999</v>
      </c>
      <c r="EL71" s="58">
        <v>57.095999999999997</v>
      </c>
      <c r="EM71" s="58">
        <v>505.49900000000002</v>
      </c>
      <c r="EN71" s="58">
        <v>217.45699999999999</v>
      </c>
      <c r="EO71" s="58">
        <v>288.041</v>
      </c>
      <c r="EP71" s="58">
        <v>208.74199999999999</v>
      </c>
      <c r="EQ71" s="58">
        <v>101.63</v>
      </c>
      <c r="ER71" s="58">
        <v>107.11199999999999</v>
      </c>
      <c r="ES71" s="58">
        <v>34.441000000000003</v>
      </c>
      <c r="ET71" s="58">
        <v>18.971</v>
      </c>
      <c r="EU71" s="58">
        <v>15.47</v>
      </c>
      <c r="EV71" s="58">
        <v>3.964</v>
      </c>
      <c r="EW71" s="58">
        <v>3.169</v>
      </c>
      <c r="EX71" s="58">
        <v>0.79500000000000004</v>
      </c>
      <c r="EY71" s="58">
        <v>1.7809999999999999</v>
      </c>
      <c r="EZ71" s="58">
        <v>1.7809999999999999</v>
      </c>
      <c r="FA71" s="58">
        <v>0</v>
      </c>
      <c r="FB71" s="58">
        <v>2.1829999999999998</v>
      </c>
      <c r="FC71" s="58">
        <v>1.3879999999999999</v>
      </c>
      <c r="FD71" s="58">
        <v>0.79500000000000004</v>
      </c>
      <c r="FE71" s="58">
        <v>30.477</v>
      </c>
      <c r="FF71" s="58">
        <v>15.802</v>
      </c>
      <c r="FG71" s="58">
        <v>14.675000000000001</v>
      </c>
      <c r="FH71" s="58">
        <v>195.886</v>
      </c>
      <c r="FI71" s="58">
        <v>94.751000000000005</v>
      </c>
      <c r="FJ71" s="58">
        <v>101.13500000000001</v>
      </c>
      <c r="FK71" s="58">
        <v>27.26</v>
      </c>
      <c r="FL71" s="58">
        <v>20.69</v>
      </c>
      <c r="FM71" s="58">
        <v>6.57</v>
      </c>
      <c r="FN71" s="58">
        <v>168.626</v>
      </c>
      <c r="FO71" s="58">
        <v>74.061000000000007</v>
      </c>
      <c r="FP71" s="58">
        <v>94.564999999999998</v>
      </c>
      <c r="FQ71" s="58">
        <v>30.007000000000001</v>
      </c>
      <c r="FR71" s="58">
        <v>23.334</v>
      </c>
      <c r="FS71" s="58">
        <v>6.673</v>
      </c>
      <c r="FT71" s="58">
        <v>178.73500000000001</v>
      </c>
      <c r="FU71" s="58">
        <v>78.296000000000006</v>
      </c>
      <c r="FV71" s="58">
        <v>100.43899999999999</v>
      </c>
      <c r="FW71" s="58">
        <v>170.40700000000001</v>
      </c>
      <c r="FX71" s="58">
        <v>75.841999999999999</v>
      </c>
      <c r="FY71" s="58">
        <v>94.564999999999998</v>
      </c>
      <c r="FZ71" s="58">
        <v>1265.605</v>
      </c>
      <c r="GA71" s="58">
        <v>651.322</v>
      </c>
      <c r="GB71" s="58">
        <v>614.28300000000002</v>
      </c>
      <c r="GC71" s="58">
        <v>727.15</v>
      </c>
      <c r="GD71" s="58">
        <v>425.61599999999999</v>
      </c>
      <c r="GE71" s="58">
        <v>301.53399999999999</v>
      </c>
      <c r="GF71" s="58">
        <v>538.45500000000004</v>
      </c>
      <c r="GG71" s="58">
        <v>225.70599999999999</v>
      </c>
      <c r="GH71" s="58">
        <v>312.74900000000002</v>
      </c>
      <c r="GI71" s="58">
        <v>305.26400000000001</v>
      </c>
      <c r="GJ71" s="58">
        <v>161.751</v>
      </c>
      <c r="GK71" s="58">
        <v>143.51300000000001</v>
      </c>
      <c r="GL71" s="58">
        <v>51.072000000000003</v>
      </c>
      <c r="GM71" s="58">
        <v>28.736000000000001</v>
      </c>
      <c r="GN71" s="58">
        <v>22.337</v>
      </c>
      <c r="GO71" s="58">
        <v>14.5</v>
      </c>
      <c r="GP71" s="58">
        <v>10.27</v>
      </c>
      <c r="GQ71" s="58">
        <v>4.2300000000000004</v>
      </c>
      <c r="GR71" s="58">
        <v>11.795999999999999</v>
      </c>
      <c r="GS71" s="58">
        <v>9.516</v>
      </c>
      <c r="GT71" s="58">
        <v>2.2799999999999998</v>
      </c>
      <c r="GU71" s="58">
        <v>2.7040000000000002</v>
      </c>
      <c r="GV71" s="58">
        <v>0.753</v>
      </c>
      <c r="GW71" s="58">
        <v>1.95</v>
      </c>
      <c r="GX71" s="58">
        <v>36.573</v>
      </c>
      <c r="GY71" s="58">
        <v>18.466000000000001</v>
      </c>
      <c r="GZ71" s="58">
        <v>18.106999999999999</v>
      </c>
      <c r="HA71" s="58">
        <v>281.79199999999997</v>
      </c>
      <c r="HB71" s="58">
        <v>146.06200000000001</v>
      </c>
      <c r="HC71" s="58">
        <v>135.72999999999999</v>
      </c>
      <c r="HD71" s="58">
        <v>79.308000000000007</v>
      </c>
      <c r="HE71" s="58">
        <v>54.966000000000001</v>
      </c>
      <c r="HF71" s="58">
        <v>24.341999999999999</v>
      </c>
      <c r="HG71" s="58">
        <v>202.483</v>
      </c>
      <c r="HH71" s="58">
        <v>91.094999999999999</v>
      </c>
      <c r="HI71" s="58">
        <v>111.38800000000001</v>
      </c>
      <c r="HJ71" s="58">
        <v>89.525000000000006</v>
      </c>
      <c r="HK71" s="58">
        <v>63.088999999999999</v>
      </c>
      <c r="HL71" s="58">
        <v>26.436</v>
      </c>
      <c r="HM71" s="58">
        <v>215.739</v>
      </c>
      <c r="HN71" s="58">
        <v>98.662999999999997</v>
      </c>
      <c r="HO71" s="58">
        <v>117.077</v>
      </c>
      <c r="HP71" s="58">
        <v>214.279</v>
      </c>
      <c r="HQ71" s="58">
        <v>100.61199999999999</v>
      </c>
      <c r="HR71" s="58">
        <v>113.66800000000001</v>
      </c>
      <c r="HS71" s="58">
        <v>3068.4009999999998</v>
      </c>
      <c r="HT71" s="58">
        <v>1649.22</v>
      </c>
      <c r="HU71" s="58">
        <v>1419.181</v>
      </c>
      <c r="HV71" s="58">
        <v>2362.0279999999998</v>
      </c>
      <c r="HW71" s="58">
        <v>1420.74</v>
      </c>
      <c r="HX71" s="58">
        <v>941.28800000000001</v>
      </c>
      <c r="HY71" s="58">
        <v>706.37199999999996</v>
      </c>
      <c r="HZ71" s="58">
        <v>228.48</v>
      </c>
      <c r="IA71" s="58">
        <v>477.892</v>
      </c>
      <c r="IB71" s="58">
        <v>438.286</v>
      </c>
      <c r="IC71" s="58">
        <v>259.09100000000001</v>
      </c>
      <c r="ID71" s="58">
        <v>179.19499999999999</v>
      </c>
      <c r="IE71" s="58">
        <v>71.072000000000003</v>
      </c>
      <c r="IF71" s="58">
        <v>46.460999999999999</v>
      </c>
      <c r="IG71" s="58">
        <v>24.611000000000001</v>
      </c>
      <c r="IH71" s="58">
        <v>39.076000000000001</v>
      </c>
      <c r="II71" s="58">
        <v>31.907</v>
      </c>
      <c r="IJ71" s="58">
        <v>7.17</v>
      </c>
      <c r="IK71" s="58">
        <v>21.143000000000001</v>
      </c>
      <c r="IL71" s="58">
        <v>16.704999999999998</v>
      </c>
      <c r="IM71" s="58">
        <v>4.4379999999999997</v>
      </c>
      <c r="IN71" s="58">
        <v>17.934000000000001</v>
      </c>
      <c r="IO71" s="58">
        <v>15.202</v>
      </c>
      <c r="IP71" s="58">
        <v>2.7320000000000002</v>
      </c>
      <c r="IQ71" s="58">
        <v>31.995999999999999</v>
      </c>
    </row>
    <row r="72" spans="1:251">
      <c r="A72" s="5">
        <v>43678</v>
      </c>
      <c r="B72" s="58">
        <v>12858.823</v>
      </c>
      <c r="C72" s="58">
        <v>6795.8530000000001</v>
      </c>
      <c r="D72" s="58">
        <v>6062.97</v>
      </c>
      <c r="E72" s="58">
        <v>8749.11</v>
      </c>
      <c r="F72" s="58">
        <v>5491.5339999999997</v>
      </c>
      <c r="G72" s="58">
        <v>3257.576</v>
      </c>
      <c r="H72" s="58">
        <v>4109.7129999999997</v>
      </c>
      <c r="I72" s="58">
        <v>1304.319</v>
      </c>
      <c r="J72" s="58">
        <v>2805.3939999999998</v>
      </c>
      <c r="K72" s="58">
        <v>1902.8209999999999</v>
      </c>
      <c r="L72" s="58">
        <v>1024.5039999999999</v>
      </c>
      <c r="M72" s="58">
        <v>878.31700000000001</v>
      </c>
      <c r="N72" s="58">
        <v>381.02</v>
      </c>
      <c r="O72" s="58">
        <v>230.738</v>
      </c>
      <c r="P72" s="58">
        <v>150.28299999999999</v>
      </c>
      <c r="Q72" s="58">
        <v>157.89699999999999</v>
      </c>
      <c r="R72" s="58">
        <v>121.42700000000001</v>
      </c>
      <c r="S72" s="58">
        <v>36.469000000000001</v>
      </c>
      <c r="T72" s="58">
        <v>86.149000000000001</v>
      </c>
      <c r="U72" s="58">
        <v>65.272000000000006</v>
      </c>
      <c r="V72" s="58">
        <v>20.876999999999999</v>
      </c>
      <c r="W72" s="58">
        <v>71.748000000000005</v>
      </c>
      <c r="X72" s="58">
        <v>56.155000000000001</v>
      </c>
      <c r="Y72" s="58">
        <v>15.593</v>
      </c>
      <c r="Z72" s="58">
        <v>223.124</v>
      </c>
      <c r="AA72" s="58">
        <v>109.31</v>
      </c>
      <c r="AB72" s="58">
        <v>113.813</v>
      </c>
      <c r="AC72" s="58">
        <v>1694.2280000000001</v>
      </c>
      <c r="AD72" s="58">
        <v>895.69</v>
      </c>
      <c r="AE72" s="58">
        <v>798.53800000000001</v>
      </c>
      <c r="AF72" s="58">
        <v>643.85500000000002</v>
      </c>
      <c r="AG72" s="58">
        <v>477.06599999999997</v>
      </c>
      <c r="AH72" s="58">
        <v>166.78899999999999</v>
      </c>
      <c r="AI72" s="58">
        <v>1050.373</v>
      </c>
      <c r="AJ72" s="58">
        <v>418.62400000000002</v>
      </c>
      <c r="AK72" s="58">
        <v>631.74900000000002</v>
      </c>
      <c r="AL72" s="58">
        <v>755.91899999999998</v>
      </c>
      <c r="AM72" s="58">
        <v>562.82899999999995</v>
      </c>
      <c r="AN72" s="58">
        <v>193.089</v>
      </c>
      <c r="AO72" s="58">
        <v>1146.903</v>
      </c>
      <c r="AP72" s="58">
        <v>461.67500000000001</v>
      </c>
      <c r="AQ72" s="58">
        <v>685.22799999999995</v>
      </c>
      <c r="AR72" s="58">
        <v>1136.5219999999999</v>
      </c>
      <c r="AS72" s="58">
        <v>483.89600000000002</v>
      </c>
      <c r="AT72" s="58">
        <v>652.62599999999998</v>
      </c>
      <c r="AU72" s="58">
        <v>12267.629000000001</v>
      </c>
      <c r="AV72" s="58">
        <v>6444.884</v>
      </c>
      <c r="AW72" s="58">
        <v>5822.7439999999997</v>
      </c>
      <c r="AX72" s="58">
        <v>8494.7649999999994</v>
      </c>
      <c r="AY72" s="58">
        <v>5311.6620000000003</v>
      </c>
      <c r="AZ72" s="58">
        <v>3183.1019999999999</v>
      </c>
      <c r="BA72" s="58">
        <v>3772.864</v>
      </c>
      <c r="BB72" s="58">
        <v>1133.222</v>
      </c>
      <c r="BC72" s="58">
        <v>2639.6419999999998</v>
      </c>
      <c r="BD72" s="58">
        <v>1843.17</v>
      </c>
      <c r="BE72" s="58">
        <v>985.43600000000004</v>
      </c>
      <c r="BF72" s="58">
        <v>857.73500000000001</v>
      </c>
      <c r="BG72" s="58">
        <v>353.178</v>
      </c>
      <c r="BH72" s="58">
        <v>211.35499999999999</v>
      </c>
      <c r="BI72" s="58">
        <v>141.82300000000001</v>
      </c>
      <c r="BJ72" s="58">
        <v>148.749</v>
      </c>
      <c r="BK72" s="58">
        <v>114.855</v>
      </c>
      <c r="BL72" s="58">
        <v>33.893999999999998</v>
      </c>
      <c r="BM72" s="58">
        <v>80.647000000000006</v>
      </c>
      <c r="BN72" s="58">
        <v>61.158000000000001</v>
      </c>
      <c r="BO72" s="58">
        <v>19.489000000000001</v>
      </c>
      <c r="BP72" s="58">
        <v>68.102000000000004</v>
      </c>
      <c r="BQ72" s="58">
        <v>53.697000000000003</v>
      </c>
      <c r="BR72" s="58">
        <v>14.404999999999999</v>
      </c>
      <c r="BS72" s="58">
        <v>204.429</v>
      </c>
      <c r="BT72" s="58">
        <v>96.5</v>
      </c>
      <c r="BU72" s="58">
        <v>107.929</v>
      </c>
      <c r="BV72" s="58">
        <v>1656.6780000000001</v>
      </c>
      <c r="BW72" s="58">
        <v>870.73599999999999</v>
      </c>
      <c r="BX72" s="58">
        <v>785.94200000000001</v>
      </c>
      <c r="BY72" s="58">
        <v>636.57600000000002</v>
      </c>
      <c r="BZ72" s="58">
        <v>472.66300000000001</v>
      </c>
      <c r="CA72" s="58">
        <v>163.91200000000001</v>
      </c>
      <c r="CB72" s="58">
        <v>1020.103</v>
      </c>
      <c r="CC72" s="58">
        <v>398.07299999999998</v>
      </c>
      <c r="CD72" s="58">
        <v>622.029</v>
      </c>
      <c r="CE72" s="58">
        <v>739.91800000000001</v>
      </c>
      <c r="CF72" s="58">
        <v>552.28</v>
      </c>
      <c r="CG72" s="58">
        <v>187.63800000000001</v>
      </c>
      <c r="CH72" s="58">
        <v>1103.252</v>
      </c>
      <c r="CI72" s="58">
        <v>433.15600000000001</v>
      </c>
      <c r="CJ72" s="58">
        <v>670.09699999999998</v>
      </c>
      <c r="CK72" s="58">
        <v>1100.749</v>
      </c>
      <c r="CL72" s="58">
        <v>459.23099999999999</v>
      </c>
      <c r="CM72" s="58">
        <v>641.51800000000003</v>
      </c>
      <c r="CN72" s="58">
        <v>1899.7260000000001</v>
      </c>
      <c r="CO72" s="58">
        <v>970.43200000000002</v>
      </c>
      <c r="CP72" s="58">
        <v>929.29399999999998</v>
      </c>
      <c r="CQ72" s="58">
        <v>833.57500000000005</v>
      </c>
      <c r="CR72" s="58">
        <v>514.99</v>
      </c>
      <c r="CS72" s="58">
        <v>318.58499999999998</v>
      </c>
      <c r="CT72" s="58">
        <v>1066.1510000000001</v>
      </c>
      <c r="CU72" s="58">
        <v>455.44200000000001</v>
      </c>
      <c r="CV72" s="58">
        <v>610.70899999999995</v>
      </c>
      <c r="CW72" s="58">
        <v>512.173</v>
      </c>
      <c r="CX72" s="58">
        <v>256.96499999999997</v>
      </c>
      <c r="CY72" s="58">
        <v>255.208</v>
      </c>
      <c r="CZ72" s="58">
        <v>92.991</v>
      </c>
      <c r="DA72" s="58">
        <v>47.563000000000002</v>
      </c>
      <c r="DB72" s="58">
        <v>45.427999999999997</v>
      </c>
      <c r="DC72" s="58">
        <v>19.350000000000001</v>
      </c>
      <c r="DD72" s="58">
        <v>10.911</v>
      </c>
      <c r="DE72" s="58">
        <v>8.4390000000000001</v>
      </c>
      <c r="DF72" s="58">
        <v>12.833</v>
      </c>
      <c r="DG72" s="58">
        <v>6.2140000000000004</v>
      </c>
      <c r="DH72" s="58">
        <v>6.6189999999999998</v>
      </c>
      <c r="DI72" s="58">
        <v>6.516</v>
      </c>
      <c r="DJ72" s="58">
        <v>4.6959999999999997</v>
      </c>
      <c r="DK72" s="58">
        <v>1.82</v>
      </c>
      <c r="DL72" s="58">
        <v>73.641000000000005</v>
      </c>
      <c r="DM72" s="58">
        <v>36.652000000000001</v>
      </c>
      <c r="DN72" s="58">
        <v>36.988999999999997</v>
      </c>
      <c r="DO72" s="58">
        <v>471.42200000000003</v>
      </c>
      <c r="DP72" s="58">
        <v>234.22</v>
      </c>
      <c r="DQ72" s="58">
        <v>237.202</v>
      </c>
      <c r="DR72" s="58">
        <v>106.244</v>
      </c>
      <c r="DS72" s="58">
        <v>75.328999999999994</v>
      </c>
      <c r="DT72" s="58">
        <v>30.914999999999999</v>
      </c>
      <c r="DU72" s="58">
        <v>365.17899999999997</v>
      </c>
      <c r="DV72" s="58">
        <v>158.89099999999999</v>
      </c>
      <c r="DW72" s="58">
        <v>206.28800000000001</v>
      </c>
      <c r="DX72" s="58">
        <v>115.649</v>
      </c>
      <c r="DY72" s="58">
        <v>82.052000000000007</v>
      </c>
      <c r="DZ72" s="58">
        <v>33.597000000000001</v>
      </c>
      <c r="EA72" s="58">
        <v>396.524</v>
      </c>
      <c r="EB72" s="58">
        <v>174.91300000000001</v>
      </c>
      <c r="EC72" s="58">
        <v>221.61099999999999</v>
      </c>
      <c r="ED72" s="58">
        <v>378.012</v>
      </c>
      <c r="EE72" s="58">
        <v>165.10499999999999</v>
      </c>
      <c r="EF72" s="58">
        <v>212.90700000000001</v>
      </c>
      <c r="EG72" s="58">
        <v>663.26700000000005</v>
      </c>
      <c r="EH72" s="58">
        <v>323.31400000000002</v>
      </c>
      <c r="EI72" s="58">
        <v>339.95299999999997</v>
      </c>
      <c r="EJ72" s="58">
        <v>153.767</v>
      </c>
      <c r="EK72" s="58">
        <v>106.71899999999999</v>
      </c>
      <c r="EL72" s="58">
        <v>47.048000000000002</v>
      </c>
      <c r="EM72" s="58">
        <v>509.5</v>
      </c>
      <c r="EN72" s="58">
        <v>216.595</v>
      </c>
      <c r="EO72" s="58">
        <v>292.90499999999997</v>
      </c>
      <c r="EP72" s="58">
        <v>223.071</v>
      </c>
      <c r="EQ72" s="58">
        <v>109.58799999999999</v>
      </c>
      <c r="ER72" s="58">
        <v>113.483</v>
      </c>
      <c r="ES72" s="58">
        <v>50.058</v>
      </c>
      <c r="ET72" s="58">
        <v>26.716000000000001</v>
      </c>
      <c r="EU72" s="58">
        <v>23.341999999999999</v>
      </c>
      <c r="EV72" s="58">
        <v>6.633</v>
      </c>
      <c r="EW72" s="58">
        <v>6.0359999999999996</v>
      </c>
      <c r="EX72" s="58">
        <v>0.59699999999999998</v>
      </c>
      <c r="EY72" s="58">
        <v>4.016</v>
      </c>
      <c r="EZ72" s="58">
        <v>3.419</v>
      </c>
      <c r="FA72" s="58">
        <v>0.59699999999999998</v>
      </c>
      <c r="FB72" s="58">
        <v>2.617</v>
      </c>
      <c r="FC72" s="58">
        <v>2.617</v>
      </c>
      <c r="FD72" s="58">
        <v>0</v>
      </c>
      <c r="FE72" s="58">
        <v>43.424999999999997</v>
      </c>
      <c r="FF72" s="58">
        <v>20.68</v>
      </c>
      <c r="FG72" s="58">
        <v>22.745999999999999</v>
      </c>
      <c r="FH72" s="58">
        <v>200.309</v>
      </c>
      <c r="FI72" s="58">
        <v>95.462999999999994</v>
      </c>
      <c r="FJ72" s="58">
        <v>104.846</v>
      </c>
      <c r="FK72" s="58">
        <v>24.443999999999999</v>
      </c>
      <c r="FL72" s="58">
        <v>17.916</v>
      </c>
      <c r="FM72" s="58">
        <v>6.5279999999999996</v>
      </c>
      <c r="FN72" s="58">
        <v>175.864</v>
      </c>
      <c r="FO72" s="58">
        <v>77.546000000000006</v>
      </c>
      <c r="FP72" s="58">
        <v>98.317999999999998</v>
      </c>
      <c r="FQ72" s="58">
        <v>28.591000000000001</v>
      </c>
      <c r="FR72" s="58">
        <v>21.466000000000001</v>
      </c>
      <c r="FS72" s="58">
        <v>7.125</v>
      </c>
      <c r="FT72" s="58">
        <v>194.47900000000001</v>
      </c>
      <c r="FU72" s="58">
        <v>88.120999999999995</v>
      </c>
      <c r="FV72" s="58">
        <v>106.358</v>
      </c>
      <c r="FW72" s="58">
        <v>179.88</v>
      </c>
      <c r="FX72" s="58">
        <v>80.965000000000003</v>
      </c>
      <c r="FY72" s="58">
        <v>98.914000000000001</v>
      </c>
      <c r="FZ72" s="58">
        <v>1236.4590000000001</v>
      </c>
      <c r="GA72" s="58">
        <v>647.11800000000005</v>
      </c>
      <c r="GB72" s="58">
        <v>589.34100000000001</v>
      </c>
      <c r="GC72" s="58">
        <v>679.80799999999999</v>
      </c>
      <c r="GD72" s="58">
        <v>408.27100000000002</v>
      </c>
      <c r="GE72" s="58">
        <v>271.53699999999998</v>
      </c>
      <c r="GF72" s="58">
        <v>556.65</v>
      </c>
      <c r="GG72" s="58">
        <v>238.84700000000001</v>
      </c>
      <c r="GH72" s="58">
        <v>317.803</v>
      </c>
      <c r="GI72" s="58">
        <v>289.10199999999998</v>
      </c>
      <c r="GJ72" s="58">
        <v>147.37799999999999</v>
      </c>
      <c r="GK72" s="58">
        <v>141.72399999999999</v>
      </c>
      <c r="GL72" s="58">
        <v>42.933</v>
      </c>
      <c r="GM72" s="58">
        <v>20.847000000000001</v>
      </c>
      <c r="GN72" s="58">
        <v>22.085000000000001</v>
      </c>
      <c r="GO72" s="58">
        <v>12.717000000000001</v>
      </c>
      <c r="GP72" s="58">
        <v>4.875</v>
      </c>
      <c r="GQ72" s="58">
        <v>7.8419999999999996</v>
      </c>
      <c r="GR72" s="58">
        <v>8.8179999999999996</v>
      </c>
      <c r="GS72" s="58">
        <v>2.7949999999999999</v>
      </c>
      <c r="GT72" s="58">
        <v>6.0220000000000002</v>
      </c>
      <c r="GU72" s="58">
        <v>3.899</v>
      </c>
      <c r="GV72" s="58">
        <v>2.0790000000000002</v>
      </c>
      <c r="GW72" s="58">
        <v>1.82</v>
      </c>
      <c r="GX72" s="58">
        <v>30.216000000000001</v>
      </c>
      <c r="GY72" s="58">
        <v>15.973000000000001</v>
      </c>
      <c r="GZ72" s="58">
        <v>14.243</v>
      </c>
      <c r="HA72" s="58">
        <v>271.11399999999998</v>
      </c>
      <c r="HB72" s="58">
        <v>138.75800000000001</v>
      </c>
      <c r="HC72" s="58">
        <v>132.35599999999999</v>
      </c>
      <c r="HD72" s="58">
        <v>81.799000000000007</v>
      </c>
      <c r="HE72" s="58">
        <v>57.412999999999997</v>
      </c>
      <c r="HF72" s="58">
        <v>24.385999999999999</v>
      </c>
      <c r="HG72" s="58">
        <v>189.31399999999999</v>
      </c>
      <c r="HH72" s="58">
        <v>81.344999999999999</v>
      </c>
      <c r="HI72" s="58">
        <v>107.97</v>
      </c>
      <c r="HJ72" s="58">
        <v>87.058000000000007</v>
      </c>
      <c r="HK72" s="58">
        <v>60.585999999999999</v>
      </c>
      <c r="HL72" s="58">
        <v>26.472000000000001</v>
      </c>
      <c r="HM72" s="58">
        <v>202.04400000000001</v>
      </c>
      <c r="HN72" s="58">
        <v>86.792000000000002</v>
      </c>
      <c r="HO72" s="58">
        <v>115.253</v>
      </c>
      <c r="HP72" s="58">
        <v>198.13200000000001</v>
      </c>
      <c r="HQ72" s="58">
        <v>84.14</v>
      </c>
      <c r="HR72" s="58">
        <v>113.992</v>
      </c>
      <c r="HS72" s="58">
        <v>3060.6669999999999</v>
      </c>
      <c r="HT72" s="58">
        <v>1642.857</v>
      </c>
      <c r="HU72" s="58">
        <v>1417.81</v>
      </c>
      <c r="HV72" s="58">
        <v>2320.0349999999999</v>
      </c>
      <c r="HW72" s="58">
        <v>1404.86</v>
      </c>
      <c r="HX72" s="58">
        <v>915.17399999999998</v>
      </c>
      <c r="HY72" s="58">
        <v>740.63199999999995</v>
      </c>
      <c r="HZ72" s="58">
        <v>237.99700000000001</v>
      </c>
      <c r="IA72" s="58">
        <v>502.63499999999999</v>
      </c>
      <c r="IB72" s="58">
        <v>443.06099999999998</v>
      </c>
      <c r="IC72" s="58">
        <v>266.75799999999998</v>
      </c>
      <c r="ID72" s="58">
        <v>176.303</v>
      </c>
      <c r="IE72" s="58">
        <v>70.346999999999994</v>
      </c>
      <c r="IF72" s="58">
        <v>47.264000000000003</v>
      </c>
      <c r="IG72" s="58">
        <v>23.082000000000001</v>
      </c>
      <c r="IH72" s="58">
        <v>35.234999999999999</v>
      </c>
      <c r="II72" s="58">
        <v>29.667999999999999</v>
      </c>
      <c r="IJ72" s="58">
        <v>5.5670000000000002</v>
      </c>
      <c r="IK72" s="58">
        <v>14.516</v>
      </c>
      <c r="IL72" s="58">
        <v>11.746</v>
      </c>
      <c r="IM72" s="58">
        <v>2.77</v>
      </c>
      <c r="IN72" s="58">
        <v>20.719000000000001</v>
      </c>
      <c r="IO72" s="58">
        <v>17.922000000000001</v>
      </c>
      <c r="IP72" s="58">
        <v>2.7959999999999998</v>
      </c>
      <c r="IQ72" s="58">
        <v>35.112000000000002</v>
      </c>
    </row>
    <row r="73" spans="1:251">
      <c r="A73" s="5">
        <v>43709</v>
      </c>
      <c r="B73" s="58">
        <v>12926.66</v>
      </c>
      <c r="C73" s="58">
        <v>6814.6480000000001</v>
      </c>
      <c r="D73" s="58">
        <v>6112.0129999999999</v>
      </c>
      <c r="E73" s="58">
        <v>8808.3279999999995</v>
      </c>
      <c r="F73" s="58">
        <v>5515.0240000000003</v>
      </c>
      <c r="G73" s="58">
        <v>3293.3040000000001</v>
      </c>
      <c r="H73" s="58">
        <v>4118.3329999999996</v>
      </c>
      <c r="I73" s="58">
        <v>1299.624</v>
      </c>
      <c r="J73" s="58">
        <v>2818.7089999999998</v>
      </c>
      <c r="K73" s="58">
        <v>1875.614</v>
      </c>
      <c r="L73" s="58">
        <v>998.69500000000005</v>
      </c>
      <c r="M73" s="58">
        <v>876.91899999999998</v>
      </c>
      <c r="N73" s="58">
        <v>358.98899999999998</v>
      </c>
      <c r="O73" s="58">
        <v>217.32900000000001</v>
      </c>
      <c r="P73" s="58">
        <v>141.66</v>
      </c>
      <c r="Q73" s="58">
        <v>148.31700000000001</v>
      </c>
      <c r="R73" s="58">
        <v>116.861</v>
      </c>
      <c r="S73" s="58">
        <v>31.456</v>
      </c>
      <c r="T73" s="58">
        <v>72.963999999999999</v>
      </c>
      <c r="U73" s="58">
        <v>55.795000000000002</v>
      </c>
      <c r="V73" s="58">
        <v>17.169</v>
      </c>
      <c r="W73" s="58">
        <v>75.352999999999994</v>
      </c>
      <c r="X73" s="58">
        <v>61.066000000000003</v>
      </c>
      <c r="Y73" s="58">
        <v>14.287000000000001</v>
      </c>
      <c r="Z73" s="58">
        <v>210.67099999999999</v>
      </c>
      <c r="AA73" s="58">
        <v>100.468</v>
      </c>
      <c r="AB73" s="58">
        <v>110.20399999999999</v>
      </c>
      <c r="AC73" s="58">
        <v>1648.9090000000001</v>
      </c>
      <c r="AD73" s="58">
        <v>861.34</v>
      </c>
      <c r="AE73" s="58">
        <v>787.56899999999996</v>
      </c>
      <c r="AF73" s="58">
        <v>634.16600000000005</v>
      </c>
      <c r="AG73" s="58">
        <v>449.404</v>
      </c>
      <c r="AH73" s="58">
        <v>184.761</v>
      </c>
      <c r="AI73" s="58">
        <v>1014.7430000000001</v>
      </c>
      <c r="AJ73" s="58">
        <v>411.93599999999998</v>
      </c>
      <c r="AK73" s="58">
        <v>602.80799999999999</v>
      </c>
      <c r="AL73" s="58">
        <v>755.91700000000003</v>
      </c>
      <c r="AM73" s="58">
        <v>543.48099999999999</v>
      </c>
      <c r="AN73" s="58">
        <v>212.43600000000001</v>
      </c>
      <c r="AO73" s="58">
        <v>1119.6969999999999</v>
      </c>
      <c r="AP73" s="58">
        <v>455.214</v>
      </c>
      <c r="AQ73" s="58">
        <v>664.48299999999995</v>
      </c>
      <c r="AR73" s="58">
        <v>1087.7080000000001</v>
      </c>
      <c r="AS73" s="58">
        <v>467.73099999999999</v>
      </c>
      <c r="AT73" s="58">
        <v>619.97699999999998</v>
      </c>
      <c r="AU73" s="58">
        <v>12337.585999999999</v>
      </c>
      <c r="AV73" s="58">
        <v>6463.4719999999998</v>
      </c>
      <c r="AW73" s="58">
        <v>5874.1139999999996</v>
      </c>
      <c r="AX73" s="58">
        <v>8554.1389999999992</v>
      </c>
      <c r="AY73" s="58">
        <v>5339.223</v>
      </c>
      <c r="AZ73" s="58">
        <v>3214.9160000000002</v>
      </c>
      <c r="BA73" s="58">
        <v>3783.4479999999999</v>
      </c>
      <c r="BB73" s="58">
        <v>1124.249</v>
      </c>
      <c r="BC73" s="58">
        <v>2659.1979999999999</v>
      </c>
      <c r="BD73" s="58">
        <v>1820.9780000000001</v>
      </c>
      <c r="BE73" s="58">
        <v>960.47199999999998</v>
      </c>
      <c r="BF73" s="58">
        <v>860.50599999999997</v>
      </c>
      <c r="BG73" s="58">
        <v>333.82799999999997</v>
      </c>
      <c r="BH73" s="58">
        <v>197.78700000000001</v>
      </c>
      <c r="BI73" s="58">
        <v>136.042</v>
      </c>
      <c r="BJ73" s="58">
        <v>140.547</v>
      </c>
      <c r="BK73" s="58">
        <v>112.099</v>
      </c>
      <c r="BL73" s="58">
        <v>28.448</v>
      </c>
      <c r="BM73" s="58">
        <v>67.933999999999997</v>
      </c>
      <c r="BN73" s="58">
        <v>52.787999999999997</v>
      </c>
      <c r="BO73" s="58">
        <v>15.146000000000001</v>
      </c>
      <c r="BP73" s="58">
        <v>72.613</v>
      </c>
      <c r="BQ73" s="58">
        <v>59.311</v>
      </c>
      <c r="BR73" s="58">
        <v>13.303000000000001</v>
      </c>
      <c r="BS73" s="58">
        <v>193.28100000000001</v>
      </c>
      <c r="BT73" s="58">
        <v>85.688000000000002</v>
      </c>
      <c r="BU73" s="58">
        <v>107.593</v>
      </c>
      <c r="BV73" s="58">
        <v>1613.5830000000001</v>
      </c>
      <c r="BW73" s="58">
        <v>837.42100000000005</v>
      </c>
      <c r="BX73" s="58">
        <v>776.16200000000003</v>
      </c>
      <c r="BY73" s="58">
        <v>626.57500000000005</v>
      </c>
      <c r="BZ73" s="58">
        <v>444.97399999999999</v>
      </c>
      <c r="CA73" s="58">
        <v>181.601</v>
      </c>
      <c r="CB73" s="58">
        <v>987.00800000000004</v>
      </c>
      <c r="CC73" s="58">
        <v>392.447</v>
      </c>
      <c r="CD73" s="58">
        <v>594.56100000000004</v>
      </c>
      <c r="CE73" s="58">
        <v>741.83199999999999</v>
      </c>
      <c r="CF73" s="58">
        <v>535.56399999999996</v>
      </c>
      <c r="CG73" s="58">
        <v>206.268</v>
      </c>
      <c r="CH73" s="58">
        <v>1079.146</v>
      </c>
      <c r="CI73" s="58">
        <v>424.90800000000002</v>
      </c>
      <c r="CJ73" s="58">
        <v>654.23699999999997</v>
      </c>
      <c r="CK73" s="58">
        <v>1054.942</v>
      </c>
      <c r="CL73" s="58">
        <v>445.23500000000001</v>
      </c>
      <c r="CM73" s="58">
        <v>609.70699999999999</v>
      </c>
      <c r="CN73" s="58">
        <v>1914.652</v>
      </c>
      <c r="CO73" s="58">
        <v>965.28399999999999</v>
      </c>
      <c r="CP73" s="58">
        <v>949.36900000000003</v>
      </c>
      <c r="CQ73" s="58">
        <v>830.32299999999998</v>
      </c>
      <c r="CR73" s="58">
        <v>512.80399999999997</v>
      </c>
      <c r="CS73" s="58">
        <v>317.51900000000001</v>
      </c>
      <c r="CT73" s="58">
        <v>1084.33</v>
      </c>
      <c r="CU73" s="58">
        <v>452.48</v>
      </c>
      <c r="CV73" s="58">
        <v>631.84900000000005</v>
      </c>
      <c r="CW73" s="58">
        <v>500.55399999999997</v>
      </c>
      <c r="CX73" s="58">
        <v>246.71199999999999</v>
      </c>
      <c r="CY73" s="58">
        <v>253.84100000000001</v>
      </c>
      <c r="CZ73" s="58">
        <v>90.516000000000005</v>
      </c>
      <c r="DA73" s="58">
        <v>47.68</v>
      </c>
      <c r="DB73" s="58">
        <v>42.835000000000001</v>
      </c>
      <c r="DC73" s="58">
        <v>13.881</v>
      </c>
      <c r="DD73" s="58">
        <v>10.837</v>
      </c>
      <c r="DE73" s="58">
        <v>3.0449999999999999</v>
      </c>
      <c r="DF73" s="58">
        <v>8.3109999999999999</v>
      </c>
      <c r="DG73" s="58">
        <v>6.67</v>
      </c>
      <c r="DH73" s="58">
        <v>1.6419999999999999</v>
      </c>
      <c r="DI73" s="58">
        <v>5.57</v>
      </c>
      <c r="DJ73" s="58">
        <v>4.1669999999999998</v>
      </c>
      <c r="DK73" s="58">
        <v>1.403</v>
      </c>
      <c r="DL73" s="58">
        <v>76.634</v>
      </c>
      <c r="DM73" s="58">
        <v>36.844000000000001</v>
      </c>
      <c r="DN73" s="58">
        <v>39.79</v>
      </c>
      <c r="DO73" s="58">
        <v>451.96</v>
      </c>
      <c r="DP73" s="58">
        <v>221.691</v>
      </c>
      <c r="DQ73" s="58">
        <v>230.26900000000001</v>
      </c>
      <c r="DR73" s="58">
        <v>95.733000000000004</v>
      </c>
      <c r="DS73" s="58">
        <v>61.774999999999999</v>
      </c>
      <c r="DT73" s="58">
        <v>33.957999999999998</v>
      </c>
      <c r="DU73" s="58">
        <v>356.22699999999998</v>
      </c>
      <c r="DV73" s="58">
        <v>159.916</v>
      </c>
      <c r="DW73" s="58">
        <v>196.31100000000001</v>
      </c>
      <c r="DX73" s="58">
        <v>107.13500000000001</v>
      </c>
      <c r="DY73" s="58">
        <v>71.132999999999996</v>
      </c>
      <c r="DZ73" s="58">
        <v>36.002000000000002</v>
      </c>
      <c r="EA73" s="58">
        <v>393.41899999999998</v>
      </c>
      <c r="EB73" s="58">
        <v>175.57900000000001</v>
      </c>
      <c r="EC73" s="58">
        <v>217.839</v>
      </c>
      <c r="ED73" s="58">
        <v>364.53800000000001</v>
      </c>
      <c r="EE73" s="58">
        <v>166.58600000000001</v>
      </c>
      <c r="EF73" s="58">
        <v>197.953</v>
      </c>
      <c r="EG73" s="58">
        <v>665.82899999999995</v>
      </c>
      <c r="EH73" s="58">
        <v>318.11799999999999</v>
      </c>
      <c r="EI73" s="58">
        <v>347.71199999999999</v>
      </c>
      <c r="EJ73" s="58">
        <v>147.93600000000001</v>
      </c>
      <c r="EK73" s="58">
        <v>96.725999999999999</v>
      </c>
      <c r="EL73" s="58">
        <v>51.209000000000003</v>
      </c>
      <c r="EM73" s="58">
        <v>517.89400000000001</v>
      </c>
      <c r="EN73" s="58">
        <v>221.39099999999999</v>
      </c>
      <c r="EO73" s="58">
        <v>296.50200000000001</v>
      </c>
      <c r="EP73" s="58">
        <v>209.173</v>
      </c>
      <c r="EQ73" s="58">
        <v>102.53100000000001</v>
      </c>
      <c r="ER73" s="58">
        <v>106.642</v>
      </c>
      <c r="ES73" s="58">
        <v>41.862000000000002</v>
      </c>
      <c r="ET73" s="58">
        <v>21.698</v>
      </c>
      <c r="EU73" s="58">
        <v>20.164000000000001</v>
      </c>
      <c r="EV73" s="58">
        <v>4.8140000000000001</v>
      </c>
      <c r="EW73" s="58">
        <v>3.1419999999999999</v>
      </c>
      <c r="EX73" s="58">
        <v>1.6719999999999999</v>
      </c>
      <c r="EY73" s="58">
        <v>2.7309999999999999</v>
      </c>
      <c r="EZ73" s="58">
        <v>1.629</v>
      </c>
      <c r="FA73" s="58">
        <v>1.1020000000000001</v>
      </c>
      <c r="FB73" s="58">
        <v>2.0830000000000002</v>
      </c>
      <c r="FC73" s="58">
        <v>1.5129999999999999</v>
      </c>
      <c r="FD73" s="58">
        <v>0.56999999999999995</v>
      </c>
      <c r="FE73" s="58">
        <v>37.048000000000002</v>
      </c>
      <c r="FF73" s="58">
        <v>18.556000000000001</v>
      </c>
      <c r="FG73" s="58">
        <v>18.492999999999999</v>
      </c>
      <c r="FH73" s="58">
        <v>186.67699999999999</v>
      </c>
      <c r="FI73" s="58">
        <v>91.866</v>
      </c>
      <c r="FJ73" s="58">
        <v>94.811999999999998</v>
      </c>
      <c r="FK73" s="58">
        <v>18.709</v>
      </c>
      <c r="FL73" s="58">
        <v>9.702</v>
      </c>
      <c r="FM73" s="58">
        <v>9.0069999999999997</v>
      </c>
      <c r="FN73" s="58">
        <v>167.96799999999999</v>
      </c>
      <c r="FO73" s="58">
        <v>82.162999999999997</v>
      </c>
      <c r="FP73" s="58">
        <v>85.804000000000002</v>
      </c>
      <c r="FQ73" s="58">
        <v>23.15</v>
      </c>
      <c r="FR73" s="58">
        <v>12.843999999999999</v>
      </c>
      <c r="FS73" s="58">
        <v>10.305999999999999</v>
      </c>
      <c r="FT73" s="58">
        <v>186.023</v>
      </c>
      <c r="FU73" s="58">
        <v>89.686999999999998</v>
      </c>
      <c r="FV73" s="58">
        <v>96.334999999999994</v>
      </c>
      <c r="FW73" s="58">
        <v>170.69900000000001</v>
      </c>
      <c r="FX73" s="58">
        <v>83.793000000000006</v>
      </c>
      <c r="FY73" s="58">
        <v>86.906000000000006</v>
      </c>
      <c r="FZ73" s="58">
        <v>1248.8230000000001</v>
      </c>
      <c r="GA73" s="58">
        <v>647.16600000000005</v>
      </c>
      <c r="GB73" s="58">
        <v>601.65700000000004</v>
      </c>
      <c r="GC73" s="58">
        <v>682.38699999999994</v>
      </c>
      <c r="GD73" s="58">
        <v>416.077</v>
      </c>
      <c r="GE73" s="58">
        <v>266.31</v>
      </c>
      <c r="GF73" s="58">
        <v>566.43600000000004</v>
      </c>
      <c r="GG73" s="58">
        <v>231.089</v>
      </c>
      <c r="GH73" s="58">
        <v>335.34699999999998</v>
      </c>
      <c r="GI73" s="58">
        <v>291.38099999999997</v>
      </c>
      <c r="GJ73" s="58">
        <v>144.18100000000001</v>
      </c>
      <c r="GK73" s="58">
        <v>147.19999999999999</v>
      </c>
      <c r="GL73" s="58">
        <v>48.654000000000003</v>
      </c>
      <c r="GM73" s="58">
        <v>25.983000000000001</v>
      </c>
      <c r="GN73" s="58">
        <v>22.670999999999999</v>
      </c>
      <c r="GO73" s="58">
        <v>9.0679999999999996</v>
      </c>
      <c r="GP73" s="58">
        <v>7.6950000000000003</v>
      </c>
      <c r="GQ73" s="58">
        <v>1.373</v>
      </c>
      <c r="GR73" s="58">
        <v>5.58</v>
      </c>
      <c r="GS73" s="58">
        <v>5.0410000000000004</v>
      </c>
      <c r="GT73" s="58">
        <v>0.54</v>
      </c>
      <c r="GU73" s="58">
        <v>3.4870000000000001</v>
      </c>
      <c r="GV73" s="58">
        <v>2.6539999999999999</v>
      </c>
      <c r="GW73" s="58">
        <v>0.83299999999999996</v>
      </c>
      <c r="GX73" s="58">
        <v>39.585999999999999</v>
      </c>
      <c r="GY73" s="58">
        <v>18.288</v>
      </c>
      <c r="GZ73" s="58">
        <v>21.297999999999998</v>
      </c>
      <c r="HA73" s="58">
        <v>265.28300000000002</v>
      </c>
      <c r="HB73" s="58">
        <v>129.82499999999999</v>
      </c>
      <c r="HC73" s="58">
        <v>135.458</v>
      </c>
      <c r="HD73" s="58">
        <v>77.024000000000001</v>
      </c>
      <c r="HE73" s="58">
        <v>52.073</v>
      </c>
      <c r="HF73" s="58">
        <v>24.951000000000001</v>
      </c>
      <c r="HG73" s="58">
        <v>188.25899999999999</v>
      </c>
      <c r="HH73" s="58">
        <v>77.751999999999995</v>
      </c>
      <c r="HI73" s="58">
        <v>110.50700000000001</v>
      </c>
      <c r="HJ73" s="58">
        <v>83.984999999999999</v>
      </c>
      <c r="HK73" s="58">
        <v>58.289000000000001</v>
      </c>
      <c r="HL73" s="58">
        <v>25.696000000000002</v>
      </c>
      <c r="HM73" s="58">
        <v>207.39599999999999</v>
      </c>
      <c r="HN73" s="58">
        <v>85.891999999999996</v>
      </c>
      <c r="HO73" s="58">
        <v>121.504</v>
      </c>
      <c r="HP73" s="58">
        <v>193.84</v>
      </c>
      <c r="HQ73" s="58">
        <v>82.793000000000006</v>
      </c>
      <c r="HR73" s="58">
        <v>111.047</v>
      </c>
      <c r="HS73" s="58">
        <v>3083.123</v>
      </c>
      <c r="HT73" s="58">
        <v>1650.328</v>
      </c>
      <c r="HU73" s="58">
        <v>1432.7950000000001</v>
      </c>
      <c r="HV73" s="58">
        <v>2329.194</v>
      </c>
      <c r="HW73" s="58">
        <v>1409.569</v>
      </c>
      <c r="HX73" s="58">
        <v>919.62400000000002</v>
      </c>
      <c r="HY73" s="58">
        <v>753.92899999999997</v>
      </c>
      <c r="HZ73" s="58">
        <v>240.75899999999999</v>
      </c>
      <c r="IA73" s="58">
        <v>513.16999999999996</v>
      </c>
      <c r="IB73" s="58">
        <v>419.54</v>
      </c>
      <c r="IC73" s="58">
        <v>252.24100000000001</v>
      </c>
      <c r="ID73" s="58">
        <v>167.298</v>
      </c>
      <c r="IE73" s="58">
        <v>61.158999999999999</v>
      </c>
      <c r="IF73" s="58">
        <v>38.432000000000002</v>
      </c>
      <c r="IG73" s="58">
        <v>22.725999999999999</v>
      </c>
      <c r="IH73" s="58">
        <v>30.483000000000001</v>
      </c>
      <c r="II73" s="58">
        <v>25.023</v>
      </c>
      <c r="IJ73" s="58">
        <v>5.46</v>
      </c>
      <c r="IK73" s="58">
        <v>14.028</v>
      </c>
      <c r="IL73" s="58">
        <v>11.476000000000001</v>
      </c>
      <c r="IM73" s="58">
        <v>2.552</v>
      </c>
      <c r="IN73" s="58">
        <v>16.454000000000001</v>
      </c>
      <c r="IO73" s="58">
        <v>13.547000000000001</v>
      </c>
      <c r="IP73" s="58">
        <v>2.9079999999999999</v>
      </c>
      <c r="IQ73" s="58">
        <v>30.675999999999998</v>
      </c>
    </row>
    <row r="74" spans="1:251">
      <c r="A74" s="5">
        <v>43739</v>
      </c>
      <c r="B74" s="58">
        <v>12900.790999999999</v>
      </c>
      <c r="C74" s="58">
        <v>6794.7420000000002</v>
      </c>
      <c r="D74" s="58">
        <v>6106.049</v>
      </c>
      <c r="E74" s="58">
        <v>8801.4689999999991</v>
      </c>
      <c r="F74" s="58">
        <v>5512.67</v>
      </c>
      <c r="G74" s="58">
        <v>3288.8</v>
      </c>
      <c r="H74" s="58">
        <v>4099.3220000000001</v>
      </c>
      <c r="I74" s="58">
        <v>1282.0719999999999</v>
      </c>
      <c r="J74" s="58">
        <v>2817.25</v>
      </c>
      <c r="K74" s="58">
        <v>1878.787</v>
      </c>
      <c r="L74" s="58">
        <v>979.93299999999999</v>
      </c>
      <c r="M74" s="58">
        <v>898.85400000000004</v>
      </c>
      <c r="N74" s="58">
        <v>343.52600000000001</v>
      </c>
      <c r="O74" s="58">
        <v>194.846</v>
      </c>
      <c r="P74" s="58">
        <v>148.68</v>
      </c>
      <c r="Q74" s="58">
        <v>127.87</v>
      </c>
      <c r="R74" s="58">
        <v>100.331</v>
      </c>
      <c r="S74" s="58">
        <v>27.539000000000001</v>
      </c>
      <c r="T74" s="58">
        <v>82.027000000000001</v>
      </c>
      <c r="U74" s="58">
        <v>64.358000000000004</v>
      </c>
      <c r="V74" s="58">
        <v>17.669</v>
      </c>
      <c r="W74" s="58">
        <v>45.843000000000004</v>
      </c>
      <c r="X74" s="58">
        <v>35.972999999999999</v>
      </c>
      <c r="Y74" s="58">
        <v>9.8699999999999992</v>
      </c>
      <c r="Z74" s="58">
        <v>215.65600000000001</v>
      </c>
      <c r="AA74" s="58">
        <v>94.515000000000001</v>
      </c>
      <c r="AB74" s="58">
        <v>121.14100000000001</v>
      </c>
      <c r="AC74" s="58">
        <v>1683.5260000000001</v>
      </c>
      <c r="AD74" s="58">
        <v>867.42499999999995</v>
      </c>
      <c r="AE74" s="58">
        <v>816.101</v>
      </c>
      <c r="AF74" s="58">
        <v>661.01700000000005</v>
      </c>
      <c r="AG74" s="58">
        <v>477.39800000000002</v>
      </c>
      <c r="AH74" s="58">
        <v>183.619</v>
      </c>
      <c r="AI74" s="58">
        <v>1022.509</v>
      </c>
      <c r="AJ74" s="58">
        <v>390.02699999999999</v>
      </c>
      <c r="AK74" s="58">
        <v>632.48199999999997</v>
      </c>
      <c r="AL74" s="58">
        <v>751.697</v>
      </c>
      <c r="AM74" s="58">
        <v>549.351</v>
      </c>
      <c r="AN74" s="58">
        <v>202.346</v>
      </c>
      <c r="AO74" s="58">
        <v>1127.0899999999999</v>
      </c>
      <c r="AP74" s="58">
        <v>430.58300000000003</v>
      </c>
      <c r="AQ74" s="58">
        <v>696.50699999999995</v>
      </c>
      <c r="AR74" s="58">
        <v>1104.5360000000001</v>
      </c>
      <c r="AS74" s="58">
        <v>454.38499999999999</v>
      </c>
      <c r="AT74" s="58">
        <v>650.15200000000004</v>
      </c>
      <c r="AU74" s="58">
        <v>12323.32</v>
      </c>
      <c r="AV74" s="58">
        <v>6452.2259999999997</v>
      </c>
      <c r="AW74" s="58">
        <v>5871.0940000000001</v>
      </c>
      <c r="AX74" s="58">
        <v>8546.2610000000004</v>
      </c>
      <c r="AY74" s="58">
        <v>5332.5630000000001</v>
      </c>
      <c r="AZ74" s="58">
        <v>3213.6979999999999</v>
      </c>
      <c r="BA74" s="58">
        <v>3777.0590000000002</v>
      </c>
      <c r="BB74" s="58">
        <v>1119.662</v>
      </c>
      <c r="BC74" s="58">
        <v>2657.3960000000002</v>
      </c>
      <c r="BD74" s="58">
        <v>1823.7650000000001</v>
      </c>
      <c r="BE74" s="58">
        <v>945.08</v>
      </c>
      <c r="BF74" s="58">
        <v>878.68499999999995</v>
      </c>
      <c r="BG74" s="58">
        <v>321.80599999999998</v>
      </c>
      <c r="BH74" s="58">
        <v>180.624</v>
      </c>
      <c r="BI74" s="58">
        <v>141.18100000000001</v>
      </c>
      <c r="BJ74" s="58">
        <v>121.913</v>
      </c>
      <c r="BK74" s="58">
        <v>95.066999999999993</v>
      </c>
      <c r="BL74" s="58">
        <v>26.846</v>
      </c>
      <c r="BM74" s="58">
        <v>79.088999999999999</v>
      </c>
      <c r="BN74" s="58">
        <v>61.627000000000002</v>
      </c>
      <c r="BO74" s="58">
        <v>17.463000000000001</v>
      </c>
      <c r="BP74" s="58">
        <v>42.823999999999998</v>
      </c>
      <c r="BQ74" s="58">
        <v>33.44</v>
      </c>
      <c r="BR74" s="58">
        <v>9.3840000000000003</v>
      </c>
      <c r="BS74" s="58">
        <v>199.893</v>
      </c>
      <c r="BT74" s="58">
        <v>85.558000000000007</v>
      </c>
      <c r="BU74" s="58">
        <v>114.33499999999999</v>
      </c>
      <c r="BV74" s="58">
        <v>1647.02</v>
      </c>
      <c r="BW74" s="58">
        <v>845.01099999999997</v>
      </c>
      <c r="BX74" s="58">
        <v>802.00900000000001</v>
      </c>
      <c r="BY74" s="58">
        <v>653.90499999999997</v>
      </c>
      <c r="BZ74" s="58">
        <v>472.02300000000002</v>
      </c>
      <c r="CA74" s="58">
        <v>181.88200000000001</v>
      </c>
      <c r="CB74" s="58">
        <v>993.11500000000001</v>
      </c>
      <c r="CC74" s="58">
        <v>372.988</v>
      </c>
      <c r="CD74" s="58">
        <v>620.12699999999995</v>
      </c>
      <c r="CE74" s="58">
        <v>739.33199999999999</v>
      </c>
      <c r="CF74" s="58">
        <v>539.41499999999996</v>
      </c>
      <c r="CG74" s="58">
        <v>199.917</v>
      </c>
      <c r="CH74" s="58">
        <v>1084.433</v>
      </c>
      <c r="CI74" s="58">
        <v>405.66500000000002</v>
      </c>
      <c r="CJ74" s="58">
        <v>678.76800000000003</v>
      </c>
      <c r="CK74" s="58">
        <v>1072.204</v>
      </c>
      <c r="CL74" s="58">
        <v>434.61500000000001</v>
      </c>
      <c r="CM74" s="58">
        <v>637.59</v>
      </c>
      <c r="CN74" s="58">
        <v>1907.8589999999999</v>
      </c>
      <c r="CO74" s="58">
        <v>956.18700000000001</v>
      </c>
      <c r="CP74" s="58">
        <v>951.67200000000003</v>
      </c>
      <c r="CQ74" s="58">
        <v>846.702</v>
      </c>
      <c r="CR74" s="58">
        <v>506.78199999999998</v>
      </c>
      <c r="CS74" s="58">
        <v>339.92</v>
      </c>
      <c r="CT74" s="58">
        <v>1061.1559999999999</v>
      </c>
      <c r="CU74" s="58">
        <v>449.404</v>
      </c>
      <c r="CV74" s="58">
        <v>611.75199999999995</v>
      </c>
      <c r="CW74" s="58">
        <v>498.82400000000001</v>
      </c>
      <c r="CX74" s="58">
        <v>250.66200000000001</v>
      </c>
      <c r="CY74" s="58">
        <v>248.16200000000001</v>
      </c>
      <c r="CZ74" s="58">
        <v>83.334000000000003</v>
      </c>
      <c r="DA74" s="58">
        <v>45.728999999999999</v>
      </c>
      <c r="DB74" s="58">
        <v>37.604999999999997</v>
      </c>
      <c r="DC74" s="58">
        <v>15.034000000000001</v>
      </c>
      <c r="DD74" s="58">
        <v>11.888999999999999</v>
      </c>
      <c r="DE74" s="58">
        <v>3.145</v>
      </c>
      <c r="DF74" s="58">
        <v>11.605</v>
      </c>
      <c r="DG74" s="58">
        <v>9.4819999999999993</v>
      </c>
      <c r="DH74" s="58">
        <v>2.1240000000000001</v>
      </c>
      <c r="DI74" s="58">
        <v>3.4289999999999998</v>
      </c>
      <c r="DJ74" s="58">
        <v>2.4079999999999999</v>
      </c>
      <c r="DK74" s="58">
        <v>1.0209999999999999</v>
      </c>
      <c r="DL74" s="58">
        <v>68.299000000000007</v>
      </c>
      <c r="DM74" s="58">
        <v>33.838999999999999</v>
      </c>
      <c r="DN74" s="58">
        <v>34.46</v>
      </c>
      <c r="DO74" s="58">
        <v>458.32600000000002</v>
      </c>
      <c r="DP74" s="58">
        <v>225.166</v>
      </c>
      <c r="DQ74" s="58">
        <v>233.16</v>
      </c>
      <c r="DR74" s="58">
        <v>104.988</v>
      </c>
      <c r="DS74" s="58">
        <v>69.784000000000006</v>
      </c>
      <c r="DT74" s="58">
        <v>35.204000000000001</v>
      </c>
      <c r="DU74" s="58">
        <v>353.339</v>
      </c>
      <c r="DV74" s="58">
        <v>155.38300000000001</v>
      </c>
      <c r="DW74" s="58">
        <v>197.95599999999999</v>
      </c>
      <c r="DX74" s="58">
        <v>116.21599999999999</v>
      </c>
      <c r="DY74" s="58">
        <v>78.974999999999994</v>
      </c>
      <c r="DZ74" s="58">
        <v>37.241</v>
      </c>
      <c r="EA74" s="58">
        <v>382.60899999999998</v>
      </c>
      <c r="EB74" s="58">
        <v>171.68700000000001</v>
      </c>
      <c r="EC74" s="58">
        <v>210.92099999999999</v>
      </c>
      <c r="ED74" s="58">
        <v>364.94400000000002</v>
      </c>
      <c r="EE74" s="58">
        <v>164.864</v>
      </c>
      <c r="EF74" s="58">
        <v>200.08</v>
      </c>
      <c r="EG74" s="58">
        <v>662.38900000000001</v>
      </c>
      <c r="EH74" s="58">
        <v>318.113</v>
      </c>
      <c r="EI74" s="58">
        <v>344.27600000000001</v>
      </c>
      <c r="EJ74" s="58">
        <v>148.91900000000001</v>
      </c>
      <c r="EK74" s="58">
        <v>98.442999999999998</v>
      </c>
      <c r="EL74" s="58">
        <v>50.475999999999999</v>
      </c>
      <c r="EM74" s="58">
        <v>513.47</v>
      </c>
      <c r="EN74" s="58">
        <v>219.67</v>
      </c>
      <c r="EO74" s="58">
        <v>293.8</v>
      </c>
      <c r="EP74" s="58">
        <v>213.96199999999999</v>
      </c>
      <c r="EQ74" s="58">
        <v>107.41800000000001</v>
      </c>
      <c r="ER74" s="58">
        <v>106.544</v>
      </c>
      <c r="ES74" s="58">
        <v>40.42</v>
      </c>
      <c r="ET74" s="58">
        <v>23.004000000000001</v>
      </c>
      <c r="EU74" s="58">
        <v>17.416</v>
      </c>
      <c r="EV74" s="58">
        <v>5.4560000000000004</v>
      </c>
      <c r="EW74" s="58">
        <v>4.923</v>
      </c>
      <c r="EX74" s="58">
        <v>0.53300000000000003</v>
      </c>
      <c r="EY74" s="58">
        <v>4.3040000000000003</v>
      </c>
      <c r="EZ74" s="58">
        <v>3.867</v>
      </c>
      <c r="FA74" s="58">
        <v>0.437</v>
      </c>
      <c r="FB74" s="58">
        <v>1.1519999999999999</v>
      </c>
      <c r="FC74" s="58">
        <v>1.056</v>
      </c>
      <c r="FD74" s="58">
        <v>9.6000000000000002E-2</v>
      </c>
      <c r="FE74" s="58">
        <v>34.963999999999999</v>
      </c>
      <c r="FF74" s="58">
        <v>18.081</v>
      </c>
      <c r="FG74" s="58">
        <v>16.882999999999999</v>
      </c>
      <c r="FH74" s="58">
        <v>197.626</v>
      </c>
      <c r="FI74" s="58">
        <v>96.216999999999999</v>
      </c>
      <c r="FJ74" s="58">
        <v>101.40900000000001</v>
      </c>
      <c r="FK74" s="58">
        <v>24.524000000000001</v>
      </c>
      <c r="FL74" s="58">
        <v>15.231</v>
      </c>
      <c r="FM74" s="58">
        <v>9.2929999999999993</v>
      </c>
      <c r="FN74" s="58">
        <v>173.102</v>
      </c>
      <c r="FO74" s="58">
        <v>80.986000000000004</v>
      </c>
      <c r="FP74" s="58">
        <v>92.116</v>
      </c>
      <c r="FQ74" s="58">
        <v>27.818999999999999</v>
      </c>
      <c r="FR74" s="58">
        <v>18.428999999999998</v>
      </c>
      <c r="FS74" s="58">
        <v>9.39</v>
      </c>
      <c r="FT74" s="58">
        <v>186.143</v>
      </c>
      <c r="FU74" s="58">
        <v>88.988</v>
      </c>
      <c r="FV74" s="58">
        <v>97.155000000000001</v>
      </c>
      <c r="FW74" s="58">
        <v>177.40600000000001</v>
      </c>
      <c r="FX74" s="58">
        <v>84.852999999999994</v>
      </c>
      <c r="FY74" s="58">
        <v>92.552999999999997</v>
      </c>
      <c r="FZ74" s="58">
        <v>1245.47</v>
      </c>
      <c r="GA74" s="58">
        <v>638.07399999999996</v>
      </c>
      <c r="GB74" s="58">
        <v>607.39599999999996</v>
      </c>
      <c r="GC74" s="58">
        <v>697.78300000000002</v>
      </c>
      <c r="GD74" s="58">
        <v>408.339</v>
      </c>
      <c r="GE74" s="58">
        <v>289.44400000000002</v>
      </c>
      <c r="GF74" s="58">
        <v>547.68700000000001</v>
      </c>
      <c r="GG74" s="58">
        <v>229.73500000000001</v>
      </c>
      <c r="GH74" s="58">
        <v>317.952</v>
      </c>
      <c r="GI74" s="58">
        <v>284.86200000000002</v>
      </c>
      <c r="GJ74" s="58">
        <v>143.244</v>
      </c>
      <c r="GK74" s="58">
        <v>141.61799999999999</v>
      </c>
      <c r="GL74" s="58">
        <v>42.912999999999997</v>
      </c>
      <c r="GM74" s="58">
        <v>22.724</v>
      </c>
      <c r="GN74" s="58">
        <v>20.189</v>
      </c>
      <c r="GO74" s="58">
        <v>9.5779999999999994</v>
      </c>
      <c r="GP74" s="58">
        <v>6.9660000000000002</v>
      </c>
      <c r="GQ74" s="58">
        <v>2.6120000000000001</v>
      </c>
      <c r="GR74" s="58">
        <v>7.3010000000000002</v>
      </c>
      <c r="GS74" s="58">
        <v>5.6139999999999999</v>
      </c>
      <c r="GT74" s="58">
        <v>1.6870000000000001</v>
      </c>
      <c r="GU74" s="58">
        <v>2.2759999999999998</v>
      </c>
      <c r="GV74" s="58">
        <v>1.351</v>
      </c>
      <c r="GW74" s="58">
        <v>0.92500000000000004</v>
      </c>
      <c r="GX74" s="58">
        <v>33.335999999999999</v>
      </c>
      <c r="GY74" s="58">
        <v>15.759</v>
      </c>
      <c r="GZ74" s="58">
        <v>17.577000000000002</v>
      </c>
      <c r="HA74" s="58">
        <v>260.7</v>
      </c>
      <c r="HB74" s="58">
        <v>128.94999999999999</v>
      </c>
      <c r="HC74" s="58">
        <v>131.751</v>
      </c>
      <c r="HD74" s="58">
        <v>80.463999999999999</v>
      </c>
      <c r="HE74" s="58">
        <v>54.552999999999997</v>
      </c>
      <c r="HF74" s="58">
        <v>25.911000000000001</v>
      </c>
      <c r="HG74" s="58">
        <v>180.23699999999999</v>
      </c>
      <c r="HH74" s="58">
        <v>74.397000000000006</v>
      </c>
      <c r="HI74" s="58">
        <v>105.84</v>
      </c>
      <c r="HJ74" s="58">
        <v>88.397000000000006</v>
      </c>
      <c r="HK74" s="58">
        <v>60.545000000000002</v>
      </c>
      <c r="HL74" s="58">
        <v>27.850999999999999</v>
      </c>
      <c r="HM74" s="58">
        <v>196.465</v>
      </c>
      <c r="HN74" s="58">
        <v>82.698999999999998</v>
      </c>
      <c r="HO74" s="58">
        <v>113.767</v>
      </c>
      <c r="HP74" s="58">
        <v>187.53800000000001</v>
      </c>
      <c r="HQ74" s="58">
        <v>80.010999999999996</v>
      </c>
      <c r="HR74" s="58">
        <v>107.527</v>
      </c>
      <c r="HS74" s="58">
        <v>3080.3510000000001</v>
      </c>
      <c r="HT74" s="58">
        <v>1641.5989999999999</v>
      </c>
      <c r="HU74" s="58">
        <v>1438.751</v>
      </c>
      <c r="HV74" s="58">
        <v>2352.7570000000001</v>
      </c>
      <c r="HW74" s="58">
        <v>1418.4159999999999</v>
      </c>
      <c r="HX74" s="58">
        <v>934.34100000000001</v>
      </c>
      <c r="HY74" s="58">
        <v>727.59400000000005</v>
      </c>
      <c r="HZ74" s="58">
        <v>223.18299999999999</v>
      </c>
      <c r="IA74" s="58">
        <v>504.411</v>
      </c>
      <c r="IB74" s="58">
        <v>421.88</v>
      </c>
      <c r="IC74" s="58">
        <v>241.12299999999999</v>
      </c>
      <c r="ID74" s="58">
        <v>180.75700000000001</v>
      </c>
      <c r="IE74" s="58">
        <v>64.825000000000003</v>
      </c>
      <c r="IF74" s="58">
        <v>39.043999999999997</v>
      </c>
      <c r="IG74" s="58">
        <v>25.780999999999999</v>
      </c>
      <c r="IH74" s="58">
        <v>31.137</v>
      </c>
      <c r="II74" s="58">
        <v>24.829000000000001</v>
      </c>
      <c r="IJ74" s="58">
        <v>6.3079999999999998</v>
      </c>
      <c r="IK74" s="58">
        <v>20.143000000000001</v>
      </c>
      <c r="IL74" s="58">
        <v>15.457000000000001</v>
      </c>
      <c r="IM74" s="58">
        <v>4.6859999999999999</v>
      </c>
      <c r="IN74" s="58">
        <v>10.994</v>
      </c>
      <c r="IO74" s="58">
        <v>9.3719999999999999</v>
      </c>
      <c r="IP74" s="58">
        <v>1.6220000000000001</v>
      </c>
      <c r="IQ74" s="58">
        <v>33.686999999999998</v>
      </c>
    </row>
    <row r="75" spans="1:251">
      <c r="A75" s="5">
        <v>43770</v>
      </c>
      <c r="B75" s="58">
        <v>12996.177</v>
      </c>
      <c r="C75" s="58">
        <v>6842.1629999999996</v>
      </c>
      <c r="D75" s="58">
        <v>6154.0140000000001</v>
      </c>
      <c r="E75" s="58">
        <v>8874.6749999999993</v>
      </c>
      <c r="F75" s="58">
        <v>5546.4309999999996</v>
      </c>
      <c r="G75" s="58">
        <v>3328.2440000000001</v>
      </c>
      <c r="H75" s="58">
        <v>4121.5020000000004</v>
      </c>
      <c r="I75" s="58">
        <v>1295.731</v>
      </c>
      <c r="J75" s="58">
        <v>2825.77</v>
      </c>
      <c r="K75" s="58">
        <v>1889.598</v>
      </c>
      <c r="L75" s="58">
        <v>1018.147</v>
      </c>
      <c r="M75" s="58">
        <v>871.45100000000002</v>
      </c>
      <c r="N75" s="58">
        <v>330.83</v>
      </c>
      <c r="O75" s="58">
        <v>194.57</v>
      </c>
      <c r="P75" s="58">
        <v>136.261</v>
      </c>
      <c r="Q75" s="58">
        <v>132.58600000000001</v>
      </c>
      <c r="R75" s="58">
        <v>106.02800000000001</v>
      </c>
      <c r="S75" s="58">
        <v>26.556999999999999</v>
      </c>
      <c r="T75" s="58">
        <v>83.385999999999996</v>
      </c>
      <c r="U75" s="58">
        <v>65.753</v>
      </c>
      <c r="V75" s="58">
        <v>17.632000000000001</v>
      </c>
      <c r="W75" s="58">
        <v>49.2</v>
      </c>
      <c r="X75" s="58">
        <v>40.274999999999999</v>
      </c>
      <c r="Y75" s="58">
        <v>8.9250000000000007</v>
      </c>
      <c r="Z75" s="58">
        <v>198.244</v>
      </c>
      <c r="AA75" s="58">
        <v>88.540999999999997</v>
      </c>
      <c r="AB75" s="58">
        <v>109.703</v>
      </c>
      <c r="AC75" s="58">
        <v>1701.4290000000001</v>
      </c>
      <c r="AD75" s="58">
        <v>900.45100000000002</v>
      </c>
      <c r="AE75" s="58">
        <v>800.97799999999995</v>
      </c>
      <c r="AF75" s="58">
        <v>651.94000000000005</v>
      </c>
      <c r="AG75" s="58">
        <v>486.07900000000001</v>
      </c>
      <c r="AH75" s="58">
        <v>165.86099999999999</v>
      </c>
      <c r="AI75" s="58">
        <v>1049.489</v>
      </c>
      <c r="AJ75" s="58">
        <v>414.37200000000001</v>
      </c>
      <c r="AK75" s="58">
        <v>635.11699999999996</v>
      </c>
      <c r="AL75" s="58">
        <v>744.82899999999995</v>
      </c>
      <c r="AM75" s="58">
        <v>561.30600000000004</v>
      </c>
      <c r="AN75" s="58">
        <v>183.524</v>
      </c>
      <c r="AO75" s="58">
        <v>1144.769</v>
      </c>
      <c r="AP75" s="58">
        <v>456.84100000000001</v>
      </c>
      <c r="AQ75" s="58">
        <v>687.928</v>
      </c>
      <c r="AR75" s="58">
        <v>1132.874</v>
      </c>
      <c r="AS75" s="58">
        <v>480.125</v>
      </c>
      <c r="AT75" s="58">
        <v>652.74900000000002</v>
      </c>
      <c r="AU75" s="58">
        <v>12376.414000000001</v>
      </c>
      <c r="AV75" s="58">
        <v>6483.0959999999995</v>
      </c>
      <c r="AW75" s="58">
        <v>5893.3180000000002</v>
      </c>
      <c r="AX75" s="58">
        <v>8601.0730000000003</v>
      </c>
      <c r="AY75" s="58">
        <v>5353.393</v>
      </c>
      <c r="AZ75" s="58">
        <v>3247.6790000000001</v>
      </c>
      <c r="BA75" s="58">
        <v>3775.3409999999999</v>
      </c>
      <c r="BB75" s="58">
        <v>1129.703</v>
      </c>
      <c r="BC75" s="58">
        <v>2645.6379999999999</v>
      </c>
      <c r="BD75" s="58">
        <v>1831.39</v>
      </c>
      <c r="BE75" s="58">
        <v>976.55100000000004</v>
      </c>
      <c r="BF75" s="58">
        <v>854.83900000000006</v>
      </c>
      <c r="BG75" s="58">
        <v>309.61399999999998</v>
      </c>
      <c r="BH75" s="58">
        <v>179.327</v>
      </c>
      <c r="BI75" s="58">
        <v>130.28700000000001</v>
      </c>
      <c r="BJ75" s="58">
        <v>127.66</v>
      </c>
      <c r="BK75" s="58">
        <v>101.732</v>
      </c>
      <c r="BL75" s="58">
        <v>25.928000000000001</v>
      </c>
      <c r="BM75" s="58">
        <v>79.668000000000006</v>
      </c>
      <c r="BN75" s="58">
        <v>62.29</v>
      </c>
      <c r="BO75" s="58">
        <v>17.378</v>
      </c>
      <c r="BP75" s="58">
        <v>47.991999999999997</v>
      </c>
      <c r="BQ75" s="58">
        <v>39.441000000000003</v>
      </c>
      <c r="BR75" s="58">
        <v>8.5510000000000002</v>
      </c>
      <c r="BS75" s="58">
        <v>181.95400000000001</v>
      </c>
      <c r="BT75" s="58">
        <v>77.594999999999999</v>
      </c>
      <c r="BU75" s="58">
        <v>104.35899999999999</v>
      </c>
      <c r="BV75" s="58">
        <v>1659.2670000000001</v>
      </c>
      <c r="BW75" s="58">
        <v>869.89200000000005</v>
      </c>
      <c r="BX75" s="58">
        <v>789.375</v>
      </c>
      <c r="BY75" s="58">
        <v>642.33600000000001</v>
      </c>
      <c r="BZ75" s="58">
        <v>476.73</v>
      </c>
      <c r="CA75" s="58">
        <v>165.60599999999999</v>
      </c>
      <c r="CB75" s="58">
        <v>1016.931</v>
      </c>
      <c r="CC75" s="58">
        <v>393.16199999999998</v>
      </c>
      <c r="CD75" s="58">
        <v>623.76900000000001</v>
      </c>
      <c r="CE75" s="58">
        <v>731.77499999999998</v>
      </c>
      <c r="CF75" s="58">
        <v>548.88099999999997</v>
      </c>
      <c r="CG75" s="58">
        <v>182.89500000000001</v>
      </c>
      <c r="CH75" s="58">
        <v>1099.614</v>
      </c>
      <c r="CI75" s="58">
        <v>427.67</v>
      </c>
      <c r="CJ75" s="58">
        <v>671.94399999999996</v>
      </c>
      <c r="CK75" s="58">
        <v>1096.5989999999999</v>
      </c>
      <c r="CL75" s="58">
        <v>455.452</v>
      </c>
      <c r="CM75" s="58">
        <v>641.14700000000005</v>
      </c>
      <c r="CN75" s="58">
        <v>1914.8920000000001</v>
      </c>
      <c r="CO75" s="58">
        <v>969.65300000000002</v>
      </c>
      <c r="CP75" s="58">
        <v>945.23900000000003</v>
      </c>
      <c r="CQ75" s="58">
        <v>846.53300000000002</v>
      </c>
      <c r="CR75" s="58">
        <v>509.03500000000003</v>
      </c>
      <c r="CS75" s="58">
        <v>337.49799999999999</v>
      </c>
      <c r="CT75" s="58">
        <v>1068.3589999999999</v>
      </c>
      <c r="CU75" s="58">
        <v>460.61799999999999</v>
      </c>
      <c r="CV75" s="58">
        <v>607.74099999999999</v>
      </c>
      <c r="CW75" s="58">
        <v>509.51</v>
      </c>
      <c r="CX75" s="58">
        <v>273.81200000000001</v>
      </c>
      <c r="CY75" s="58">
        <v>235.69800000000001</v>
      </c>
      <c r="CZ75" s="58">
        <v>68.58</v>
      </c>
      <c r="DA75" s="58">
        <v>42.738</v>
      </c>
      <c r="DB75" s="58">
        <v>25.841999999999999</v>
      </c>
      <c r="DC75" s="58">
        <v>16.282</v>
      </c>
      <c r="DD75" s="58">
        <v>12.621</v>
      </c>
      <c r="DE75" s="58">
        <v>3.6619999999999999</v>
      </c>
      <c r="DF75" s="58">
        <v>12.086</v>
      </c>
      <c r="DG75" s="58">
        <v>9.6620000000000008</v>
      </c>
      <c r="DH75" s="58">
        <v>2.4239999999999999</v>
      </c>
      <c r="DI75" s="58">
        <v>4.1959999999999997</v>
      </c>
      <c r="DJ75" s="58">
        <v>2.9590000000000001</v>
      </c>
      <c r="DK75" s="58">
        <v>1.2370000000000001</v>
      </c>
      <c r="DL75" s="58">
        <v>52.296999999999997</v>
      </c>
      <c r="DM75" s="58">
        <v>30.117000000000001</v>
      </c>
      <c r="DN75" s="58">
        <v>22.18</v>
      </c>
      <c r="DO75" s="58">
        <v>480.43400000000003</v>
      </c>
      <c r="DP75" s="58">
        <v>250.667</v>
      </c>
      <c r="DQ75" s="58">
        <v>229.76599999999999</v>
      </c>
      <c r="DR75" s="58">
        <v>102.259</v>
      </c>
      <c r="DS75" s="58">
        <v>71.92</v>
      </c>
      <c r="DT75" s="58">
        <v>30.338999999999999</v>
      </c>
      <c r="DU75" s="58">
        <v>378.17500000000001</v>
      </c>
      <c r="DV75" s="58">
        <v>178.74700000000001</v>
      </c>
      <c r="DW75" s="58">
        <v>199.428</v>
      </c>
      <c r="DX75" s="58">
        <v>113.69499999999999</v>
      </c>
      <c r="DY75" s="58">
        <v>82.146000000000001</v>
      </c>
      <c r="DZ75" s="58">
        <v>31.548999999999999</v>
      </c>
      <c r="EA75" s="58">
        <v>395.815</v>
      </c>
      <c r="EB75" s="58">
        <v>191.666</v>
      </c>
      <c r="EC75" s="58">
        <v>204.149</v>
      </c>
      <c r="ED75" s="58">
        <v>390.26100000000002</v>
      </c>
      <c r="EE75" s="58">
        <v>188.40899999999999</v>
      </c>
      <c r="EF75" s="58">
        <v>201.852</v>
      </c>
      <c r="EG75" s="58">
        <v>659.57500000000005</v>
      </c>
      <c r="EH75" s="58">
        <v>321.7</v>
      </c>
      <c r="EI75" s="58">
        <v>337.875</v>
      </c>
      <c r="EJ75" s="58">
        <v>142.989</v>
      </c>
      <c r="EK75" s="58">
        <v>95.194999999999993</v>
      </c>
      <c r="EL75" s="58">
        <v>47.793999999999997</v>
      </c>
      <c r="EM75" s="58">
        <v>516.58500000000004</v>
      </c>
      <c r="EN75" s="58">
        <v>226.50399999999999</v>
      </c>
      <c r="EO75" s="58">
        <v>290.08100000000002</v>
      </c>
      <c r="EP75" s="58">
        <v>220.20699999999999</v>
      </c>
      <c r="EQ75" s="58">
        <v>118.974</v>
      </c>
      <c r="ER75" s="58">
        <v>101.23399999999999</v>
      </c>
      <c r="ES75" s="58">
        <v>26.291</v>
      </c>
      <c r="ET75" s="58">
        <v>18.510999999999999</v>
      </c>
      <c r="EU75" s="58">
        <v>7.78</v>
      </c>
      <c r="EV75" s="58">
        <v>3.028</v>
      </c>
      <c r="EW75" s="58">
        <v>2.6230000000000002</v>
      </c>
      <c r="EX75" s="58">
        <v>0.40500000000000003</v>
      </c>
      <c r="EY75" s="58">
        <v>3.028</v>
      </c>
      <c r="EZ75" s="58">
        <v>2.6230000000000002</v>
      </c>
      <c r="FA75" s="58">
        <v>0.40500000000000003</v>
      </c>
      <c r="FB75" s="58">
        <v>0</v>
      </c>
      <c r="FC75" s="58">
        <v>0</v>
      </c>
      <c r="FD75" s="58">
        <v>0</v>
      </c>
      <c r="FE75" s="58">
        <v>23.263999999999999</v>
      </c>
      <c r="FF75" s="58">
        <v>15.888</v>
      </c>
      <c r="FG75" s="58">
        <v>7.3760000000000003</v>
      </c>
      <c r="FH75" s="58">
        <v>208.524</v>
      </c>
      <c r="FI75" s="58">
        <v>109.018</v>
      </c>
      <c r="FJ75" s="58">
        <v>99.506</v>
      </c>
      <c r="FK75" s="58">
        <v>19.026</v>
      </c>
      <c r="FL75" s="58">
        <v>14.029</v>
      </c>
      <c r="FM75" s="58">
        <v>4.9969999999999999</v>
      </c>
      <c r="FN75" s="58">
        <v>189.49799999999999</v>
      </c>
      <c r="FO75" s="58">
        <v>94.989000000000004</v>
      </c>
      <c r="FP75" s="58">
        <v>94.509</v>
      </c>
      <c r="FQ75" s="58">
        <v>21.649000000000001</v>
      </c>
      <c r="FR75" s="58">
        <v>16.652000000000001</v>
      </c>
      <c r="FS75" s="58">
        <v>4.9969999999999999</v>
      </c>
      <c r="FT75" s="58">
        <v>198.559</v>
      </c>
      <c r="FU75" s="58">
        <v>102.322</v>
      </c>
      <c r="FV75" s="58">
        <v>96.236999999999995</v>
      </c>
      <c r="FW75" s="58">
        <v>192.52500000000001</v>
      </c>
      <c r="FX75" s="58">
        <v>97.611999999999995</v>
      </c>
      <c r="FY75" s="58">
        <v>94.912999999999997</v>
      </c>
      <c r="FZ75" s="58">
        <v>1255.318</v>
      </c>
      <c r="GA75" s="58">
        <v>647.95299999999997</v>
      </c>
      <c r="GB75" s="58">
        <v>607.36400000000003</v>
      </c>
      <c r="GC75" s="58">
        <v>703.54399999999998</v>
      </c>
      <c r="GD75" s="58">
        <v>413.84</v>
      </c>
      <c r="GE75" s="58">
        <v>289.70400000000001</v>
      </c>
      <c r="GF75" s="58">
        <v>551.774</v>
      </c>
      <c r="GG75" s="58">
        <v>234.113</v>
      </c>
      <c r="GH75" s="58">
        <v>317.66000000000003</v>
      </c>
      <c r="GI75" s="58">
        <v>289.30200000000002</v>
      </c>
      <c r="GJ75" s="58">
        <v>154.83799999999999</v>
      </c>
      <c r="GK75" s="58">
        <v>134.464</v>
      </c>
      <c r="GL75" s="58">
        <v>42.287999999999997</v>
      </c>
      <c r="GM75" s="58">
        <v>24.227</v>
      </c>
      <c r="GN75" s="58">
        <v>18.061</v>
      </c>
      <c r="GO75" s="58">
        <v>13.255000000000001</v>
      </c>
      <c r="GP75" s="58">
        <v>9.9979999999999993</v>
      </c>
      <c r="GQ75" s="58">
        <v>3.2570000000000001</v>
      </c>
      <c r="GR75" s="58">
        <v>9.0589999999999993</v>
      </c>
      <c r="GS75" s="58">
        <v>7.0389999999999997</v>
      </c>
      <c r="GT75" s="58">
        <v>2.02</v>
      </c>
      <c r="GU75" s="58">
        <v>4.1959999999999997</v>
      </c>
      <c r="GV75" s="58">
        <v>2.9590000000000001</v>
      </c>
      <c r="GW75" s="58">
        <v>1.2370000000000001</v>
      </c>
      <c r="GX75" s="58">
        <v>29.033000000000001</v>
      </c>
      <c r="GY75" s="58">
        <v>14.228999999999999</v>
      </c>
      <c r="GZ75" s="58">
        <v>14.804</v>
      </c>
      <c r="HA75" s="58">
        <v>271.91000000000003</v>
      </c>
      <c r="HB75" s="58">
        <v>141.649</v>
      </c>
      <c r="HC75" s="58">
        <v>130.26</v>
      </c>
      <c r="HD75" s="58">
        <v>83.233000000000004</v>
      </c>
      <c r="HE75" s="58">
        <v>57.892000000000003</v>
      </c>
      <c r="HF75" s="58">
        <v>25.341000000000001</v>
      </c>
      <c r="HG75" s="58">
        <v>188.67699999999999</v>
      </c>
      <c r="HH75" s="58">
        <v>83.757999999999996</v>
      </c>
      <c r="HI75" s="58">
        <v>104.919</v>
      </c>
      <c r="HJ75" s="58">
        <v>92.046000000000006</v>
      </c>
      <c r="HK75" s="58">
        <v>65.494</v>
      </c>
      <c r="HL75" s="58">
        <v>26.552</v>
      </c>
      <c r="HM75" s="58">
        <v>197.25700000000001</v>
      </c>
      <c r="HN75" s="58">
        <v>89.343999999999994</v>
      </c>
      <c r="HO75" s="58">
        <v>107.913</v>
      </c>
      <c r="HP75" s="58">
        <v>197.73500000000001</v>
      </c>
      <c r="HQ75" s="58">
        <v>90.796999999999997</v>
      </c>
      <c r="HR75" s="58">
        <v>106.93899999999999</v>
      </c>
      <c r="HS75" s="58">
        <v>3097.3629999999998</v>
      </c>
      <c r="HT75" s="58">
        <v>1647.65</v>
      </c>
      <c r="HU75" s="58">
        <v>1449.713</v>
      </c>
      <c r="HV75" s="58">
        <v>2346.1</v>
      </c>
      <c r="HW75" s="58">
        <v>1408.269</v>
      </c>
      <c r="HX75" s="58">
        <v>937.83100000000002</v>
      </c>
      <c r="HY75" s="58">
        <v>751.26300000000003</v>
      </c>
      <c r="HZ75" s="58">
        <v>239.381</v>
      </c>
      <c r="IA75" s="58">
        <v>511.88200000000001</v>
      </c>
      <c r="IB75" s="58">
        <v>451.86900000000003</v>
      </c>
      <c r="IC75" s="58">
        <v>253.345</v>
      </c>
      <c r="ID75" s="58">
        <v>198.524</v>
      </c>
      <c r="IE75" s="58">
        <v>59.401000000000003</v>
      </c>
      <c r="IF75" s="58">
        <v>33.209000000000003</v>
      </c>
      <c r="IG75" s="58">
        <v>26.193000000000001</v>
      </c>
      <c r="IH75" s="58">
        <v>29.16</v>
      </c>
      <c r="II75" s="58">
        <v>24.094999999999999</v>
      </c>
      <c r="IJ75" s="58">
        <v>5.0650000000000004</v>
      </c>
      <c r="IK75" s="58">
        <v>18.523</v>
      </c>
      <c r="IL75" s="58">
        <v>15.468</v>
      </c>
      <c r="IM75" s="58">
        <v>3.0550000000000002</v>
      </c>
      <c r="IN75" s="58">
        <v>10.637</v>
      </c>
      <c r="IO75" s="58">
        <v>8.6270000000000007</v>
      </c>
      <c r="IP75" s="58">
        <v>2.0089999999999999</v>
      </c>
      <c r="IQ75" s="58">
        <v>30.241</v>
      </c>
    </row>
    <row r="76" spans="1:251">
      <c r="A76" s="5">
        <v>43800</v>
      </c>
      <c r="B76" s="58">
        <v>13098.038</v>
      </c>
      <c r="C76" s="58">
        <v>6887.6130000000003</v>
      </c>
      <c r="D76" s="58">
        <v>6210.424</v>
      </c>
      <c r="E76" s="58">
        <v>8987.634</v>
      </c>
      <c r="F76" s="58">
        <v>5568.1009999999997</v>
      </c>
      <c r="G76" s="58">
        <v>3419.5329999999999</v>
      </c>
      <c r="H76" s="58">
        <v>4110.4030000000002</v>
      </c>
      <c r="I76" s="58">
        <v>1319.5119999999999</v>
      </c>
      <c r="J76" s="58">
        <v>2790.8910000000001</v>
      </c>
      <c r="K76" s="58">
        <v>1974.97</v>
      </c>
      <c r="L76" s="58">
        <v>1032.788</v>
      </c>
      <c r="M76" s="58">
        <v>942.18200000000002</v>
      </c>
      <c r="N76" s="58">
        <v>345.21800000000002</v>
      </c>
      <c r="O76" s="58">
        <v>189.255</v>
      </c>
      <c r="P76" s="58">
        <v>155.96299999999999</v>
      </c>
      <c r="Q76" s="58">
        <v>136.43299999999999</v>
      </c>
      <c r="R76" s="58">
        <v>103.303</v>
      </c>
      <c r="S76" s="58">
        <v>33.130000000000003</v>
      </c>
      <c r="T76" s="58">
        <v>77.616</v>
      </c>
      <c r="U76" s="58">
        <v>55.107999999999997</v>
      </c>
      <c r="V76" s="58">
        <v>22.507000000000001</v>
      </c>
      <c r="W76" s="58">
        <v>58.817</v>
      </c>
      <c r="X76" s="58">
        <v>48.195</v>
      </c>
      <c r="Y76" s="58">
        <v>10.622</v>
      </c>
      <c r="Z76" s="58">
        <v>208.785</v>
      </c>
      <c r="AA76" s="58">
        <v>85.951999999999998</v>
      </c>
      <c r="AB76" s="58">
        <v>122.833</v>
      </c>
      <c r="AC76" s="58">
        <v>1783.2270000000001</v>
      </c>
      <c r="AD76" s="58">
        <v>930.94500000000005</v>
      </c>
      <c r="AE76" s="58">
        <v>852.28200000000004</v>
      </c>
      <c r="AF76" s="58">
        <v>667.66899999999998</v>
      </c>
      <c r="AG76" s="58">
        <v>482.971</v>
      </c>
      <c r="AH76" s="58">
        <v>184.69900000000001</v>
      </c>
      <c r="AI76" s="58">
        <v>1115.558</v>
      </c>
      <c r="AJ76" s="58">
        <v>447.97500000000002</v>
      </c>
      <c r="AK76" s="58">
        <v>667.58299999999997</v>
      </c>
      <c r="AL76" s="58">
        <v>761.99199999999996</v>
      </c>
      <c r="AM76" s="58">
        <v>551.18600000000004</v>
      </c>
      <c r="AN76" s="58">
        <v>210.80600000000001</v>
      </c>
      <c r="AO76" s="58">
        <v>1212.979</v>
      </c>
      <c r="AP76" s="58">
        <v>481.60300000000001</v>
      </c>
      <c r="AQ76" s="58">
        <v>731.37599999999998</v>
      </c>
      <c r="AR76" s="58">
        <v>1193.173</v>
      </c>
      <c r="AS76" s="58">
        <v>503.08300000000003</v>
      </c>
      <c r="AT76" s="58">
        <v>690.09</v>
      </c>
      <c r="AU76" s="58">
        <v>12501.742</v>
      </c>
      <c r="AV76" s="58">
        <v>6538.1689999999999</v>
      </c>
      <c r="AW76" s="58">
        <v>5963.5720000000001</v>
      </c>
      <c r="AX76" s="58">
        <v>8720.9549999999999</v>
      </c>
      <c r="AY76" s="58">
        <v>5380.4380000000001</v>
      </c>
      <c r="AZ76" s="58">
        <v>3340.5169999999998</v>
      </c>
      <c r="BA76" s="58">
        <v>3780.7860000000001</v>
      </c>
      <c r="BB76" s="58">
        <v>1157.731</v>
      </c>
      <c r="BC76" s="58">
        <v>2623.0549999999998</v>
      </c>
      <c r="BD76" s="58">
        <v>1922.066</v>
      </c>
      <c r="BE76" s="58">
        <v>997.78099999999995</v>
      </c>
      <c r="BF76" s="58">
        <v>924.28499999999997</v>
      </c>
      <c r="BG76" s="58">
        <v>325.47500000000002</v>
      </c>
      <c r="BH76" s="58">
        <v>176.92400000000001</v>
      </c>
      <c r="BI76" s="58">
        <v>148.55000000000001</v>
      </c>
      <c r="BJ76" s="58">
        <v>132.709</v>
      </c>
      <c r="BK76" s="58">
        <v>100.066</v>
      </c>
      <c r="BL76" s="58">
        <v>32.643000000000001</v>
      </c>
      <c r="BM76" s="58">
        <v>75.119</v>
      </c>
      <c r="BN76" s="58">
        <v>53.097999999999999</v>
      </c>
      <c r="BO76" s="58">
        <v>22.021000000000001</v>
      </c>
      <c r="BP76" s="58">
        <v>57.59</v>
      </c>
      <c r="BQ76" s="58">
        <v>46.968000000000004</v>
      </c>
      <c r="BR76" s="58">
        <v>10.622</v>
      </c>
      <c r="BS76" s="58">
        <v>192.76499999999999</v>
      </c>
      <c r="BT76" s="58">
        <v>76.858000000000004</v>
      </c>
      <c r="BU76" s="58">
        <v>115.907</v>
      </c>
      <c r="BV76" s="58">
        <v>1745.808</v>
      </c>
      <c r="BW76" s="58">
        <v>904.52099999999996</v>
      </c>
      <c r="BX76" s="58">
        <v>841.28800000000001</v>
      </c>
      <c r="BY76" s="58">
        <v>653.94299999999998</v>
      </c>
      <c r="BZ76" s="58">
        <v>472.58199999999999</v>
      </c>
      <c r="CA76" s="58">
        <v>181.36099999999999</v>
      </c>
      <c r="CB76" s="58">
        <v>1091.866</v>
      </c>
      <c r="CC76" s="58">
        <v>431.93900000000002</v>
      </c>
      <c r="CD76" s="58">
        <v>659.92700000000002</v>
      </c>
      <c r="CE76" s="58">
        <v>746.46500000000003</v>
      </c>
      <c r="CF76" s="58">
        <v>539.48299999999995</v>
      </c>
      <c r="CG76" s="58">
        <v>206.982</v>
      </c>
      <c r="CH76" s="58">
        <v>1175.6020000000001</v>
      </c>
      <c r="CI76" s="58">
        <v>458.298</v>
      </c>
      <c r="CJ76" s="58">
        <v>717.30399999999997</v>
      </c>
      <c r="CK76" s="58">
        <v>1166.9849999999999</v>
      </c>
      <c r="CL76" s="58">
        <v>485.03699999999998</v>
      </c>
      <c r="CM76" s="58">
        <v>681.94799999999998</v>
      </c>
      <c r="CN76" s="58">
        <v>2006.0139999999999</v>
      </c>
      <c r="CO76" s="58">
        <v>1006.934</v>
      </c>
      <c r="CP76" s="58">
        <v>999.08</v>
      </c>
      <c r="CQ76" s="58">
        <v>922.01199999999994</v>
      </c>
      <c r="CR76" s="58">
        <v>536.45299999999997</v>
      </c>
      <c r="CS76" s="58">
        <v>385.55900000000003</v>
      </c>
      <c r="CT76" s="58">
        <v>1084.002</v>
      </c>
      <c r="CU76" s="58">
        <v>470.48099999999999</v>
      </c>
      <c r="CV76" s="58">
        <v>613.52099999999996</v>
      </c>
      <c r="CW76" s="58">
        <v>586.78</v>
      </c>
      <c r="CX76" s="58">
        <v>285.92399999999998</v>
      </c>
      <c r="CY76" s="58">
        <v>300.85599999999999</v>
      </c>
      <c r="CZ76" s="58">
        <v>79.950999999999993</v>
      </c>
      <c r="DA76" s="58">
        <v>36.920999999999999</v>
      </c>
      <c r="DB76" s="58">
        <v>43.03</v>
      </c>
      <c r="DC76" s="58">
        <v>15.548999999999999</v>
      </c>
      <c r="DD76" s="58">
        <v>11.67</v>
      </c>
      <c r="DE76" s="58">
        <v>3.879</v>
      </c>
      <c r="DF76" s="58">
        <v>10.9</v>
      </c>
      <c r="DG76" s="58">
        <v>7.4610000000000003</v>
      </c>
      <c r="DH76" s="58">
        <v>3.4390000000000001</v>
      </c>
      <c r="DI76" s="58">
        <v>4.649</v>
      </c>
      <c r="DJ76" s="58">
        <v>4.2089999999999996</v>
      </c>
      <c r="DK76" s="58">
        <v>0.44</v>
      </c>
      <c r="DL76" s="58">
        <v>64.402000000000001</v>
      </c>
      <c r="DM76" s="58">
        <v>25.251000000000001</v>
      </c>
      <c r="DN76" s="58">
        <v>39.151000000000003</v>
      </c>
      <c r="DO76" s="58">
        <v>552.98699999999997</v>
      </c>
      <c r="DP76" s="58">
        <v>270.94</v>
      </c>
      <c r="DQ76" s="58">
        <v>282.04700000000003</v>
      </c>
      <c r="DR76" s="58">
        <v>110.46</v>
      </c>
      <c r="DS76" s="58">
        <v>73.516000000000005</v>
      </c>
      <c r="DT76" s="58">
        <v>36.944000000000003</v>
      </c>
      <c r="DU76" s="58">
        <v>442.52699999999999</v>
      </c>
      <c r="DV76" s="58">
        <v>197.42400000000001</v>
      </c>
      <c r="DW76" s="58">
        <v>245.10400000000001</v>
      </c>
      <c r="DX76" s="58">
        <v>122.36799999999999</v>
      </c>
      <c r="DY76" s="58">
        <v>82.129000000000005</v>
      </c>
      <c r="DZ76" s="58">
        <v>40.238999999999997</v>
      </c>
      <c r="EA76" s="58">
        <v>464.41199999999998</v>
      </c>
      <c r="EB76" s="58">
        <v>203.79499999999999</v>
      </c>
      <c r="EC76" s="58">
        <v>260.61700000000002</v>
      </c>
      <c r="ED76" s="58">
        <v>453.42700000000002</v>
      </c>
      <c r="EE76" s="58">
        <v>204.88499999999999</v>
      </c>
      <c r="EF76" s="58">
        <v>248.542</v>
      </c>
      <c r="EG76" s="58">
        <v>707.28300000000002</v>
      </c>
      <c r="EH76" s="58">
        <v>340.416</v>
      </c>
      <c r="EI76" s="58">
        <v>366.86700000000002</v>
      </c>
      <c r="EJ76" s="58">
        <v>170.083</v>
      </c>
      <c r="EK76" s="58">
        <v>106.224</v>
      </c>
      <c r="EL76" s="58">
        <v>63.859000000000002</v>
      </c>
      <c r="EM76" s="58">
        <v>537.20100000000002</v>
      </c>
      <c r="EN76" s="58">
        <v>234.19200000000001</v>
      </c>
      <c r="EO76" s="58">
        <v>303.00799999999998</v>
      </c>
      <c r="EP76" s="58">
        <v>276.59300000000002</v>
      </c>
      <c r="EQ76" s="58">
        <v>134.40100000000001</v>
      </c>
      <c r="ER76" s="58">
        <v>142.19200000000001</v>
      </c>
      <c r="ES76" s="58">
        <v>36.097999999999999</v>
      </c>
      <c r="ET76" s="58">
        <v>18.094999999999999</v>
      </c>
      <c r="EU76" s="58">
        <v>18.003</v>
      </c>
      <c r="EV76" s="58">
        <v>5.3330000000000002</v>
      </c>
      <c r="EW76" s="58">
        <v>3.9009999999999998</v>
      </c>
      <c r="EX76" s="58">
        <v>1.4319999999999999</v>
      </c>
      <c r="EY76" s="58">
        <v>4.3280000000000003</v>
      </c>
      <c r="EZ76" s="58">
        <v>3.3359999999999999</v>
      </c>
      <c r="FA76" s="58">
        <v>0.99199999999999999</v>
      </c>
      <c r="FB76" s="58">
        <v>1.0049999999999999</v>
      </c>
      <c r="FC76" s="58">
        <v>0.56499999999999995</v>
      </c>
      <c r="FD76" s="58">
        <v>0.44</v>
      </c>
      <c r="FE76" s="58">
        <v>30.765000000000001</v>
      </c>
      <c r="FF76" s="58">
        <v>14.193</v>
      </c>
      <c r="FG76" s="58">
        <v>16.571000000000002</v>
      </c>
      <c r="FH76" s="58">
        <v>263.29199999999997</v>
      </c>
      <c r="FI76" s="58">
        <v>127.48</v>
      </c>
      <c r="FJ76" s="58">
        <v>135.81100000000001</v>
      </c>
      <c r="FK76" s="58">
        <v>31.032</v>
      </c>
      <c r="FL76" s="58">
        <v>22.696999999999999</v>
      </c>
      <c r="FM76" s="58">
        <v>8.3350000000000009</v>
      </c>
      <c r="FN76" s="58">
        <v>232.25899999999999</v>
      </c>
      <c r="FO76" s="58">
        <v>104.783</v>
      </c>
      <c r="FP76" s="58">
        <v>127.476</v>
      </c>
      <c r="FQ76" s="58">
        <v>34.475999999999999</v>
      </c>
      <c r="FR76" s="58">
        <v>25.292999999999999</v>
      </c>
      <c r="FS76" s="58">
        <v>9.1829999999999998</v>
      </c>
      <c r="FT76" s="58">
        <v>242.11600000000001</v>
      </c>
      <c r="FU76" s="58">
        <v>109.108</v>
      </c>
      <c r="FV76" s="58">
        <v>133.00899999999999</v>
      </c>
      <c r="FW76" s="58">
        <v>236.58699999999999</v>
      </c>
      <c r="FX76" s="58">
        <v>108.119</v>
      </c>
      <c r="FY76" s="58">
        <v>128.46799999999999</v>
      </c>
      <c r="FZ76" s="58">
        <v>1298.731</v>
      </c>
      <c r="GA76" s="58">
        <v>666.51800000000003</v>
      </c>
      <c r="GB76" s="58">
        <v>632.21299999999997</v>
      </c>
      <c r="GC76" s="58">
        <v>751.92899999999997</v>
      </c>
      <c r="GD76" s="58">
        <v>430.22899999999998</v>
      </c>
      <c r="GE76" s="58">
        <v>321.7</v>
      </c>
      <c r="GF76" s="58">
        <v>546.80200000000002</v>
      </c>
      <c r="GG76" s="58">
        <v>236.28899999999999</v>
      </c>
      <c r="GH76" s="58">
        <v>310.51299999999998</v>
      </c>
      <c r="GI76" s="58">
        <v>310.18700000000001</v>
      </c>
      <c r="GJ76" s="58">
        <v>151.523</v>
      </c>
      <c r="GK76" s="58">
        <v>158.66399999999999</v>
      </c>
      <c r="GL76" s="58">
        <v>43.853000000000002</v>
      </c>
      <c r="GM76" s="58">
        <v>18.826000000000001</v>
      </c>
      <c r="GN76" s="58">
        <v>25.027000000000001</v>
      </c>
      <c r="GO76" s="58">
        <v>10.215999999999999</v>
      </c>
      <c r="GP76" s="58">
        <v>7.7690000000000001</v>
      </c>
      <c r="GQ76" s="58">
        <v>2.4470000000000001</v>
      </c>
      <c r="GR76" s="58">
        <v>6.5720000000000001</v>
      </c>
      <c r="GS76" s="58">
        <v>4.125</v>
      </c>
      <c r="GT76" s="58">
        <v>2.4470000000000001</v>
      </c>
      <c r="GU76" s="58">
        <v>3.6440000000000001</v>
      </c>
      <c r="GV76" s="58">
        <v>3.6440000000000001</v>
      </c>
      <c r="GW76" s="58">
        <v>0</v>
      </c>
      <c r="GX76" s="58">
        <v>33.637</v>
      </c>
      <c r="GY76" s="58">
        <v>11.057</v>
      </c>
      <c r="GZ76" s="58">
        <v>22.58</v>
      </c>
      <c r="HA76" s="58">
        <v>289.69499999999999</v>
      </c>
      <c r="HB76" s="58">
        <v>143.46</v>
      </c>
      <c r="HC76" s="58">
        <v>146.23599999999999</v>
      </c>
      <c r="HD76" s="58">
        <v>79.427000000000007</v>
      </c>
      <c r="HE76" s="58">
        <v>50.819000000000003</v>
      </c>
      <c r="HF76" s="58">
        <v>28.609000000000002</v>
      </c>
      <c r="HG76" s="58">
        <v>210.268</v>
      </c>
      <c r="HH76" s="58">
        <v>92.641000000000005</v>
      </c>
      <c r="HI76" s="58">
        <v>117.627</v>
      </c>
      <c r="HJ76" s="58">
        <v>87.891999999999996</v>
      </c>
      <c r="HK76" s="58">
        <v>56.835999999999999</v>
      </c>
      <c r="HL76" s="58">
        <v>31.056000000000001</v>
      </c>
      <c r="HM76" s="58">
        <v>222.29599999999999</v>
      </c>
      <c r="HN76" s="58">
        <v>94.686999999999998</v>
      </c>
      <c r="HO76" s="58">
        <v>127.608</v>
      </c>
      <c r="HP76" s="58">
        <v>216.84</v>
      </c>
      <c r="HQ76" s="58">
        <v>96.766000000000005</v>
      </c>
      <c r="HR76" s="58">
        <v>120.074</v>
      </c>
      <c r="HS76" s="58">
        <v>3113.509</v>
      </c>
      <c r="HT76" s="58">
        <v>1646.433</v>
      </c>
      <c r="HU76" s="58">
        <v>1467.076</v>
      </c>
      <c r="HV76" s="58">
        <v>2377.2629999999999</v>
      </c>
      <c r="HW76" s="58">
        <v>1411.192</v>
      </c>
      <c r="HX76" s="58">
        <v>966.072</v>
      </c>
      <c r="HY76" s="58">
        <v>736.24599999999998</v>
      </c>
      <c r="HZ76" s="58">
        <v>235.24100000000001</v>
      </c>
      <c r="IA76" s="58">
        <v>501.005</v>
      </c>
      <c r="IB76" s="58">
        <v>458.29700000000003</v>
      </c>
      <c r="IC76" s="58">
        <v>255.65899999999999</v>
      </c>
      <c r="ID76" s="58">
        <v>202.63800000000001</v>
      </c>
      <c r="IE76" s="58">
        <v>70.712000000000003</v>
      </c>
      <c r="IF76" s="58">
        <v>45.823999999999998</v>
      </c>
      <c r="IG76" s="58">
        <v>24.888000000000002</v>
      </c>
      <c r="IH76" s="58">
        <v>37.619999999999997</v>
      </c>
      <c r="II76" s="58">
        <v>31.911999999999999</v>
      </c>
      <c r="IJ76" s="58">
        <v>5.7080000000000002</v>
      </c>
      <c r="IK76" s="58">
        <v>18.472000000000001</v>
      </c>
      <c r="IL76" s="58">
        <v>13.667</v>
      </c>
      <c r="IM76" s="58">
        <v>4.8049999999999997</v>
      </c>
      <c r="IN76" s="58">
        <v>19.148</v>
      </c>
      <c r="IO76" s="58">
        <v>18.244</v>
      </c>
      <c r="IP76" s="58">
        <v>0.90300000000000002</v>
      </c>
      <c r="IQ76" s="58">
        <v>33.091999999999999</v>
      </c>
    </row>
    <row r="77" spans="1:251">
      <c r="A77" s="5">
        <v>43831</v>
      </c>
      <c r="B77" s="58">
        <v>12832.126</v>
      </c>
      <c r="C77" s="58">
        <v>6763.8029999999999</v>
      </c>
      <c r="D77" s="58">
        <v>6068.3230000000003</v>
      </c>
      <c r="E77" s="58">
        <v>8870.8410000000003</v>
      </c>
      <c r="F77" s="58">
        <v>5517.8980000000001</v>
      </c>
      <c r="G77" s="58">
        <v>3352.9430000000002</v>
      </c>
      <c r="H77" s="58">
        <v>3961.2849999999999</v>
      </c>
      <c r="I77" s="58">
        <v>1245.905</v>
      </c>
      <c r="J77" s="58">
        <v>2715.3809999999999</v>
      </c>
      <c r="K77" s="58">
        <v>2044.884</v>
      </c>
      <c r="L77" s="58">
        <v>1081.914</v>
      </c>
      <c r="M77" s="58">
        <v>962.97</v>
      </c>
      <c r="N77" s="58">
        <v>448.35599999999999</v>
      </c>
      <c r="O77" s="58">
        <v>263.416</v>
      </c>
      <c r="P77" s="58">
        <v>184.94</v>
      </c>
      <c r="Q77" s="58">
        <v>197.88499999999999</v>
      </c>
      <c r="R77" s="58">
        <v>151.55600000000001</v>
      </c>
      <c r="S77" s="58">
        <v>46.329000000000001</v>
      </c>
      <c r="T77" s="58">
        <v>108.51600000000001</v>
      </c>
      <c r="U77" s="58">
        <v>85.025999999999996</v>
      </c>
      <c r="V77" s="58">
        <v>23.49</v>
      </c>
      <c r="W77" s="58">
        <v>89.369</v>
      </c>
      <c r="X77" s="58">
        <v>66.53</v>
      </c>
      <c r="Y77" s="58">
        <v>22.838999999999999</v>
      </c>
      <c r="Z77" s="58">
        <v>250.471</v>
      </c>
      <c r="AA77" s="58">
        <v>111.85899999999999</v>
      </c>
      <c r="AB77" s="58">
        <v>138.61099999999999</v>
      </c>
      <c r="AC77" s="58">
        <v>1790.8620000000001</v>
      </c>
      <c r="AD77" s="58">
        <v>915.78800000000001</v>
      </c>
      <c r="AE77" s="58">
        <v>875.07399999999996</v>
      </c>
      <c r="AF77" s="58">
        <v>670.58600000000001</v>
      </c>
      <c r="AG77" s="58">
        <v>492.06599999999997</v>
      </c>
      <c r="AH77" s="58">
        <v>178.52</v>
      </c>
      <c r="AI77" s="58">
        <v>1120.2760000000001</v>
      </c>
      <c r="AJ77" s="58">
        <v>423.72199999999998</v>
      </c>
      <c r="AK77" s="58">
        <v>696.55399999999997</v>
      </c>
      <c r="AL77" s="58">
        <v>823.755</v>
      </c>
      <c r="AM77" s="58">
        <v>610.923</v>
      </c>
      <c r="AN77" s="58">
        <v>212.83099999999999</v>
      </c>
      <c r="AO77" s="58">
        <v>1221.1289999999999</v>
      </c>
      <c r="AP77" s="58">
        <v>470.99</v>
      </c>
      <c r="AQ77" s="58">
        <v>750.13900000000001</v>
      </c>
      <c r="AR77" s="58">
        <v>1228.7919999999999</v>
      </c>
      <c r="AS77" s="58">
        <v>508.74799999999999</v>
      </c>
      <c r="AT77" s="58">
        <v>720.04499999999996</v>
      </c>
      <c r="AU77" s="58">
        <v>12275.307000000001</v>
      </c>
      <c r="AV77" s="58">
        <v>6436.59</v>
      </c>
      <c r="AW77" s="58">
        <v>5838.7179999999998</v>
      </c>
      <c r="AX77" s="58">
        <v>8610.1830000000009</v>
      </c>
      <c r="AY77" s="58">
        <v>5333.01</v>
      </c>
      <c r="AZ77" s="58">
        <v>3277.1729999999998</v>
      </c>
      <c r="BA77" s="58">
        <v>3665.125</v>
      </c>
      <c r="BB77" s="58">
        <v>1103.579</v>
      </c>
      <c r="BC77" s="58">
        <v>2561.5450000000001</v>
      </c>
      <c r="BD77" s="58">
        <v>1988.6790000000001</v>
      </c>
      <c r="BE77" s="58">
        <v>1045.6320000000001</v>
      </c>
      <c r="BF77" s="58">
        <v>943.04700000000003</v>
      </c>
      <c r="BG77" s="58">
        <v>423.27699999999999</v>
      </c>
      <c r="BH77" s="58">
        <v>246.64699999999999</v>
      </c>
      <c r="BI77" s="58">
        <v>176.63</v>
      </c>
      <c r="BJ77" s="58">
        <v>190.35400000000001</v>
      </c>
      <c r="BK77" s="58">
        <v>144.624</v>
      </c>
      <c r="BL77" s="58">
        <v>45.731000000000002</v>
      </c>
      <c r="BM77" s="58">
        <v>104.30500000000001</v>
      </c>
      <c r="BN77" s="58">
        <v>81.236000000000004</v>
      </c>
      <c r="BO77" s="58">
        <v>23.068999999999999</v>
      </c>
      <c r="BP77" s="58">
        <v>86.049000000000007</v>
      </c>
      <c r="BQ77" s="58">
        <v>63.387999999999998</v>
      </c>
      <c r="BR77" s="58">
        <v>22.661999999999999</v>
      </c>
      <c r="BS77" s="58">
        <v>232.922</v>
      </c>
      <c r="BT77" s="58">
        <v>102.023</v>
      </c>
      <c r="BU77" s="58">
        <v>130.899</v>
      </c>
      <c r="BV77" s="58">
        <v>1754.04</v>
      </c>
      <c r="BW77" s="58">
        <v>893.19500000000005</v>
      </c>
      <c r="BX77" s="58">
        <v>860.84500000000003</v>
      </c>
      <c r="BY77" s="58">
        <v>661.89400000000001</v>
      </c>
      <c r="BZ77" s="58">
        <v>484.642</v>
      </c>
      <c r="CA77" s="58">
        <v>177.25200000000001</v>
      </c>
      <c r="CB77" s="58">
        <v>1092.146</v>
      </c>
      <c r="CC77" s="58">
        <v>408.553</v>
      </c>
      <c r="CD77" s="58">
        <v>683.59299999999996</v>
      </c>
      <c r="CE77" s="58">
        <v>808.09699999999998</v>
      </c>
      <c r="CF77" s="58">
        <v>597.13199999999995</v>
      </c>
      <c r="CG77" s="58">
        <v>210.965</v>
      </c>
      <c r="CH77" s="58">
        <v>1180.5820000000001</v>
      </c>
      <c r="CI77" s="58">
        <v>448.5</v>
      </c>
      <c r="CJ77" s="58">
        <v>732.08199999999999</v>
      </c>
      <c r="CK77" s="58">
        <v>1196.451</v>
      </c>
      <c r="CL77" s="58">
        <v>489.78899999999999</v>
      </c>
      <c r="CM77" s="58">
        <v>706.66200000000003</v>
      </c>
      <c r="CN77" s="58">
        <v>1948.913</v>
      </c>
      <c r="CO77" s="58">
        <v>972.15499999999997</v>
      </c>
      <c r="CP77" s="58">
        <v>976.75699999999995</v>
      </c>
      <c r="CQ77" s="58">
        <v>892.47199999999998</v>
      </c>
      <c r="CR77" s="58">
        <v>523.27</v>
      </c>
      <c r="CS77" s="58">
        <v>369.202</v>
      </c>
      <c r="CT77" s="58">
        <v>1056.44</v>
      </c>
      <c r="CU77" s="58">
        <v>448.88499999999999</v>
      </c>
      <c r="CV77" s="58">
        <v>607.55499999999995</v>
      </c>
      <c r="CW77" s="58">
        <v>583.36400000000003</v>
      </c>
      <c r="CX77" s="58">
        <v>286.976</v>
      </c>
      <c r="CY77" s="58">
        <v>296.38799999999998</v>
      </c>
      <c r="CZ77" s="58">
        <v>105.504</v>
      </c>
      <c r="DA77" s="58">
        <v>54.255000000000003</v>
      </c>
      <c r="DB77" s="58">
        <v>51.249000000000002</v>
      </c>
      <c r="DC77" s="58">
        <v>17.082999999999998</v>
      </c>
      <c r="DD77" s="58">
        <v>12.858000000000001</v>
      </c>
      <c r="DE77" s="58">
        <v>4.226</v>
      </c>
      <c r="DF77" s="58">
        <v>11.859</v>
      </c>
      <c r="DG77" s="58">
        <v>8.2550000000000008</v>
      </c>
      <c r="DH77" s="58">
        <v>3.605</v>
      </c>
      <c r="DI77" s="58">
        <v>5.2240000000000002</v>
      </c>
      <c r="DJ77" s="58">
        <v>4.6029999999999998</v>
      </c>
      <c r="DK77" s="58">
        <v>0.621</v>
      </c>
      <c r="DL77" s="58">
        <v>88.42</v>
      </c>
      <c r="DM77" s="58">
        <v>41.396999999999998</v>
      </c>
      <c r="DN77" s="58">
        <v>47.024000000000001</v>
      </c>
      <c r="DO77" s="58">
        <v>539.91499999999996</v>
      </c>
      <c r="DP77" s="58">
        <v>259.77600000000001</v>
      </c>
      <c r="DQ77" s="58">
        <v>280.13799999999998</v>
      </c>
      <c r="DR77" s="58">
        <v>108.71299999999999</v>
      </c>
      <c r="DS77" s="58">
        <v>71.704999999999998</v>
      </c>
      <c r="DT77" s="58">
        <v>37.008000000000003</v>
      </c>
      <c r="DU77" s="58">
        <v>431.202</v>
      </c>
      <c r="DV77" s="58">
        <v>188.072</v>
      </c>
      <c r="DW77" s="58">
        <v>243.13</v>
      </c>
      <c r="DX77" s="58">
        <v>120.196</v>
      </c>
      <c r="DY77" s="58">
        <v>81.911000000000001</v>
      </c>
      <c r="DZ77" s="58">
        <v>38.283999999999999</v>
      </c>
      <c r="EA77" s="58">
        <v>463.16800000000001</v>
      </c>
      <c r="EB77" s="58">
        <v>205.065</v>
      </c>
      <c r="EC77" s="58">
        <v>258.10300000000001</v>
      </c>
      <c r="ED77" s="58">
        <v>443.06099999999998</v>
      </c>
      <c r="EE77" s="58">
        <v>196.32599999999999</v>
      </c>
      <c r="EF77" s="58">
        <v>246.73500000000001</v>
      </c>
      <c r="EG77" s="58">
        <v>679.024</v>
      </c>
      <c r="EH77" s="58">
        <v>317.25900000000001</v>
      </c>
      <c r="EI77" s="58">
        <v>361.76499999999999</v>
      </c>
      <c r="EJ77" s="58">
        <v>159.363</v>
      </c>
      <c r="EK77" s="58">
        <v>103.17700000000001</v>
      </c>
      <c r="EL77" s="58">
        <v>56.186</v>
      </c>
      <c r="EM77" s="58">
        <v>519.66099999999994</v>
      </c>
      <c r="EN77" s="58">
        <v>214.08199999999999</v>
      </c>
      <c r="EO77" s="58">
        <v>305.57900000000001</v>
      </c>
      <c r="EP77" s="58">
        <v>259.911</v>
      </c>
      <c r="EQ77" s="58">
        <v>124.283</v>
      </c>
      <c r="ER77" s="58">
        <v>135.62799999999999</v>
      </c>
      <c r="ES77" s="58">
        <v>47.466999999999999</v>
      </c>
      <c r="ET77" s="58">
        <v>20.638000000000002</v>
      </c>
      <c r="EU77" s="58">
        <v>26.829000000000001</v>
      </c>
      <c r="EV77" s="58">
        <v>3.831</v>
      </c>
      <c r="EW77" s="58">
        <v>3.4449999999999998</v>
      </c>
      <c r="EX77" s="58">
        <v>0.38600000000000001</v>
      </c>
      <c r="EY77" s="58">
        <v>2.1070000000000002</v>
      </c>
      <c r="EZ77" s="58">
        <v>1.722</v>
      </c>
      <c r="FA77" s="58">
        <v>0.38600000000000001</v>
      </c>
      <c r="FB77" s="58">
        <v>1.7230000000000001</v>
      </c>
      <c r="FC77" s="58">
        <v>1.7230000000000001</v>
      </c>
      <c r="FD77" s="58">
        <v>0</v>
      </c>
      <c r="FE77" s="58">
        <v>43.636000000000003</v>
      </c>
      <c r="FF77" s="58">
        <v>17.193000000000001</v>
      </c>
      <c r="FG77" s="58">
        <v>26.443000000000001</v>
      </c>
      <c r="FH77" s="58">
        <v>241.72300000000001</v>
      </c>
      <c r="FI77" s="58">
        <v>114.587</v>
      </c>
      <c r="FJ77" s="58">
        <v>127.137</v>
      </c>
      <c r="FK77" s="58">
        <v>21.751999999999999</v>
      </c>
      <c r="FL77" s="58">
        <v>17.864000000000001</v>
      </c>
      <c r="FM77" s="58">
        <v>3.887</v>
      </c>
      <c r="FN77" s="58">
        <v>219.97200000000001</v>
      </c>
      <c r="FO77" s="58">
        <v>96.721999999999994</v>
      </c>
      <c r="FP77" s="58">
        <v>123.25</v>
      </c>
      <c r="FQ77" s="58">
        <v>24.99</v>
      </c>
      <c r="FR77" s="58">
        <v>20.716999999999999</v>
      </c>
      <c r="FS77" s="58">
        <v>4.2729999999999997</v>
      </c>
      <c r="FT77" s="58">
        <v>234.922</v>
      </c>
      <c r="FU77" s="58">
        <v>103.566</v>
      </c>
      <c r="FV77" s="58">
        <v>131.35599999999999</v>
      </c>
      <c r="FW77" s="58">
        <v>222.07900000000001</v>
      </c>
      <c r="FX77" s="58">
        <v>98.444000000000003</v>
      </c>
      <c r="FY77" s="58">
        <v>123.63500000000001</v>
      </c>
      <c r="FZ77" s="58">
        <v>1269.8879999999999</v>
      </c>
      <c r="GA77" s="58">
        <v>654.89599999999996</v>
      </c>
      <c r="GB77" s="58">
        <v>614.99199999999996</v>
      </c>
      <c r="GC77" s="58">
        <v>733.10900000000004</v>
      </c>
      <c r="GD77" s="58">
        <v>420.09300000000002</v>
      </c>
      <c r="GE77" s="58">
        <v>313.01600000000002</v>
      </c>
      <c r="GF77" s="58">
        <v>536.779</v>
      </c>
      <c r="GG77" s="58">
        <v>234.803</v>
      </c>
      <c r="GH77" s="58">
        <v>301.976</v>
      </c>
      <c r="GI77" s="58">
        <v>323.452</v>
      </c>
      <c r="GJ77" s="58">
        <v>162.69300000000001</v>
      </c>
      <c r="GK77" s="58">
        <v>160.76</v>
      </c>
      <c r="GL77" s="58">
        <v>58.036999999999999</v>
      </c>
      <c r="GM77" s="58">
        <v>33.616999999999997</v>
      </c>
      <c r="GN77" s="58">
        <v>24.42</v>
      </c>
      <c r="GO77" s="58">
        <v>13.253</v>
      </c>
      <c r="GP77" s="58">
        <v>9.4130000000000003</v>
      </c>
      <c r="GQ77" s="58">
        <v>3.84</v>
      </c>
      <c r="GR77" s="58">
        <v>9.7520000000000007</v>
      </c>
      <c r="GS77" s="58">
        <v>6.5330000000000004</v>
      </c>
      <c r="GT77" s="58">
        <v>3.2189999999999999</v>
      </c>
      <c r="GU77" s="58">
        <v>3.5009999999999999</v>
      </c>
      <c r="GV77" s="58">
        <v>2.88</v>
      </c>
      <c r="GW77" s="58">
        <v>0.621</v>
      </c>
      <c r="GX77" s="58">
        <v>44.783999999999999</v>
      </c>
      <c r="GY77" s="58">
        <v>24.204000000000001</v>
      </c>
      <c r="GZ77" s="58">
        <v>20.58</v>
      </c>
      <c r="HA77" s="58">
        <v>298.19099999999997</v>
      </c>
      <c r="HB77" s="58">
        <v>145.19</v>
      </c>
      <c r="HC77" s="58">
        <v>153.00200000000001</v>
      </c>
      <c r="HD77" s="58">
        <v>86.960999999999999</v>
      </c>
      <c r="HE77" s="58">
        <v>53.84</v>
      </c>
      <c r="HF77" s="58">
        <v>33.121000000000002</v>
      </c>
      <c r="HG77" s="58">
        <v>211.23</v>
      </c>
      <c r="HH77" s="58">
        <v>91.35</v>
      </c>
      <c r="HI77" s="58">
        <v>119.88</v>
      </c>
      <c r="HJ77" s="58">
        <v>95.206000000000003</v>
      </c>
      <c r="HK77" s="58">
        <v>61.194000000000003</v>
      </c>
      <c r="HL77" s="58">
        <v>34.012</v>
      </c>
      <c r="HM77" s="58">
        <v>228.24700000000001</v>
      </c>
      <c r="HN77" s="58">
        <v>101.499</v>
      </c>
      <c r="HO77" s="58">
        <v>126.748</v>
      </c>
      <c r="HP77" s="58">
        <v>220.982</v>
      </c>
      <c r="HQ77" s="58">
        <v>97.882000000000005</v>
      </c>
      <c r="HR77" s="58">
        <v>123.099</v>
      </c>
      <c r="HS77" s="58">
        <v>3073.9650000000001</v>
      </c>
      <c r="HT77" s="58">
        <v>1630.9079999999999</v>
      </c>
      <c r="HU77" s="58">
        <v>1443.056</v>
      </c>
      <c r="HV77" s="58">
        <v>2386.7429999999999</v>
      </c>
      <c r="HW77" s="58">
        <v>1423.346</v>
      </c>
      <c r="HX77" s="58">
        <v>963.39800000000002</v>
      </c>
      <c r="HY77" s="58">
        <v>687.22199999999998</v>
      </c>
      <c r="HZ77" s="58">
        <v>207.56299999999999</v>
      </c>
      <c r="IA77" s="58">
        <v>479.65899999999999</v>
      </c>
      <c r="IB77" s="58">
        <v>477.87799999999999</v>
      </c>
      <c r="IC77" s="58">
        <v>272.38</v>
      </c>
      <c r="ID77" s="58">
        <v>205.49799999999999</v>
      </c>
      <c r="IE77" s="58">
        <v>93.460999999999999</v>
      </c>
      <c r="IF77" s="58">
        <v>57.076000000000001</v>
      </c>
      <c r="IG77" s="58">
        <v>36.384</v>
      </c>
      <c r="IH77" s="58">
        <v>51.237000000000002</v>
      </c>
      <c r="II77" s="58">
        <v>40.793999999999997</v>
      </c>
      <c r="IJ77" s="58">
        <v>10.443</v>
      </c>
      <c r="IK77" s="58">
        <v>30.015999999999998</v>
      </c>
      <c r="IL77" s="58">
        <v>24.361999999999998</v>
      </c>
      <c r="IM77" s="58">
        <v>5.6539999999999999</v>
      </c>
      <c r="IN77" s="58">
        <v>21.222000000000001</v>
      </c>
      <c r="IO77" s="58">
        <v>16.433</v>
      </c>
      <c r="IP77" s="58">
        <v>4.7889999999999997</v>
      </c>
      <c r="IQ77" s="58">
        <v>42.223999999999997</v>
      </c>
    </row>
    <row r="78" spans="1:251">
      <c r="A78" s="5">
        <v>43862</v>
      </c>
      <c r="B78" s="58">
        <v>13053.281999999999</v>
      </c>
      <c r="C78" s="58">
        <v>6876.549</v>
      </c>
      <c r="D78" s="58">
        <v>6176.7330000000002</v>
      </c>
      <c r="E78" s="58">
        <v>8975.2890000000007</v>
      </c>
      <c r="F78" s="58">
        <v>5597.1610000000001</v>
      </c>
      <c r="G78" s="58">
        <v>3378.1280000000002</v>
      </c>
      <c r="H78" s="58">
        <v>4077.9929999999999</v>
      </c>
      <c r="I78" s="58">
        <v>1279.3869999999999</v>
      </c>
      <c r="J78" s="58">
        <v>2798.605</v>
      </c>
      <c r="K78" s="58">
        <v>1945.3530000000001</v>
      </c>
      <c r="L78" s="58">
        <v>1018.574</v>
      </c>
      <c r="M78" s="58">
        <v>926.779</v>
      </c>
      <c r="N78" s="58">
        <v>385.83699999999999</v>
      </c>
      <c r="O78" s="58">
        <v>223.46100000000001</v>
      </c>
      <c r="P78" s="58">
        <v>162.376</v>
      </c>
      <c r="Q78" s="58">
        <v>157.06200000000001</v>
      </c>
      <c r="R78" s="58">
        <v>121.02500000000001</v>
      </c>
      <c r="S78" s="58">
        <v>36.036999999999999</v>
      </c>
      <c r="T78" s="58">
        <v>90.093000000000004</v>
      </c>
      <c r="U78" s="58">
        <v>70.947999999999993</v>
      </c>
      <c r="V78" s="58">
        <v>19.145</v>
      </c>
      <c r="W78" s="58">
        <v>66.968999999999994</v>
      </c>
      <c r="X78" s="58">
        <v>50.076999999999998</v>
      </c>
      <c r="Y78" s="58">
        <v>16.890999999999998</v>
      </c>
      <c r="Z78" s="58">
        <v>228.77600000000001</v>
      </c>
      <c r="AA78" s="58">
        <v>102.43600000000001</v>
      </c>
      <c r="AB78" s="58">
        <v>126.339</v>
      </c>
      <c r="AC78" s="58">
        <v>1722.7550000000001</v>
      </c>
      <c r="AD78" s="58">
        <v>886.51900000000001</v>
      </c>
      <c r="AE78" s="58">
        <v>836.23599999999999</v>
      </c>
      <c r="AF78" s="58">
        <v>655.577</v>
      </c>
      <c r="AG78" s="58">
        <v>481.46899999999999</v>
      </c>
      <c r="AH78" s="58">
        <v>174.108</v>
      </c>
      <c r="AI78" s="58">
        <v>1067.1780000000001</v>
      </c>
      <c r="AJ78" s="58">
        <v>405.05</v>
      </c>
      <c r="AK78" s="58">
        <v>662.12800000000004</v>
      </c>
      <c r="AL78" s="58">
        <v>767.995</v>
      </c>
      <c r="AM78" s="58">
        <v>567.55999999999995</v>
      </c>
      <c r="AN78" s="58">
        <v>200.43600000000001</v>
      </c>
      <c r="AO78" s="58">
        <v>1177.357</v>
      </c>
      <c r="AP78" s="58">
        <v>451.01400000000001</v>
      </c>
      <c r="AQ78" s="58">
        <v>726.34299999999996</v>
      </c>
      <c r="AR78" s="58">
        <v>1157.271</v>
      </c>
      <c r="AS78" s="58">
        <v>475.99799999999999</v>
      </c>
      <c r="AT78" s="58">
        <v>681.27300000000002</v>
      </c>
      <c r="AU78" s="58">
        <v>12453.005999999999</v>
      </c>
      <c r="AV78" s="58">
        <v>6520.7749999999996</v>
      </c>
      <c r="AW78" s="58">
        <v>5932.23</v>
      </c>
      <c r="AX78" s="58">
        <v>8709.5149999999994</v>
      </c>
      <c r="AY78" s="58">
        <v>5407.8090000000002</v>
      </c>
      <c r="AZ78" s="58">
        <v>3301.7060000000001</v>
      </c>
      <c r="BA78" s="58">
        <v>3743.49</v>
      </c>
      <c r="BB78" s="58">
        <v>1112.9659999999999</v>
      </c>
      <c r="BC78" s="58">
        <v>2630.5239999999999</v>
      </c>
      <c r="BD78" s="58">
        <v>1893.39</v>
      </c>
      <c r="BE78" s="58">
        <v>981.19799999999998</v>
      </c>
      <c r="BF78" s="58">
        <v>912.19200000000001</v>
      </c>
      <c r="BG78" s="58">
        <v>363.42399999999998</v>
      </c>
      <c r="BH78" s="58">
        <v>207.73699999999999</v>
      </c>
      <c r="BI78" s="58">
        <v>155.68700000000001</v>
      </c>
      <c r="BJ78" s="58">
        <v>153.749</v>
      </c>
      <c r="BK78" s="58">
        <v>118.15600000000001</v>
      </c>
      <c r="BL78" s="58">
        <v>35.594000000000001</v>
      </c>
      <c r="BM78" s="58">
        <v>87.456000000000003</v>
      </c>
      <c r="BN78" s="58">
        <v>68.753</v>
      </c>
      <c r="BO78" s="58">
        <v>18.702999999999999</v>
      </c>
      <c r="BP78" s="58">
        <v>66.293999999999997</v>
      </c>
      <c r="BQ78" s="58">
        <v>49.402999999999999</v>
      </c>
      <c r="BR78" s="58">
        <v>16.890999999999998</v>
      </c>
      <c r="BS78" s="58">
        <v>209.67500000000001</v>
      </c>
      <c r="BT78" s="58">
        <v>89.581999999999994</v>
      </c>
      <c r="BU78" s="58">
        <v>120.093</v>
      </c>
      <c r="BV78" s="58">
        <v>1688.432</v>
      </c>
      <c r="BW78" s="58">
        <v>862.07100000000003</v>
      </c>
      <c r="BX78" s="58">
        <v>826.36099999999999</v>
      </c>
      <c r="BY78" s="58">
        <v>644.60699999999997</v>
      </c>
      <c r="BZ78" s="58">
        <v>472.30700000000002</v>
      </c>
      <c r="CA78" s="58">
        <v>172.3</v>
      </c>
      <c r="CB78" s="58">
        <v>1043.826</v>
      </c>
      <c r="CC78" s="58">
        <v>389.76499999999999</v>
      </c>
      <c r="CD78" s="58">
        <v>654.06100000000004</v>
      </c>
      <c r="CE78" s="58">
        <v>753.71299999999997</v>
      </c>
      <c r="CF78" s="58">
        <v>555.52800000000002</v>
      </c>
      <c r="CG78" s="58">
        <v>198.185</v>
      </c>
      <c r="CH78" s="58">
        <v>1139.6769999999999</v>
      </c>
      <c r="CI78" s="58">
        <v>425.66899999999998</v>
      </c>
      <c r="CJ78" s="58">
        <v>714.00800000000004</v>
      </c>
      <c r="CK78" s="58">
        <v>1131.2809999999999</v>
      </c>
      <c r="CL78" s="58">
        <v>458.51799999999997</v>
      </c>
      <c r="CM78" s="58">
        <v>672.76400000000001</v>
      </c>
      <c r="CN78" s="58">
        <v>1949.3869999999999</v>
      </c>
      <c r="CO78" s="58">
        <v>977.54</v>
      </c>
      <c r="CP78" s="58">
        <v>971.84799999999996</v>
      </c>
      <c r="CQ78" s="58">
        <v>897.11</v>
      </c>
      <c r="CR78" s="58">
        <v>527.12800000000004</v>
      </c>
      <c r="CS78" s="58">
        <v>369.98200000000003</v>
      </c>
      <c r="CT78" s="58">
        <v>1052.277</v>
      </c>
      <c r="CU78" s="58">
        <v>450.41199999999998</v>
      </c>
      <c r="CV78" s="58">
        <v>601.86500000000001</v>
      </c>
      <c r="CW78" s="58">
        <v>524.41800000000001</v>
      </c>
      <c r="CX78" s="58">
        <v>251.18700000000001</v>
      </c>
      <c r="CY78" s="58">
        <v>273.23</v>
      </c>
      <c r="CZ78" s="58">
        <v>80.637</v>
      </c>
      <c r="DA78" s="58">
        <v>43.329000000000001</v>
      </c>
      <c r="DB78" s="58">
        <v>37.308</v>
      </c>
      <c r="DC78" s="58">
        <v>13.789</v>
      </c>
      <c r="DD78" s="58">
        <v>11.558</v>
      </c>
      <c r="DE78" s="58">
        <v>2.23</v>
      </c>
      <c r="DF78" s="58">
        <v>9.0399999999999991</v>
      </c>
      <c r="DG78" s="58">
        <v>7.9630000000000001</v>
      </c>
      <c r="DH78" s="58">
        <v>1.077</v>
      </c>
      <c r="DI78" s="58">
        <v>4.7489999999999997</v>
      </c>
      <c r="DJ78" s="58">
        <v>3.5960000000000001</v>
      </c>
      <c r="DK78" s="58">
        <v>1.153</v>
      </c>
      <c r="DL78" s="58">
        <v>66.849000000000004</v>
      </c>
      <c r="DM78" s="58">
        <v>31.771000000000001</v>
      </c>
      <c r="DN78" s="58">
        <v>35.078000000000003</v>
      </c>
      <c r="DO78" s="58">
        <v>485.41399999999999</v>
      </c>
      <c r="DP78" s="58">
        <v>229.88</v>
      </c>
      <c r="DQ78" s="58">
        <v>255.53399999999999</v>
      </c>
      <c r="DR78" s="58">
        <v>99.771000000000001</v>
      </c>
      <c r="DS78" s="58">
        <v>66.566999999999993</v>
      </c>
      <c r="DT78" s="58">
        <v>33.203000000000003</v>
      </c>
      <c r="DU78" s="58">
        <v>385.64299999999997</v>
      </c>
      <c r="DV78" s="58">
        <v>163.31299999999999</v>
      </c>
      <c r="DW78" s="58">
        <v>222.33099999999999</v>
      </c>
      <c r="DX78" s="58">
        <v>109.24</v>
      </c>
      <c r="DY78" s="58">
        <v>74.19</v>
      </c>
      <c r="DZ78" s="58">
        <v>35.049999999999997</v>
      </c>
      <c r="EA78" s="58">
        <v>415.178</v>
      </c>
      <c r="EB78" s="58">
        <v>176.99799999999999</v>
      </c>
      <c r="EC78" s="58">
        <v>238.18</v>
      </c>
      <c r="ED78" s="58">
        <v>394.68299999999999</v>
      </c>
      <c r="EE78" s="58">
        <v>171.27500000000001</v>
      </c>
      <c r="EF78" s="58">
        <v>223.40799999999999</v>
      </c>
      <c r="EG78" s="58">
        <v>674.93499999999995</v>
      </c>
      <c r="EH78" s="58">
        <v>326.50099999999998</v>
      </c>
      <c r="EI78" s="58">
        <v>348.43400000000003</v>
      </c>
      <c r="EJ78" s="58">
        <v>149.202</v>
      </c>
      <c r="EK78" s="58">
        <v>104.20099999999999</v>
      </c>
      <c r="EL78" s="58">
        <v>45.000999999999998</v>
      </c>
      <c r="EM78" s="58">
        <v>525.73299999999995</v>
      </c>
      <c r="EN78" s="58">
        <v>222.3</v>
      </c>
      <c r="EO78" s="58">
        <v>303.43299999999999</v>
      </c>
      <c r="EP78" s="58">
        <v>223.33500000000001</v>
      </c>
      <c r="EQ78" s="58">
        <v>108.67100000000001</v>
      </c>
      <c r="ER78" s="58">
        <v>114.664</v>
      </c>
      <c r="ES78" s="58">
        <v>34.875</v>
      </c>
      <c r="ET78" s="58">
        <v>17.617000000000001</v>
      </c>
      <c r="EU78" s="58">
        <v>17.257999999999999</v>
      </c>
      <c r="EV78" s="58">
        <v>2.3559999999999999</v>
      </c>
      <c r="EW78" s="58">
        <v>2.3559999999999999</v>
      </c>
      <c r="EX78" s="58">
        <v>0</v>
      </c>
      <c r="EY78" s="58">
        <v>1.2789999999999999</v>
      </c>
      <c r="EZ78" s="58">
        <v>1.2789999999999999</v>
      </c>
      <c r="FA78" s="58">
        <v>0</v>
      </c>
      <c r="FB78" s="58">
        <v>1.0780000000000001</v>
      </c>
      <c r="FC78" s="58">
        <v>1.0780000000000001</v>
      </c>
      <c r="FD78" s="58">
        <v>0</v>
      </c>
      <c r="FE78" s="58">
        <v>32.518999999999998</v>
      </c>
      <c r="FF78" s="58">
        <v>15.260999999999999</v>
      </c>
      <c r="FG78" s="58">
        <v>17.257999999999999</v>
      </c>
      <c r="FH78" s="58">
        <v>207.29</v>
      </c>
      <c r="FI78" s="58">
        <v>100.669</v>
      </c>
      <c r="FJ78" s="58">
        <v>106.621</v>
      </c>
      <c r="FK78" s="58">
        <v>24.911999999999999</v>
      </c>
      <c r="FL78" s="58">
        <v>21.314</v>
      </c>
      <c r="FM78" s="58">
        <v>3.5979999999999999</v>
      </c>
      <c r="FN78" s="58">
        <v>182.37700000000001</v>
      </c>
      <c r="FO78" s="58">
        <v>79.355000000000004</v>
      </c>
      <c r="FP78" s="58">
        <v>103.023</v>
      </c>
      <c r="FQ78" s="58">
        <v>26.363</v>
      </c>
      <c r="FR78" s="58">
        <v>22.765000000000001</v>
      </c>
      <c r="FS78" s="58">
        <v>3.5979999999999999</v>
      </c>
      <c r="FT78" s="58">
        <v>196.97200000000001</v>
      </c>
      <c r="FU78" s="58">
        <v>85.906000000000006</v>
      </c>
      <c r="FV78" s="58">
        <v>111.066</v>
      </c>
      <c r="FW78" s="58">
        <v>183.65600000000001</v>
      </c>
      <c r="FX78" s="58">
        <v>80.632999999999996</v>
      </c>
      <c r="FY78" s="58">
        <v>103.023</v>
      </c>
      <c r="FZ78" s="58">
        <v>1274.452</v>
      </c>
      <c r="GA78" s="58">
        <v>651.03800000000001</v>
      </c>
      <c r="GB78" s="58">
        <v>623.41399999999999</v>
      </c>
      <c r="GC78" s="58">
        <v>747.90800000000002</v>
      </c>
      <c r="GD78" s="58">
        <v>422.92700000000002</v>
      </c>
      <c r="GE78" s="58">
        <v>324.98099999999999</v>
      </c>
      <c r="GF78" s="58">
        <v>526.54399999999998</v>
      </c>
      <c r="GG78" s="58">
        <v>228.11199999999999</v>
      </c>
      <c r="GH78" s="58">
        <v>298.43299999999999</v>
      </c>
      <c r="GI78" s="58">
        <v>301.08300000000003</v>
      </c>
      <c r="GJ78" s="58">
        <v>142.51599999999999</v>
      </c>
      <c r="GK78" s="58">
        <v>158.566</v>
      </c>
      <c r="GL78" s="58">
        <v>45.762999999999998</v>
      </c>
      <c r="GM78" s="58">
        <v>25.712</v>
      </c>
      <c r="GN78" s="58">
        <v>20.05</v>
      </c>
      <c r="GO78" s="58">
        <v>11.432</v>
      </c>
      <c r="GP78" s="58">
        <v>9.202</v>
      </c>
      <c r="GQ78" s="58">
        <v>2.23</v>
      </c>
      <c r="GR78" s="58">
        <v>7.7610000000000001</v>
      </c>
      <c r="GS78" s="58">
        <v>6.6840000000000002</v>
      </c>
      <c r="GT78" s="58">
        <v>1.077</v>
      </c>
      <c r="GU78" s="58">
        <v>3.6709999999999998</v>
      </c>
      <c r="GV78" s="58">
        <v>2.5179999999999998</v>
      </c>
      <c r="GW78" s="58">
        <v>1.153</v>
      </c>
      <c r="GX78" s="58">
        <v>34.33</v>
      </c>
      <c r="GY78" s="58">
        <v>16.510000000000002</v>
      </c>
      <c r="GZ78" s="58">
        <v>17.82</v>
      </c>
      <c r="HA78" s="58">
        <v>278.12400000000002</v>
      </c>
      <c r="HB78" s="58">
        <v>129.21100000000001</v>
      </c>
      <c r="HC78" s="58">
        <v>148.91300000000001</v>
      </c>
      <c r="HD78" s="58">
        <v>74.858000000000004</v>
      </c>
      <c r="HE78" s="58">
        <v>45.253</v>
      </c>
      <c r="HF78" s="58">
        <v>29.605</v>
      </c>
      <c r="HG78" s="58">
        <v>203.26599999999999</v>
      </c>
      <c r="HH78" s="58">
        <v>83.957999999999998</v>
      </c>
      <c r="HI78" s="58">
        <v>119.30800000000001</v>
      </c>
      <c r="HJ78" s="58">
        <v>82.876999999999995</v>
      </c>
      <c r="HK78" s="58">
        <v>51.424999999999997</v>
      </c>
      <c r="HL78" s="58">
        <v>31.452000000000002</v>
      </c>
      <c r="HM78" s="58">
        <v>218.20599999999999</v>
      </c>
      <c r="HN78" s="58">
        <v>91.091999999999999</v>
      </c>
      <c r="HO78" s="58">
        <v>127.114</v>
      </c>
      <c r="HP78" s="58">
        <v>211.02699999999999</v>
      </c>
      <c r="HQ78" s="58">
        <v>90.641999999999996</v>
      </c>
      <c r="HR78" s="58">
        <v>120.38500000000001</v>
      </c>
      <c r="HS78" s="58">
        <v>3108.0590000000002</v>
      </c>
      <c r="HT78" s="58">
        <v>1635.046</v>
      </c>
      <c r="HU78" s="58">
        <v>1473.0129999999999</v>
      </c>
      <c r="HV78" s="58">
        <v>2392.0439999999999</v>
      </c>
      <c r="HW78" s="58">
        <v>1418.951</v>
      </c>
      <c r="HX78" s="58">
        <v>973.09299999999996</v>
      </c>
      <c r="HY78" s="58">
        <v>716.01499999999999</v>
      </c>
      <c r="HZ78" s="58">
        <v>216.096</v>
      </c>
      <c r="IA78" s="58">
        <v>499.92</v>
      </c>
      <c r="IB78" s="58">
        <v>461.56900000000002</v>
      </c>
      <c r="IC78" s="58">
        <v>265.44299999999998</v>
      </c>
      <c r="ID78" s="58">
        <v>196.12700000000001</v>
      </c>
      <c r="IE78" s="58">
        <v>80.325000000000003</v>
      </c>
      <c r="IF78" s="58">
        <v>47.438000000000002</v>
      </c>
      <c r="IG78" s="58">
        <v>32.887</v>
      </c>
      <c r="IH78" s="58">
        <v>41.744</v>
      </c>
      <c r="II78" s="58">
        <v>31.808</v>
      </c>
      <c r="IJ78" s="58">
        <v>9.9359999999999999</v>
      </c>
      <c r="IK78" s="58">
        <v>25.283000000000001</v>
      </c>
      <c r="IL78" s="58">
        <v>18.684999999999999</v>
      </c>
      <c r="IM78" s="58">
        <v>6.5979999999999999</v>
      </c>
      <c r="IN78" s="58">
        <v>16.462</v>
      </c>
      <c r="IO78" s="58">
        <v>13.122999999999999</v>
      </c>
      <c r="IP78" s="58">
        <v>3.339</v>
      </c>
      <c r="IQ78" s="58">
        <v>38.581000000000003</v>
      </c>
    </row>
    <row r="79" spans="1:251">
      <c r="A79" s="5">
        <v>43891</v>
      </c>
      <c r="B79" s="58">
        <v>13005.254000000001</v>
      </c>
      <c r="C79" s="58">
        <v>6857.4570000000003</v>
      </c>
      <c r="D79" s="58">
        <v>6147.7969999999996</v>
      </c>
      <c r="E79" s="58">
        <v>8855.5750000000007</v>
      </c>
      <c r="F79" s="58">
        <v>5532.7430000000004</v>
      </c>
      <c r="G79" s="58">
        <v>3322.8330000000001</v>
      </c>
      <c r="H79" s="58">
        <v>4149.6790000000001</v>
      </c>
      <c r="I79" s="58">
        <v>1324.7149999999999</v>
      </c>
      <c r="J79" s="58">
        <v>2824.9639999999999</v>
      </c>
      <c r="K79" s="58">
        <v>1993.037</v>
      </c>
      <c r="L79" s="58">
        <v>1065.9079999999999</v>
      </c>
      <c r="M79" s="58">
        <v>927.12800000000004</v>
      </c>
      <c r="N79" s="58">
        <v>466.19</v>
      </c>
      <c r="O79" s="58">
        <v>266.65300000000002</v>
      </c>
      <c r="P79" s="58">
        <v>199.53700000000001</v>
      </c>
      <c r="Q79" s="58">
        <v>179.678</v>
      </c>
      <c r="R79" s="58">
        <v>135.059</v>
      </c>
      <c r="S79" s="58">
        <v>44.619</v>
      </c>
      <c r="T79" s="58">
        <v>110.89</v>
      </c>
      <c r="U79" s="58">
        <v>83.134</v>
      </c>
      <c r="V79" s="58">
        <v>27.756</v>
      </c>
      <c r="W79" s="58">
        <v>68.787999999999997</v>
      </c>
      <c r="X79" s="58">
        <v>51.924999999999997</v>
      </c>
      <c r="Y79" s="58">
        <v>16.861999999999998</v>
      </c>
      <c r="Z79" s="58">
        <v>286.512</v>
      </c>
      <c r="AA79" s="58">
        <v>131.59399999999999</v>
      </c>
      <c r="AB79" s="58">
        <v>154.91800000000001</v>
      </c>
      <c r="AC79" s="58">
        <v>1738.201</v>
      </c>
      <c r="AD79" s="58">
        <v>919.95100000000002</v>
      </c>
      <c r="AE79" s="58">
        <v>818.25</v>
      </c>
      <c r="AF79" s="58">
        <v>667.82100000000003</v>
      </c>
      <c r="AG79" s="58">
        <v>495.07</v>
      </c>
      <c r="AH79" s="58">
        <v>172.751</v>
      </c>
      <c r="AI79" s="58">
        <v>1070.3800000000001</v>
      </c>
      <c r="AJ79" s="58">
        <v>424.88099999999997</v>
      </c>
      <c r="AK79" s="58">
        <v>645.49900000000002</v>
      </c>
      <c r="AL79" s="58">
        <v>794.70299999999997</v>
      </c>
      <c r="AM79" s="58">
        <v>587.10799999999995</v>
      </c>
      <c r="AN79" s="58">
        <v>207.595</v>
      </c>
      <c r="AO79" s="58">
        <v>1198.3340000000001</v>
      </c>
      <c r="AP79" s="58">
        <v>478.80099999999999</v>
      </c>
      <c r="AQ79" s="58">
        <v>719.53300000000002</v>
      </c>
      <c r="AR79" s="58">
        <v>1181.27</v>
      </c>
      <c r="AS79" s="58">
        <v>508.01600000000002</v>
      </c>
      <c r="AT79" s="58">
        <v>673.255</v>
      </c>
      <c r="AU79" s="58">
        <v>12418.511</v>
      </c>
      <c r="AV79" s="58">
        <v>6512.0839999999998</v>
      </c>
      <c r="AW79" s="58">
        <v>5906.4260000000004</v>
      </c>
      <c r="AX79" s="58">
        <v>8599.2649999999994</v>
      </c>
      <c r="AY79" s="58">
        <v>5351.6840000000002</v>
      </c>
      <c r="AZ79" s="58">
        <v>3247.5819999999999</v>
      </c>
      <c r="BA79" s="58">
        <v>3819.2449999999999</v>
      </c>
      <c r="BB79" s="58">
        <v>1160.4010000000001</v>
      </c>
      <c r="BC79" s="58">
        <v>2658.8449999999998</v>
      </c>
      <c r="BD79" s="58">
        <v>1939.7449999999999</v>
      </c>
      <c r="BE79" s="58">
        <v>1029.8920000000001</v>
      </c>
      <c r="BF79" s="58">
        <v>909.85299999999995</v>
      </c>
      <c r="BG79" s="58">
        <v>441.07600000000002</v>
      </c>
      <c r="BH79" s="58">
        <v>249.364</v>
      </c>
      <c r="BI79" s="58">
        <v>191.71199999999999</v>
      </c>
      <c r="BJ79" s="58">
        <v>177.197</v>
      </c>
      <c r="BK79" s="58">
        <v>132.578</v>
      </c>
      <c r="BL79" s="58">
        <v>44.619</v>
      </c>
      <c r="BM79" s="58">
        <v>109.39400000000001</v>
      </c>
      <c r="BN79" s="58">
        <v>81.637</v>
      </c>
      <c r="BO79" s="58">
        <v>27.756</v>
      </c>
      <c r="BP79" s="58">
        <v>67.802999999999997</v>
      </c>
      <c r="BQ79" s="58">
        <v>50.94</v>
      </c>
      <c r="BR79" s="58">
        <v>16.861999999999998</v>
      </c>
      <c r="BS79" s="58">
        <v>263.87900000000002</v>
      </c>
      <c r="BT79" s="58">
        <v>116.786</v>
      </c>
      <c r="BU79" s="58">
        <v>147.09299999999999</v>
      </c>
      <c r="BV79" s="58">
        <v>1701.87</v>
      </c>
      <c r="BW79" s="58">
        <v>896.50699999999995</v>
      </c>
      <c r="BX79" s="58">
        <v>805.36300000000006</v>
      </c>
      <c r="BY79" s="58">
        <v>659.42899999999997</v>
      </c>
      <c r="BZ79" s="58">
        <v>487.41199999999998</v>
      </c>
      <c r="CA79" s="58">
        <v>172.017</v>
      </c>
      <c r="CB79" s="58">
        <v>1042.441</v>
      </c>
      <c r="CC79" s="58">
        <v>409.09500000000003</v>
      </c>
      <c r="CD79" s="58">
        <v>633.346</v>
      </c>
      <c r="CE79" s="58">
        <v>783.83</v>
      </c>
      <c r="CF79" s="58">
        <v>576.96799999999996</v>
      </c>
      <c r="CG79" s="58">
        <v>206.86099999999999</v>
      </c>
      <c r="CH79" s="58">
        <v>1155.9159999999999</v>
      </c>
      <c r="CI79" s="58">
        <v>452.92399999999998</v>
      </c>
      <c r="CJ79" s="58">
        <v>702.99199999999996</v>
      </c>
      <c r="CK79" s="58">
        <v>1151.835</v>
      </c>
      <c r="CL79" s="58">
        <v>490.73200000000003</v>
      </c>
      <c r="CM79" s="58">
        <v>661.10199999999998</v>
      </c>
      <c r="CN79" s="58">
        <v>1936.646</v>
      </c>
      <c r="CO79" s="58">
        <v>978.83799999999997</v>
      </c>
      <c r="CP79" s="58">
        <v>957.80799999999999</v>
      </c>
      <c r="CQ79" s="58">
        <v>847.13400000000001</v>
      </c>
      <c r="CR79" s="58">
        <v>501.52499999999998</v>
      </c>
      <c r="CS79" s="58">
        <v>345.60899999999998</v>
      </c>
      <c r="CT79" s="58">
        <v>1089.5119999999999</v>
      </c>
      <c r="CU79" s="58">
        <v>477.31299999999999</v>
      </c>
      <c r="CV79" s="58">
        <v>612.19899999999996</v>
      </c>
      <c r="CW79" s="58">
        <v>532.77</v>
      </c>
      <c r="CX79" s="58">
        <v>276.089</v>
      </c>
      <c r="CY79" s="58">
        <v>256.68099999999998</v>
      </c>
      <c r="CZ79" s="58">
        <v>112.651</v>
      </c>
      <c r="DA79" s="58">
        <v>59.637999999999998</v>
      </c>
      <c r="DB79" s="58">
        <v>53.012999999999998</v>
      </c>
      <c r="DC79" s="58">
        <v>22.757999999999999</v>
      </c>
      <c r="DD79" s="58">
        <v>13.364000000000001</v>
      </c>
      <c r="DE79" s="58">
        <v>9.3940000000000001</v>
      </c>
      <c r="DF79" s="58">
        <v>17.628</v>
      </c>
      <c r="DG79" s="58">
        <v>11.461</v>
      </c>
      <c r="DH79" s="58">
        <v>6.1669999999999998</v>
      </c>
      <c r="DI79" s="58">
        <v>5.13</v>
      </c>
      <c r="DJ79" s="58">
        <v>1.903</v>
      </c>
      <c r="DK79" s="58">
        <v>3.2269999999999999</v>
      </c>
      <c r="DL79" s="58">
        <v>89.893000000000001</v>
      </c>
      <c r="DM79" s="58">
        <v>46.274000000000001</v>
      </c>
      <c r="DN79" s="58">
        <v>43.619</v>
      </c>
      <c r="DO79" s="58">
        <v>481.81900000000002</v>
      </c>
      <c r="DP79" s="58">
        <v>250.72300000000001</v>
      </c>
      <c r="DQ79" s="58">
        <v>231.096</v>
      </c>
      <c r="DR79" s="58">
        <v>97.887</v>
      </c>
      <c r="DS79" s="58">
        <v>72.210999999999999</v>
      </c>
      <c r="DT79" s="58">
        <v>25.675999999999998</v>
      </c>
      <c r="DU79" s="58">
        <v>383.93200000000002</v>
      </c>
      <c r="DV79" s="58">
        <v>178.51300000000001</v>
      </c>
      <c r="DW79" s="58">
        <v>205.41900000000001</v>
      </c>
      <c r="DX79" s="58">
        <v>113.753</v>
      </c>
      <c r="DY79" s="58">
        <v>82.010999999999996</v>
      </c>
      <c r="DZ79" s="58">
        <v>31.741</v>
      </c>
      <c r="EA79" s="58">
        <v>419.01799999999997</v>
      </c>
      <c r="EB79" s="58">
        <v>194.078</v>
      </c>
      <c r="EC79" s="58">
        <v>224.94</v>
      </c>
      <c r="ED79" s="58">
        <v>401.56</v>
      </c>
      <c r="EE79" s="58">
        <v>189.97399999999999</v>
      </c>
      <c r="EF79" s="58">
        <v>211.58600000000001</v>
      </c>
      <c r="EG79" s="58">
        <v>685.42700000000002</v>
      </c>
      <c r="EH79" s="58">
        <v>335.52100000000002</v>
      </c>
      <c r="EI79" s="58">
        <v>349.90600000000001</v>
      </c>
      <c r="EJ79" s="58">
        <v>147.25299999999999</v>
      </c>
      <c r="EK79" s="58">
        <v>96.31</v>
      </c>
      <c r="EL79" s="58">
        <v>50.942999999999998</v>
      </c>
      <c r="EM79" s="58">
        <v>538.17399999999998</v>
      </c>
      <c r="EN79" s="58">
        <v>239.21100000000001</v>
      </c>
      <c r="EO79" s="58">
        <v>298.96300000000002</v>
      </c>
      <c r="EP79" s="58">
        <v>223.702</v>
      </c>
      <c r="EQ79" s="58">
        <v>113.4</v>
      </c>
      <c r="ER79" s="58">
        <v>110.30200000000001</v>
      </c>
      <c r="ES79" s="58">
        <v>45.148000000000003</v>
      </c>
      <c r="ET79" s="58">
        <v>22.957999999999998</v>
      </c>
      <c r="EU79" s="58">
        <v>22.190999999999999</v>
      </c>
      <c r="EV79" s="58">
        <v>3.3610000000000002</v>
      </c>
      <c r="EW79" s="58">
        <v>2.2000000000000002</v>
      </c>
      <c r="EX79" s="58">
        <v>1.1599999999999999</v>
      </c>
      <c r="EY79" s="58">
        <v>1.681</v>
      </c>
      <c r="EZ79" s="58">
        <v>1.5960000000000001</v>
      </c>
      <c r="FA79" s="58">
        <v>8.5000000000000006E-2</v>
      </c>
      <c r="FB79" s="58">
        <v>1.68</v>
      </c>
      <c r="FC79" s="58">
        <v>0.60399999999999998</v>
      </c>
      <c r="FD79" s="58">
        <v>1.075</v>
      </c>
      <c r="FE79" s="58">
        <v>41.786999999999999</v>
      </c>
      <c r="FF79" s="58">
        <v>20.757000000000001</v>
      </c>
      <c r="FG79" s="58">
        <v>21.03</v>
      </c>
      <c r="FH79" s="58">
        <v>206.184</v>
      </c>
      <c r="FI79" s="58">
        <v>105.881</v>
      </c>
      <c r="FJ79" s="58">
        <v>100.304</v>
      </c>
      <c r="FK79" s="58">
        <v>22.63</v>
      </c>
      <c r="FL79" s="58">
        <v>18.173999999999999</v>
      </c>
      <c r="FM79" s="58">
        <v>4.4560000000000004</v>
      </c>
      <c r="FN79" s="58">
        <v>183.554</v>
      </c>
      <c r="FO79" s="58">
        <v>87.706000000000003</v>
      </c>
      <c r="FP79" s="58">
        <v>95.847999999999999</v>
      </c>
      <c r="FQ79" s="58">
        <v>24.672999999999998</v>
      </c>
      <c r="FR79" s="58">
        <v>19.739999999999998</v>
      </c>
      <c r="FS79" s="58">
        <v>4.9329999999999998</v>
      </c>
      <c r="FT79" s="58">
        <v>199.029</v>
      </c>
      <c r="FU79" s="58">
        <v>93.66</v>
      </c>
      <c r="FV79" s="58">
        <v>105.369</v>
      </c>
      <c r="FW79" s="58">
        <v>185.23500000000001</v>
      </c>
      <c r="FX79" s="58">
        <v>89.302999999999997</v>
      </c>
      <c r="FY79" s="58">
        <v>95.933000000000007</v>
      </c>
      <c r="FZ79" s="58">
        <v>1251.2190000000001</v>
      </c>
      <c r="GA79" s="58">
        <v>643.31700000000001</v>
      </c>
      <c r="GB79" s="58">
        <v>607.90200000000004</v>
      </c>
      <c r="GC79" s="58">
        <v>699.88099999999997</v>
      </c>
      <c r="GD79" s="58">
        <v>405.21600000000001</v>
      </c>
      <c r="GE79" s="58">
        <v>294.666</v>
      </c>
      <c r="GF79" s="58">
        <v>551.33799999999997</v>
      </c>
      <c r="GG79" s="58">
        <v>238.102</v>
      </c>
      <c r="GH79" s="58">
        <v>313.23599999999999</v>
      </c>
      <c r="GI79" s="58">
        <v>309.06900000000002</v>
      </c>
      <c r="GJ79" s="58">
        <v>162.69</v>
      </c>
      <c r="GK79" s="58">
        <v>146.37899999999999</v>
      </c>
      <c r="GL79" s="58">
        <v>67.503</v>
      </c>
      <c r="GM79" s="58">
        <v>36.680999999999997</v>
      </c>
      <c r="GN79" s="58">
        <v>30.823</v>
      </c>
      <c r="GO79" s="58">
        <v>19.396999999999998</v>
      </c>
      <c r="GP79" s="58">
        <v>11.164</v>
      </c>
      <c r="GQ79" s="58">
        <v>8.234</v>
      </c>
      <c r="GR79" s="58">
        <v>15.946999999999999</v>
      </c>
      <c r="GS79" s="58">
        <v>9.8650000000000002</v>
      </c>
      <c r="GT79" s="58">
        <v>6.0819999999999999</v>
      </c>
      <c r="GU79" s="58">
        <v>3.45</v>
      </c>
      <c r="GV79" s="58">
        <v>1.2989999999999999</v>
      </c>
      <c r="GW79" s="58">
        <v>2.1520000000000001</v>
      </c>
      <c r="GX79" s="58">
        <v>48.106000000000002</v>
      </c>
      <c r="GY79" s="58">
        <v>25.516999999999999</v>
      </c>
      <c r="GZ79" s="58">
        <v>22.588999999999999</v>
      </c>
      <c r="HA79" s="58">
        <v>275.63499999999999</v>
      </c>
      <c r="HB79" s="58">
        <v>144.84200000000001</v>
      </c>
      <c r="HC79" s="58">
        <v>130.792</v>
      </c>
      <c r="HD79" s="58">
        <v>75.257000000000005</v>
      </c>
      <c r="HE79" s="58">
        <v>54.036000000000001</v>
      </c>
      <c r="HF79" s="58">
        <v>21.221</v>
      </c>
      <c r="HG79" s="58">
        <v>200.37799999999999</v>
      </c>
      <c r="HH79" s="58">
        <v>90.805999999999997</v>
      </c>
      <c r="HI79" s="58">
        <v>109.572</v>
      </c>
      <c r="HJ79" s="58">
        <v>89.08</v>
      </c>
      <c r="HK79" s="58">
        <v>62.271999999999998</v>
      </c>
      <c r="HL79" s="58">
        <v>26.808</v>
      </c>
      <c r="HM79" s="58">
        <v>219.989</v>
      </c>
      <c r="HN79" s="58">
        <v>100.41800000000001</v>
      </c>
      <c r="HO79" s="58">
        <v>119.571</v>
      </c>
      <c r="HP79" s="58">
        <v>216.32499999999999</v>
      </c>
      <c r="HQ79" s="58">
        <v>100.67100000000001</v>
      </c>
      <c r="HR79" s="58">
        <v>115.654</v>
      </c>
      <c r="HS79" s="58">
        <v>3104.049</v>
      </c>
      <c r="HT79" s="58">
        <v>1643.3779999999999</v>
      </c>
      <c r="HU79" s="58">
        <v>1460.671</v>
      </c>
      <c r="HV79" s="58">
        <v>2369.85</v>
      </c>
      <c r="HW79" s="58">
        <v>1415.402</v>
      </c>
      <c r="HX79" s="58">
        <v>954.44899999999996</v>
      </c>
      <c r="HY79" s="58">
        <v>734.19799999999998</v>
      </c>
      <c r="HZ79" s="58">
        <v>227.976</v>
      </c>
      <c r="IA79" s="58">
        <v>506.22199999999998</v>
      </c>
      <c r="IB79" s="58">
        <v>471.34899999999999</v>
      </c>
      <c r="IC79" s="58">
        <v>267.43099999999998</v>
      </c>
      <c r="ID79" s="58">
        <v>203.91800000000001</v>
      </c>
      <c r="IE79" s="58">
        <v>91.709000000000003</v>
      </c>
      <c r="IF79" s="58">
        <v>49.904000000000003</v>
      </c>
      <c r="IG79" s="58">
        <v>41.805</v>
      </c>
      <c r="IH79" s="58">
        <v>35.612000000000002</v>
      </c>
      <c r="II79" s="58">
        <v>26.64</v>
      </c>
      <c r="IJ79" s="58">
        <v>8.9719999999999995</v>
      </c>
      <c r="IK79" s="58">
        <v>20.2</v>
      </c>
      <c r="IL79" s="58">
        <v>14.919</v>
      </c>
      <c r="IM79" s="58">
        <v>5.2809999999999997</v>
      </c>
      <c r="IN79" s="58">
        <v>15.412000000000001</v>
      </c>
      <c r="IO79" s="58">
        <v>11.722</v>
      </c>
      <c r="IP79" s="58">
        <v>3.6909999999999998</v>
      </c>
      <c r="IQ79" s="58">
        <v>56.097000000000001</v>
      </c>
    </row>
    <row r="80" spans="1:251">
      <c r="A80" s="5">
        <v>43922</v>
      </c>
      <c r="B80" s="58">
        <v>12412.995000000001</v>
      </c>
      <c r="C80" s="58">
        <v>6581.3109999999997</v>
      </c>
      <c r="D80" s="58">
        <v>5831.6840000000002</v>
      </c>
      <c r="E80" s="58">
        <v>8607.0640000000003</v>
      </c>
      <c r="F80" s="58">
        <v>5385.7979999999998</v>
      </c>
      <c r="G80" s="58">
        <v>3221.2660000000001</v>
      </c>
      <c r="H80" s="58">
        <v>3805.931</v>
      </c>
      <c r="I80" s="58">
        <v>1195.5129999999999</v>
      </c>
      <c r="J80" s="58">
        <v>2610.4180000000001</v>
      </c>
      <c r="K80" s="58">
        <v>3002.9670000000001</v>
      </c>
      <c r="L80" s="58">
        <v>1573.885</v>
      </c>
      <c r="M80" s="58">
        <v>1429.0820000000001</v>
      </c>
      <c r="N80" s="58">
        <v>1781.64</v>
      </c>
      <c r="O80" s="58">
        <v>893.73400000000004</v>
      </c>
      <c r="P80" s="58">
        <v>887.90599999999995</v>
      </c>
      <c r="Q80" s="58">
        <v>901.67399999999998</v>
      </c>
      <c r="R80" s="58">
        <v>572.61900000000003</v>
      </c>
      <c r="S80" s="58">
        <v>329.05500000000001</v>
      </c>
      <c r="T80" s="58">
        <v>738.64499999999998</v>
      </c>
      <c r="U80" s="58">
        <v>453.447</v>
      </c>
      <c r="V80" s="58">
        <v>285.19799999999998</v>
      </c>
      <c r="W80" s="58">
        <v>163.029</v>
      </c>
      <c r="X80" s="58">
        <v>119.172</v>
      </c>
      <c r="Y80" s="58">
        <v>43.856999999999999</v>
      </c>
      <c r="Z80" s="58">
        <v>879.96600000000001</v>
      </c>
      <c r="AA80" s="58">
        <v>321.11500000000001</v>
      </c>
      <c r="AB80" s="58">
        <v>558.851</v>
      </c>
      <c r="AC80" s="58">
        <v>1756.1759999999999</v>
      </c>
      <c r="AD80" s="58">
        <v>948.91099999999994</v>
      </c>
      <c r="AE80" s="58">
        <v>807.26400000000001</v>
      </c>
      <c r="AF80" s="58">
        <v>692.21799999999996</v>
      </c>
      <c r="AG80" s="58">
        <v>522.73900000000003</v>
      </c>
      <c r="AH80" s="58">
        <v>169.48</v>
      </c>
      <c r="AI80" s="58">
        <v>1063.9570000000001</v>
      </c>
      <c r="AJ80" s="58">
        <v>426.173</v>
      </c>
      <c r="AK80" s="58">
        <v>637.78399999999999</v>
      </c>
      <c r="AL80" s="58">
        <v>1429.6179999999999</v>
      </c>
      <c r="AM80" s="58">
        <v>978.21400000000006</v>
      </c>
      <c r="AN80" s="58">
        <v>451.40300000000002</v>
      </c>
      <c r="AO80" s="58">
        <v>1573.3489999999999</v>
      </c>
      <c r="AP80" s="58">
        <v>595.67100000000005</v>
      </c>
      <c r="AQ80" s="58">
        <v>977.678</v>
      </c>
      <c r="AR80" s="58">
        <v>1802.6020000000001</v>
      </c>
      <c r="AS80" s="58">
        <v>879.61900000000003</v>
      </c>
      <c r="AT80" s="58">
        <v>922.98299999999995</v>
      </c>
      <c r="AU80" s="58">
        <v>11871.21</v>
      </c>
      <c r="AV80" s="58">
        <v>6261.0029999999997</v>
      </c>
      <c r="AW80" s="58">
        <v>5610.2070000000003</v>
      </c>
      <c r="AX80" s="58">
        <v>8359.9259999999995</v>
      </c>
      <c r="AY80" s="58">
        <v>5212.9390000000003</v>
      </c>
      <c r="AZ80" s="58">
        <v>3146.9879999999998</v>
      </c>
      <c r="BA80" s="58">
        <v>3511.2840000000001</v>
      </c>
      <c r="BB80" s="58">
        <v>1048.0640000000001</v>
      </c>
      <c r="BC80" s="58">
        <v>2463.2190000000001</v>
      </c>
      <c r="BD80" s="58">
        <v>2898.7359999999999</v>
      </c>
      <c r="BE80" s="58">
        <v>1511.819</v>
      </c>
      <c r="BF80" s="58">
        <v>1386.9169999999999</v>
      </c>
      <c r="BG80" s="58">
        <v>1703.251</v>
      </c>
      <c r="BH80" s="58">
        <v>849.19600000000003</v>
      </c>
      <c r="BI80" s="58">
        <v>854.05600000000004</v>
      </c>
      <c r="BJ80" s="58">
        <v>881.62400000000002</v>
      </c>
      <c r="BK80" s="58">
        <v>557.17999999999995</v>
      </c>
      <c r="BL80" s="58">
        <v>324.44400000000002</v>
      </c>
      <c r="BM80" s="58">
        <v>722.28099999999995</v>
      </c>
      <c r="BN80" s="58">
        <v>441.17899999999997</v>
      </c>
      <c r="BO80" s="58">
        <v>281.10199999999998</v>
      </c>
      <c r="BP80" s="58">
        <v>159.34299999999999</v>
      </c>
      <c r="BQ80" s="58">
        <v>116.001</v>
      </c>
      <c r="BR80" s="58">
        <v>43.341000000000001</v>
      </c>
      <c r="BS80" s="58">
        <v>821.62800000000004</v>
      </c>
      <c r="BT80" s="58">
        <v>292.01600000000002</v>
      </c>
      <c r="BU80" s="58">
        <v>529.61199999999997</v>
      </c>
      <c r="BV80" s="58">
        <v>1718.2449999999999</v>
      </c>
      <c r="BW80" s="58">
        <v>924.16700000000003</v>
      </c>
      <c r="BX80" s="58">
        <v>794.07799999999997</v>
      </c>
      <c r="BY80" s="58">
        <v>685.23</v>
      </c>
      <c r="BZ80" s="58">
        <v>515.92399999999998</v>
      </c>
      <c r="CA80" s="58">
        <v>169.30600000000001</v>
      </c>
      <c r="CB80" s="58">
        <v>1033.0150000000001</v>
      </c>
      <c r="CC80" s="58">
        <v>408.24299999999999</v>
      </c>
      <c r="CD80" s="58">
        <v>624.77200000000005</v>
      </c>
      <c r="CE80" s="58">
        <v>1403.6959999999999</v>
      </c>
      <c r="CF80" s="58">
        <v>957.07799999999997</v>
      </c>
      <c r="CG80" s="58">
        <v>446.61799999999999</v>
      </c>
      <c r="CH80" s="58">
        <v>1495.04</v>
      </c>
      <c r="CI80" s="58">
        <v>554.74099999999999</v>
      </c>
      <c r="CJ80" s="58">
        <v>940.29899999999998</v>
      </c>
      <c r="CK80" s="58">
        <v>1755.296</v>
      </c>
      <c r="CL80" s="58">
        <v>849.42200000000003</v>
      </c>
      <c r="CM80" s="58">
        <v>905.875</v>
      </c>
      <c r="CN80" s="58">
        <v>1722.462</v>
      </c>
      <c r="CO80" s="58">
        <v>884.88499999999999</v>
      </c>
      <c r="CP80" s="58">
        <v>837.577</v>
      </c>
      <c r="CQ80" s="58">
        <v>778.13099999999997</v>
      </c>
      <c r="CR80" s="58">
        <v>471.45100000000002</v>
      </c>
      <c r="CS80" s="58">
        <v>306.67899999999997</v>
      </c>
      <c r="CT80" s="58">
        <v>944.33100000000002</v>
      </c>
      <c r="CU80" s="58">
        <v>413.43400000000003</v>
      </c>
      <c r="CV80" s="58">
        <v>530.89700000000005</v>
      </c>
      <c r="CW80" s="58">
        <v>694.26</v>
      </c>
      <c r="CX80" s="58">
        <v>345.97699999999998</v>
      </c>
      <c r="CY80" s="58">
        <v>348.28300000000002</v>
      </c>
      <c r="CZ80" s="58">
        <v>394.35899999999998</v>
      </c>
      <c r="DA80" s="58">
        <v>178.05500000000001</v>
      </c>
      <c r="DB80" s="58">
        <v>216.304</v>
      </c>
      <c r="DC80" s="58">
        <v>102.19199999999999</v>
      </c>
      <c r="DD80" s="58">
        <v>59.002000000000002</v>
      </c>
      <c r="DE80" s="58">
        <v>43.191000000000003</v>
      </c>
      <c r="DF80" s="58">
        <v>88.781999999999996</v>
      </c>
      <c r="DG80" s="58">
        <v>50.134</v>
      </c>
      <c r="DH80" s="58">
        <v>38.648000000000003</v>
      </c>
      <c r="DI80" s="58">
        <v>13.411</v>
      </c>
      <c r="DJ80" s="58">
        <v>8.8680000000000003</v>
      </c>
      <c r="DK80" s="58">
        <v>4.5430000000000001</v>
      </c>
      <c r="DL80" s="58">
        <v>292.166</v>
      </c>
      <c r="DM80" s="58">
        <v>119.053</v>
      </c>
      <c r="DN80" s="58">
        <v>173.113</v>
      </c>
      <c r="DO80" s="58">
        <v>471.41699999999997</v>
      </c>
      <c r="DP80" s="58">
        <v>249.321</v>
      </c>
      <c r="DQ80" s="58">
        <v>222.095</v>
      </c>
      <c r="DR80" s="58">
        <v>104.92400000000001</v>
      </c>
      <c r="DS80" s="58">
        <v>79.891999999999996</v>
      </c>
      <c r="DT80" s="58">
        <v>25.032</v>
      </c>
      <c r="DU80" s="58">
        <v>366.49299999999999</v>
      </c>
      <c r="DV80" s="58">
        <v>169.43</v>
      </c>
      <c r="DW80" s="58">
        <v>197.06299999999999</v>
      </c>
      <c r="DX80" s="58">
        <v>178.75299999999999</v>
      </c>
      <c r="DY80" s="58">
        <v>122.03400000000001</v>
      </c>
      <c r="DZ80" s="58">
        <v>56.719000000000001</v>
      </c>
      <c r="EA80" s="58">
        <v>515.50800000000004</v>
      </c>
      <c r="EB80" s="58">
        <v>223.94399999999999</v>
      </c>
      <c r="EC80" s="58">
        <v>291.56400000000002</v>
      </c>
      <c r="ED80" s="58">
        <v>455.27499999999998</v>
      </c>
      <c r="EE80" s="58">
        <v>219.56299999999999</v>
      </c>
      <c r="EF80" s="58">
        <v>235.71199999999999</v>
      </c>
      <c r="EG80" s="58">
        <v>589.83500000000004</v>
      </c>
      <c r="EH80" s="58">
        <v>297.00299999999999</v>
      </c>
      <c r="EI80" s="58">
        <v>292.83199999999999</v>
      </c>
      <c r="EJ80" s="58">
        <v>125.10599999999999</v>
      </c>
      <c r="EK80" s="58">
        <v>88.537000000000006</v>
      </c>
      <c r="EL80" s="58">
        <v>36.569000000000003</v>
      </c>
      <c r="EM80" s="58">
        <v>464.72800000000001</v>
      </c>
      <c r="EN80" s="58">
        <v>208.46600000000001</v>
      </c>
      <c r="EO80" s="58">
        <v>256.26299999999998</v>
      </c>
      <c r="EP80" s="58">
        <v>281.61599999999999</v>
      </c>
      <c r="EQ80" s="58">
        <v>133.29499999999999</v>
      </c>
      <c r="ER80" s="58">
        <v>148.322</v>
      </c>
      <c r="ES80" s="58">
        <v>151.322</v>
      </c>
      <c r="ET80" s="58">
        <v>59.777999999999999</v>
      </c>
      <c r="EU80" s="58">
        <v>91.543999999999997</v>
      </c>
      <c r="EV80" s="58">
        <v>15.327999999999999</v>
      </c>
      <c r="EW80" s="58">
        <v>9.2579999999999991</v>
      </c>
      <c r="EX80" s="58">
        <v>6.07</v>
      </c>
      <c r="EY80" s="58">
        <v>13.707000000000001</v>
      </c>
      <c r="EZ80" s="58">
        <v>8.2840000000000007</v>
      </c>
      <c r="FA80" s="58">
        <v>5.423</v>
      </c>
      <c r="FB80" s="58">
        <v>1.621</v>
      </c>
      <c r="FC80" s="58">
        <v>0.97399999999999998</v>
      </c>
      <c r="FD80" s="58">
        <v>0.64700000000000002</v>
      </c>
      <c r="FE80" s="58">
        <v>135.994</v>
      </c>
      <c r="FF80" s="58">
        <v>50.52</v>
      </c>
      <c r="FG80" s="58">
        <v>85.474000000000004</v>
      </c>
      <c r="FH80" s="58">
        <v>200.06700000000001</v>
      </c>
      <c r="FI80" s="58">
        <v>102.89</v>
      </c>
      <c r="FJ80" s="58">
        <v>97.177000000000007</v>
      </c>
      <c r="FK80" s="58">
        <v>24.997</v>
      </c>
      <c r="FL80" s="58">
        <v>20.631</v>
      </c>
      <c r="FM80" s="58">
        <v>4.3659999999999997</v>
      </c>
      <c r="FN80" s="58">
        <v>175.07</v>
      </c>
      <c r="FO80" s="58">
        <v>82.259</v>
      </c>
      <c r="FP80" s="58">
        <v>92.811000000000007</v>
      </c>
      <c r="FQ80" s="58">
        <v>35.256</v>
      </c>
      <c r="FR80" s="58">
        <v>26.728999999999999</v>
      </c>
      <c r="FS80" s="58">
        <v>8.5269999999999992</v>
      </c>
      <c r="FT80" s="58">
        <v>246.36</v>
      </c>
      <c r="FU80" s="58">
        <v>106.566</v>
      </c>
      <c r="FV80" s="58">
        <v>139.79499999999999</v>
      </c>
      <c r="FW80" s="58">
        <v>188.77699999999999</v>
      </c>
      <c r="FX80" s="58">
        <v>90.543000000000006</v>
      </c>
      <c r="FY80" s="58">
        <v>98.233999999999995</v>
      </c>
      <c r="FZ80" s="58">
        <v>1132.627</v>
      </c>
      <c r="GA80" s="58">
        <v>587.88199999999995</v>
      </c>
      <c r="GB80" s="58">
        <v>544.745</v>
      </c>
      <c r="GC80" s="58">
        <v>653.024</v>
      </c>
      <c r="GD80" s="58">
        <v>382.91399999999999</v>
      </c>
      <c r="GE80" s="58">
        <v>270.11099999999999</v>
      </c>
      <c r="GF80" s="58">
        <v>479.60199999999998</v>
      </c>
      <c r="GG80" s="58">
        <v>204.96799999999999</v>
      </c>
      <c r="GH80" s="58">
        <v>274.63400000000001</v>
      </c>
      <c r="GI80" s="58">
        <v>412.64400000000001</v>
      </c>
      <c r="GJ80" s="58">
        <v>212.68299999999999</v>
      </c>
      <c r="GK80" s="58">
        <v>199.96100000000001</v>
      </c>
      <c r="GL80" s="58">
        <v>243.03700000000001</v>
      </c>
      <c r="GM80" s="58">
        <v>118.277</v>
      </c>
      <c r="GN80" s="58">
        <v>124.759</v>
      </c>
      <c r="GO80" s="58">
        <v>86.864000000000004</v>
      </c>
      <c r="GP80" s="58">
        <v>49.744</v>
      </c>
      <c r="GQ80" s="58">
        <v>37.121000000000002</v>
      </c>
      <c r="GR80" s="58">
        <v>75.075000000000003</v>
      </c>
      <c r="GS80" s="58">
        <v>41.85</v>
      </c>
      <c r="GT80" s="58">
        <v>33.225000000000001</v>
      </c>
      <c r="GU80" s="58">
        <v>11.79</v>
      </c>
      <c r="GV80" s="58">
        <v>7.8940000000000001</v>
      </c>
      <c r="GW80" s="58">
        <v>3.8959999999999999</v>
      </c>
      <c r="GX80" s="58">
        <v>156.172</v>
      </c>
      <c r="GY80" s="58">
        <v>68.533000000000001</v>
      </c>
      <c r="GZ80" s="58">
        <v>87.638999999999996</v>
      </c>
      <c r="HA80" s="58">
        <v>271.34899999999999</v>
      </c>
      <c r="HB80" s="58">
        <v>146.43100000000001</v>
      </c>
      <c r="HC80" s="58">
        <v>124.91800000000001</v>
      </c>
      <c r="HD80" s="58">
        <v>79.927000000000007</v>
      </c>
      <c r="HE80" s="58">
        <v>59.261000000000003</v>
      </c>
      <c r="HF80" s="58">
        <v>20.666</v>
      </c>
      <c r="HG80" s="58">
        <v>191.423</v>
      </c>
      <c r="HH80" s="58">
        <v>87.171000000000006</v>
      </c>
      <c r="HI80" s="58">
        <v>104.252</v>
      </c>
      <c r="HJ80" s="58">
        <v>143.49700000000001</v>
      </c>
      <c r="HK80" s="58">
        <v>95.305000000000007</v>
      </c>
      <c r="HL80" s="58">
        <v>48.192</v>
      </c>
      <c r="HM80" s="58">
        <v>269.14699999999999</v>
      </c>
      <c r="HN80" s="58">
        <v>117.378</v>
      </c>
      <c r="HO80" s="58">
        <v>151.76900000000001</v>
      </c>
      <c r="HP80" s="58">
        <v>266.49700000000001</v>
      </c>
      <c r="HQ80" s="58">
        <v>129.02000000000001</v>
      </c>
      <c r="HR80" s="58">
        <v>137.477</v>
      </c>
      <c r="HS80" s="58">
        <v>2946.8870000000002</v>
      </c>
      <c r="HT80" s="58">
        <v>1566.5940000000001</v>
      </c>
      <c r="HU80" s="58">
        <v>1380.2929999999999</v>
      </c>
      <c r="HV80" s="58">
        <v>2261.2919999999999</v>
      </c>
      <c r="HW80" s="58">
        <v>1353.0889999999999</v>
      </c>
      <c r="HX80" s="58">
        <v>908.20299999999997</v>
      </c>
      <c r="HY80" s="58">
        <v>685.59500000000003</v>
      </c>
      <c r="HZ80" s="58">
        <v>213.505</v>
      </c>
      <c r="IA80" s="58">
        <v>472.09</v>
      </c>
      <c r="IB80" s="58">
        <v>732.56</v>
      </c>
      <c r="IC80" s="58">
        <v>407.09300000000002</v>
      </c>
      <c r="ID80" s="58">
        <v>325.46800000000002</v>
      </c>
      <c r="IE80" s="58">
        <v>414.61700000000002</v>
      </c>
      <c r="IF80" s="58">
        <v>219.55</v>
      </c>
      <c r="IG80" s="58">
        <v>195.06700000000001</v>
      </c>
      <c r="IH80" s="58">
        <v>263.13200000000001</v>
      </c>
      <c r="II80" s="58">
        <v>165.63499999999999</v>
      </c>
      <c r="IJ80" s="58">
        <v>97.497</v>
      </c>
      <c r="IK80" s="58">
        <v>227.69399999999999</v>
      </c>
      <c r="IL80" s="58">
        <v>140.60300000000001</v>
      </c>
      <c r="IM80" s="58">
        <v>87.090999999999994</v>
      </c>
      <c r="IN80" s="58">
        <v>35.438000000000002</v>
      </c>
      <c r="IO80" s="58">
        <v>25.032</v>
      </c>
      <c r="IP80" s="58">
        <v>10.406000000000001</v>
      </c>
      <c r="IQ80" s="58">
        <v>151.48500000000001</v>
      </c>
    </row>
    <row r="81" spans="1:251">
      <c r="A81" s="5">
        <v>43952</v>
      </c>
      <c r="B81" s="58">
        <v>12192.58</v>
      </c>
      <c r="C81" s="58">
        <v>6478.2430000000004</v>
      </c>
      <c r="D81" s="58">
        <v>5714.3379999999997</v>
      </c>
      <c r="E81" s="58">
        <v>8527.5370000000003</v>
      </c>
      <c r="F81" s="58">
        <v>5339.8190000000004</v>
      </c>
      <c r="G81" s="58">
        <v>3187.7170000000001</v>
      </c>
      <c r="H81" s="58">
        <v>3665.0439999999999</v>
      </c>
      <c r="I81" s="58">
        <v>1138.424</v>
      </c>
      <c r="J81" s="58">
        <v>2526.62</v>
      </c>
      <c r="K81" s="58">
        <v>2783.0160000000001</v>
      </c>
      <c r="L81" s="58">
        <v>1498.24</v>
      </c>
      <c r="M81" s="58">
        <v>1284.7760000000001</v>
      </c>
      <c r="N81" s="58">
        <v>1551.46</v>
      </c>
      <c r="O81" s="58">
        <v>820.16099999999994</v>
      </c>
      <c r="P81" s="58">
        <v>731.29899999999998</v>
      </c>
      <c r="Q81" s="58">
        <v>911.20600000000002</v>
      </c>
      <c r="R81" s="58">
        <v>581.34900000000005</v>
      </c>
      <c r="S81" s="58">
        <v>329.85700000000003</v>
      </c>
      <c r="T81" s="58">
        <v>726.26400000000001</v>
      </c>
      <c r="U81" s="58">
        <v>442.48700000000002</v>
      </c>
      <c r="V81" s="58">
        <v>283.77800000000002</v>
      </c>
      <c r="W81" s="58">
        <v>184.94200000000001</v>
      </c>
      <c r="X81" s="58">
        <v>138.863</v>
      </c>
      <c r="Y81" s="58">
        <v>46.08</v>
      </c>
      <c r="Z81" s="58">
        <v>640.25400000000002</v>
      </c>
      <c r="AA81" s="58">
        <v>238.81200000000001</v>
      </c>
      <c r="AB81" s="58">
        <v>401.44200000000001</v>
      </c>
      <c r="AC81" s="58">
        <v>1655.249</v>
      </c>
      <c r="AD81" s="58">
        <v>910.69500000000005</v>
      </c>
      <c r="AE81" s="58">
        <v>744.55399999999997</v>
      </c>
      <c r="AF81" s="58">
        <v>687.94299999999998</v>
      </c>
      <c r="AG81" s="58">
        <v>509.42599999999999</v>
      </c>
      <c r="AH81" s="58">
        <v>178.517</v>
      </c>
      <c r="AI81" s="58">
        <v>967.30700000000002</v>
      </c>
      <c r="AJ81" s="58">
        <v>401.27</v>
      </c>
      <c r="AK81" s="58">
        <v>566.03700000000003</v>
      </c>
      <c r="AL81" s="58">
        <v>1428.4690000000001</v>
      </c>
      <c r="AM81" s="58">
        <v>973.81899999999996</v>
      </c>
      <c r="AN81" s="58">
        <v>454.65</v>
      </c>
      <c r="AO81" s="58">
        <v>1354.547</v>
      </c>
      <c r="AP81" s="58">
        <v>524.42200000000003</v>
      </c>
      <c r="AQ81" s="58">
        <v>830.125</v>
      </c>
      <c r="AR81" s="58">
        <v>1693.5709999999999</v>
      </c>
      <c r="AS81" s="58">
        <v>843.75599999999997</v>
      </c>
      <c r="AT81" s="58">
        <v>849.81500000000005</v>
      </c>
      <c r="AU81" s="58">
        <v>11651.795</v>
      </c>
      <c r="AV81" s="58">
        <v>6155.9290000000001</v>
      </c>
      <c r="AW81" s="58">
        <v>5495.866</v>
      </c>
      <c r="AX81" s="58">
        <v>8276.4580000000005</v>
      </c>
      <c r="AY81" s="58">
        <v>5162.8869999999997</v>
      </c>
      <c r="AZ81" s="58">
        <v>3113.5709999999999</v>
      </c>
      <c r="BA81" s="58">
        <v>3375.3359999999998</v>
      </c>
      <c r="BB81" s="58">
        <v>993.04100000000005</v>
      </c>
      <c r="BC81" s="58">
        <v>2382.2950000000001</v>
      </c>
      <c r="BD81" s="58">
        <v>2683.7939999999999</v>
      </c>
      <c r="BE81" s="58">
        <v>1438.4829999999999</v>
      </c>
      <c r="BF81" s="58">
        <v>1245.3109999999999</v>
      </c>
      <c r="BG81" s="58">
        <v>1477.5150000000001</v>
      </c>
      <c r="BH81" s="58">
        <v>776.95699999999999</v>
      </c>
      <c r="BI81" s="58">
        <v>700.55799999999999</v>
      </c>
      <c r="BJ81" s="58">
        <v>886.20600000000002</v>
      </c>
      <c r="BK81" s="58">
        <v>561.99300000000005</v>
      </c>
      <c r="BL81" s="58">
        <v>324.21300000000002</v>
      </c>
      <c r="BM81" s="58">
        <v>704.745</v>
      </c>
      <c r="BN81" s="58">
        <v>426.36700000000002</v>
      </c>
      <c r="BO81" s="58">
        <v>278.37700000000001</v>
      </c>
      <c r="BP81" s="58">
        <v>181.46199999999999</v>
      </c>
      <c r="BQ81" s="58">
        <v>135.626</v>
      </c>
      <c r="BR81" s="58">
        <v>45.835999999999999</v>
      </c>
      <c r="BS81" s="58">
        <v>591.30899999999997</v>
      </c>
      <c r="BT81" s="58">
        <v>214.964</v>
      </c>
      <c r="BU81" s="58">
        <v>376.34500000000003</v>
      </c>
      <c r="BV81" s="58">
        <v>1616.826</v>
      </c>
      <c r="BW81" s="58">
        <v>884.72199999999998</v>
      </c>
      <c r="BX81" s="58">
        <v>732.10400000000004</v>
      </c>
      <c r="BY81" s="58">
        <v>680.04</v>
      </c>
      <c r="BZ81" s="58">
        <v>503.32</v>
      </c>
      <c r="CA81" s="58">
        <v>176.72</v>
      </c>
      <c r="CB81" s="58">
        <v>936.78599999999994</v>
      </c>
      <c r="CC81" s="58">
        <v>381.40199999999999</v>
      </c>
      <c r="CD81" s="58">
        <v>555.38400000000001</v>
      </c>
      <c r="CE81" s="58">
        <v>1397.704</v>
      </c>
      <c r="CF81" s="58">
        <v>950.02800000000002</v>
      </c>
      <c r="CG81" s="58">
        <v>447.67599999999999</v>
      </c>
      <c r="CH81" s="58">
        <v>1286.0889999999999</v>
      </c>
      <c r="CI81" s="58">
        <v>488.45400000000001</v>
      </c>
      <c r="CJ81" s="58">
        <v>797.63499999999999</v>
      </c>
      <c r="CK81" s="58">
        <v>1641.53</v>
      </c>
      <c r="CL81" s="58">
        <v>807.76900000000001</v>
      </c>
      <c r="CM81" s="58">
        <v>833.76099999999997</v>
      </c>
      <c r="CN81" s="58">
        <v>1615.8309999999999</v>
      </c>
      <c r="CO81" s="58">
        <v>828.70600000000002</v>
      </c>
      <c r="CP81" s="58">
        <v>787.12599999999998</v>
      </c>
      <c r="CQ81" s="58">
        <v>743.94299999999998</v>
      </c>
      <c r="CR81" s="58">
        <v>452.75400000000002</v>
      </c>
      <c r="CS81" s="58">
        <v>291.18900000000002</v>
      </c>
      <c r="CT81" s="58">
        <v>871.88900000000001</v>
      </c>
      <c r="CU81" s="58">
        <v>375.952</v>
      </c>
      <c r="CV81" s="58">
        <v>495.93700000000001</v>
      </c>
      <c r="CW81" s="58">
        <v>565.05100000000004</v>
      </c>
      <c r="CX81" s="58">
        <v>277.84699999999998</v>
      </c>
      <c r="CY81" s="58">
        <v>287.20400000000001</v>
      </c>
      <c r="CZ81" s="58">
        <v>260.90100000000001</v>
      </c>
      <c r="DA81" s="58">
        <v>117.639</v>
      </c>
      <c r="DB81" s="58">
        <v>143.26300000000001</v>
      </c>
      <c r="DC81" s="58">
        <v>91.744</v>
      </c>
      <c r="DD81" s="58">
        <v>47.155999999999999</v>
      </c>
      <c r="DE81" s="58">
        <v>44.588000000000001</v>
      </c>
      <c r="DF81" s="58">
        <v>77.277000000000001</v>
      </c>
      <c r="DG81" s="58">
        <v>36.167999999999999</v>
      </c>
      <c r="DH81" s="58">
        <v>41.109000000000002</v>
      </c>
      <c r="DI81" s="58">
        <v>14.467000000000001</v>
      </c>
      <c r="DJ81" s="58">
        <v>10.988</v>
      </c>
      <c r="DK81" s="58">
        <v>3.4790000000000001</v>
      </c>
      <c r="DL81" s="58">
        <v>169.15799999999999</v>
      </c>
      <c r="DM81" s="58">
        <v>70.481999999999999</v>
      </c>
      <c r="DN81" s="58">
        <v>98.674999999999997</v>
      </c>
      <c r="DO81" s="58">
        <v>404.87299999999999</v>
      </c>
      <c r="DP81" s="58">
        <v>206.64</v>
      </c>
      <c r="DQ81" s="58">
        <v>198.233</v>
      </c>
      <c r="DR81" s="58">
        <v>84.695999999999998</v>
      </c>
      <c r="DS81" s="58">
        <v>56.829000000000001</v>
      </c>
      <c r="DT81" s="58">
        <v>27.867000000000001</v>
      </c>
      <c r="DU81" s="58">
        <v>320.17700000000002</v>
      </c>
      <c r="DV81" s="58">
        <v>149.81100000000001</v>
      </c>
      <c r="DW81" s="58">
        <v>170.36600000000001</v>
      </c>
      <c r="DX81" s="58">
        <v>160.13900000000001</v>
      </c>
      <c r="DY81" s="58">
        <v>96.798000000000002</v>
      </c>
      <c r="DZ81" s="58">
        <v>63.341999999999999</v>
      </c>
      <c r="EA81" s="58">
        <v>404.911</v>
      </c>
      <c r="EB81" s="58">
        <v>181.04900000000001</v>
      </c>
      <c r="EC81" s="58">
        <v>223.86199999999999</v>
      </c>
      <c r="ED81" s="58">
        <v>397.45400000000001</v>
      </c>
      <c r="EE81" s="58">
        <v>185.97900000000001</v>
      </c>
      <c r="EF81" s="58">
        <v>211.47499999999999</v>
      </c>
      <c r="EG81" s="58">
        <v>531.72799999999995</v>
      </c>
      <c r="EH81" s="58">
        <v>272.09100000000001</v>
      </c>
      <c r="EI81" s="58">
        <v>259.63799999999998</v>
      </c>
      <c r="EJ81" s="58">
        <v>119.473</v>
      </c>
      <c r="EK81" s="58">
        <v>88.644000000000005</v>
      </c>
      <c r="EL81" s="58">
        <v>30.827999999999999</v>
      </c>
      <c r="EM81" s="58">
        <v>412.25599999999997</v>
      </c>
      <c r="EN81" s="58">
        <v>183.446</v>
      </c>
      <c r="EO81" s="58">
        <v>228.81</v>
      </c>
      <c r="EP81" s="58">
        <v>211.751</v>
      </c>
      <c r="EQ81" s="58">
        <v>101.72199999999999</v>
      </c>
      <c r="ER81" s="58">
        <v>110.029</v>
      </c>
      <c r="ES81" s="58">
        <v>80.852999999999994</v>
      </c>
      <c r="ET81" s="58">
        <v>31.184000000000001</v>
      </c>
      <c r="EU81" s="58">
        <v>49.668999999999997</v>
      </c>
      <c r="EV81" s="58">
        <v>12.955</v>
      </c>
      <c r="EW81" s="58">
        <v>8.0839999999999996</v>
      </c>
      <c r="EX81" s="58">
        <v>4.8710000000000004</v>
      </c>
      <c r="EY81" s="58">
        <v>11.222</v>
      </c>
      <c r="EZ81" s="58">
        <v>6.351</v>
      </c>
      <c r="FA81" s="58">
        <v>4.8710000000000004</v>
      </c>
      <c r="FB81" s="58">
        <v>1.7330000000000001</v>
      </c>
      <c r="FC81" s="58">
        <v>1.7330000000000001</v>
      </c>
      <c r="FD81" s="58">
        <v>0</v>
      </c>
      <c r="FE81" s="58">
        <v>67.897999999999996</v>
      </c>
      <c r="FF81" s="58">
        <v>23.1</v>
      </c>
      <c r="FG81" s="58">
        <v>44.798000000000002</v>
      </c>
      <c r="FH81" s="58">
        <v>169.381</v>
      </c>
      <c r="FI81" s="58">
        <v>85.448999999999998</v>
      </c>
      <c r="FJ81" s="58">
        <v>83.932000000000002</v>
      </c>
      <c r="FK81" s="58">
        <v>18.134</v>
      </c>
      <c r="FL81" s="58">
        <v>12.760999999999999</v>
      </c>
      <c r="FM81" s="58">
        <v>5.3730000000000002</v>
      </c>
      <c r="FN81" s="58">
        <v>151.24799999999999</v>
      </c>
      <c r="FO81" s="58">
        <v>72.688999999999993</v>
      </c>
      <c r="FP81" s="58">
        <v>78.558999999999997</v>
      </c>
      <c r="FQ81" s="58">
        <v>29.765000000000001</v>
      </c>
      <c r="FR81" s="58">
        <v>20.844000000000001</v>
      </c>
      <c r="FS81" s="58">
        <v>8.9209999999999994</v>
      </c>
      <c r="FT81" s="58">
        <v>181.98599999999999</v>
      </c>
      <c r="FU81" s="58">
        <v>80.878</v>
      </c>
      <c r="FV81" s="58">
        <v>101.108</v>
      </c>
      <c r="FW81" s="58">
        <v>162.46899999999999</v>
      </c>
      <c r="FX81" s="58">
        <v>79.040000000000006</v>
      </c>
      <c r="FY81" s="58">
        <v>83.43</v>
      </c>
      <c r="FZ81" s="58">
        <v>1084.1030000000001</v>
      </c>
      <c r="GA81" s="58">
        <v>556.61500000000001</v>
      </c>
      <c r="GB81" s="58">
        <v>527.48800000000006</v>
      </c>
      <c r="GC81" s="58">
        <v>624.47</v>
      </c>
      <c r="GD81" s="58">
        <v>364.10899999999998</v>
      </c>
      <c r="GE81" s="58">
        <v>260.36099999999999</v>
      </c>
      <c r="GF81" s="58">
        <v>459.63299999999998</v>
      </c>
      <c r="GG81" s="58">
        <v>192.506</v>
      </c>
      <c r="GH81" s="58">
        <v>267.12700000000001</v>
      </c>
      <c r="GI81" s="58">
        <v>353.3</v>
      </c>
      <c r="GJ81" s="58">
        <v>176.125</v>
      </c>
      <c r="GK81" s="58">
        <v>177.17500000000001</v>
      </c>
      <c r="GL81" s="58">
        <v>180.04900000000001</v>
      </c>
      <c r="GM81" s="58">
        <v>86.453999999999994</v>
      </c>
      <c r="GN81" s="58">
        <v>93.593999999999994</v>
      </c>
      <c r="GO81" s="58">
        <v>78.789000000000001</v>
      </c>
      <c r="GP81" s="58">
        <v>39.072000000000003</v>
      </c>
      <c r="GQ81" s="58">
        <v>39.716999999999999</v>
      </c>
      <c r="GR81" s="58">
        <v>66.055000000000007</v>
      </c>
      <c r="GS81" s="58">
        <v>29.817</v>
      </c>
      <c r="GT81" s="58">
        <v>36.238</v>
      </c>
      <c r="GU81" s="58">
        <v>12.734</v>
      </c>
      <c r="GV81" s="58">
        <v>9.2550000000000008</v>
      </c>
      <c r="GW81" s="58">
        <v>3.4790000000000001</v>
      </c>
      <c r="GX81" s="58">
        <v>101.259</v>
      </c>
      <c r="GY81" s="58">
        <v>47.381999999999998</v>
      </c>
      <c r="GZ81" s="58">
        <v>53.877000000000002</v>
      </c>
      <c r="HA81" s="58">
        <v>235.49199999999999</v>
      </c>
      <c r="HB81" s="58">
        <v>121.19</v>
      </c>
      <c r="HC81" s="58">
        <v>114.301</v>
      </c>
      <c r="HD81" s="58">
        <v>66.561999999999998</v>
      </c>
      <c r="HE81" s="58">
        <v>44.067999999999998</v>
      </c>
      <c r="HF81" s="58">
        <v>22.494</v>
      </c>
      <c r="HG81" s="58">
        <v>168.93</v>
      </c>
      <c r="HH81" s="58">
        <v>77.122</v>
      </c>
      <c r="HI81" s="58">
        <v>91.807000000000002</v>
      </c>
      <c r="HJ81" s="58">
        <v>130.374</v>
      </c>
      <c r="HK81" s="58">
        <v>75.953000000000003</v>
      </c>
      <c r="HL81" s="58">
        <v>54.420999999999999</v>
      </c>
      <c r="HM81" s="58">
        <v>222.92500000000001</v>
      </c>
      <c r="HN81" s="58">
        <v>100.172</v>
      </c>
      <c r="HO81" s="58">
        <v>122.754</v>
      </c>
      <c r="HP81" s="58">
        <v>234.98500000000001</v>
      </c>
      <c r="HQ81" s="58">
        <v>106.93899999999999</v>
      </c>
      <c r="HR81" s="58">
        <v>128.04499999999999</v>
      </c>
      <c r="HS81" s="58">
        <v>2892.0790000000002</v>
      </c>
      <c r="HT81" s="58">
        <v>1544.1010000000001</v>
      </c>
      <c r="HU81" s="58">
        <v>1347.9780000000001</v>
      </c>
      <c r="HV81" s="58">
        <v>2251.4090000000001</v>
      </c>
      <c r="HW81" s="58">
        <v>1348.3610000000001</v>
      </c>
      <c r="HX81" s="58">
        <v>903.04899999999998</v>
      </c>
      <c r="HY81" s="58">
        <v>640.66999999999996</v>
      </c>
      <c r="HZ81" s="58">
        <v>195.74100000000001</v>
      </c>
      <c r="IA81" s="58">
        <v>444.92899999999997</v>
      </c>
      <c r="IB81" s="58">
        <v>647.41099999999994</v>
      </c>
      <c r="IC81" s="58">
        <v>374.08300000000003</v>
      </c>
      <c r="ID81" s="58">
        <v>273.32799999999997</v>
      </c>
      <c r="IE81" s="58">
        <v>346.815</v>
      </c>
      <c r="IF81" s="58">
        <v>188.45699999999999</v>
      </c>
      <c r="IG81" s="58">
        <v>158.35900000000001</v>
      </c>
      <c r="IH81" s="58">
        <v>241.20500000000001</v>
      </c>
      <c r="II81" s="58">
        <v>149.328</v>
      </c>
      <c r="IJ81" s="58">
        <v>91.876999999999995</v>
      </c>
      <c r="IK81" s="58">
        <v>205.43799999999999</v>
      </c>
      <c r="IL81" s="58">
        <v>124.267</v>
      </c>
      <c r="IM81" s="58">
        <v>81.17</v>
      </c>
      <c r="IN81" s="58">
        <v>35.767000000000003</v>
      </c>
      <c r="IO81" s="58">
        <v>25.06</v>
      </c>
      <c r="IP81" s="58">
        <v>10.707000000000001</v>
      </c>
      <c r="IQ81" s="58">
        <v>105.61</v>
      </c>
    </row>
    <row r="82" spans="1:251">
      <c r="A82" s="5">
        <v>43983</v>
      </c>
      <c r="B82" s="58">
        <v>12392.464</v>
      </c>
      <c r="C82" s="58">
        <v>6554.3289999999997</v>
      </c>
      <c r="D82" s="58">
        <v>5838.1350000000002</v>
      </c>
      <c r="E82" s="58">
        <v>8499.8019999999997</v>
      </c>
      <c r="F82" s="58">
        <v>5319.68</v>
      </c>
      <c r="G82" s="58">
        <v>3180.1219999999998</v>
      </c>
      <c r="H82" s="58">
        <v>3892.6619999999998</v>
      </c>
      <c r="I82" s="58">
        <v>1234.6500000000001</v>
      </c>
      <c r="J82" s="58">
        <v>2658.0120000000002</v>
      </c>
      <c r="K82" s="58">
        <v>2529.1669999999999</v>
      </c>
      <c r="L82" s="58">
        <v>1376.4590000000001</v>
      </c>
      <c r="M82" s="58">
        <v>1152.7080000000001</v>
      </c>
      <c r="N82" s="58">
        <v>1152.905</v>
      </c>
      <c r="O82" s="58">
        <v>643.76099999999997</v>
      </c>
      <c r="P82" s="58">
        <v>509.14400000000001</v>
      </c>
      <c r="Q82" s="58">
        <v>622.22</v>
      </c>
      <c r="R82" s="58">
        <v>424.47300000000001</v>
      </c>
      <c r="S82" s="58">
        <v>197.74700000000001</v>
      </c>
      <c r="T82" s="58">
        <v>495.274</v>
      </c>
      <c r="U82" s="58">
        <v>325.30700000000002</v>
      </c>
      <c r="V82" s="58">
        <v>169.96700000000001</v>
      </c>
      <c r="W82" s="58">
        <v>126.946</v>
      </c>
      <c r="X82" s="58">
        <v>99.165999999999997</v>
      </c>
      <c r="Y82" s="58">
        <v>27.78</v>
      </c>
      <c r="Z82" s="58">
        <v>530.68499999999995</v>
      </c>
      <c r="AA82" s="58">
        <v>219.28800000000001</v>
      </c>
      <c r="AB82" s="58">
        <v>311.39699999999999</v>
      </c>
      <c r="AC82" s="58">
        <v>1745.7460000000001</v>
      </c>
      <c r="AD82" s="58">
        <v>944.93200000000002</v>
      </c>
      <c r="AE82" s="58">
        <v>800.81500000000005</v>
      </c>
      <c r="AF82" s="58">
        <v>692.02599999999995</v>
      </c>
      <c r="AG82" s="58">
        <v>513.65</v>
      </c>
      <c r="AH82" s="58">
        <v>178.375</v>
      </c>
      <c r="AI82" s="58">
        <v>1053.721</v>
      </c>
      <c r="AJ82" s="58">
        <v>431.28100000000001</v>
      </c>
      <c r="AK82" s="58">
        <v>622.43899999999996</v>
      </c>
      <c r="AL82" s="58">
        <v>1181.932</v>
      </c>
      <c r="AM82" s="58">
        <v>837.34400000000005</v>
      </c>
      <c r="AN82" s="58">
        <v>344.58800000000002</v>
      </c>
      <c r="AO82" s="58">
        <v>1347.2349999999999</v>
      </c>
      <c r="AP82" s="58">
        <v>539.11500000000001</v>
      </c>
      <c r="AQ82" s="58">
        <v>808.12</v>
      </c>
      <c r="AR82" s="58">
        <v>1548.9949999999999</v>
      </c>
      <c r="AS82" s="58">
        <v>756.58900000000006</v>
      </c>
      <c r="AT82" s="58">
        <v>792.40700000000004</v>
      </c>
      <c r="AU82" s="58">
        <v>11828.688</v>
      </c>
      <c r="AV82" s="58">
        <v>6219.6670000000004</v>
      </c>
      <c r="AW82" s="58">
        <v>5609.0209999999997</v>
      </c>
      <c r="AX82" s="58">
        <v>8248.9359999999997</v>
      </c>
      <c r="AY82" s="58">
        <v>5144.9639999999999</v>
      </c>
      <c r="AZ82" s="58">
        <v>3103.971</v>
      </c>
      <c r="BA82" s="58">
        <v>3579.7530000000002</v>
      </c>
      <c r="BB82" s="58">
        <v>1074.702</v>
      </c>
      <c r="BC82" s="58">
        <v>2505.0500000000002</v>
      </c>
      <c r="BD82" s="58">
        <v>2433.9920000000002</v>
      </c>
      <c r="BE82" s="58">
        <v>1312.8679999999999</v>
      </c>
      <c r="BF82" s="58">
        <v>1121.124</v>
      </c>
      <c r="BG82" s="58">
        <v>1086.1679999999999</v>
      </c>
      <c r="BH82" s="58">
        <v>600.10199999999998</v>
      </c>
      <c r="BI82" s="58">
        <v>486.06599999999997</v>
      </c>
      <c r="BJ82" s="58">
        <v>598.83299999999997</v>
      </c>
      <c r="BK82" s="58">
        <v>406.46300000000002</v>
      </c>
      <c r="BL82" s="58">
        <v>192.37</v>
      </c>
      <c r="BM82" s="58">
        <v>478.28500000000003</v>
      </c>
      <c r="BN82" s="58">
        <v>312.39299999999997</v>
      </c>
      <c r="BO82" s="58">
        <v>165.892</v>
      </c>
      <c r="BP82" s="58">
        <v>120.548</v>
      </c>
      <c r="BQ82" s="58">
        <v>94.07</v>
      </c>
      <c r="BR82" s="58">
        <v>26.478000000000002</v>
      </c>
      <c r="BS82" s="58">
        <v>487.33499999999998</v>
      </c>
      <c r="BT82" s="58">
        <v>193.63900000000001</v>
      </c>
      <c r="BU82" s="58">
        <v>293.69600000000003</v>
      </c>
      <c r="BV82" s="58">
        <v>1704.77</v>
      </c>
      <c r="BW82" s="58">
        <v>915.31899999999996</v>
      </c>
      <c r="BX82" s="58">
        <v>789.45100000000002</v>
      </c>
      <c r="BY82" s="58">
        <v>681.50699999999995</v>
      </c>
      <c r="BZ82" s="58">
        <v>504.55700000000002</v>
      </c>
      <c r="CA82" s="58">
        <v>176.95</v>
      </c>
      <c r="CB82" s="58">
        <v>1023.263</v>
      </c>
      <c r="CC82" s="58">
        <v>410.762</v>
      </c>
      <c r="CD82" s="58">
        <v>612.50199999999995</v>
      </c>
      <c r="CE82" s="58">
        <v>1150.9179999999999</v>
      </c>
      <c r="CF82" s="58">
        <v>812.423</v>
      </c>
      <c r="CG82" s="58">
        <v>338.495</v>
      </c>
      <c r="CH82" s="58">
        <v>1283.0740000000001</v>
      </c>
      <c r="CI82" s="58">
        <v>500.44600000000003</v>
      </c>
      <c r="CJ82" s="58">
        <v>782.62800000000004</v>
      </c>
      <c r="CK82" s="58">
        <v>1501.549</v>
      </c>
      <c r="CL82" s="58">
        <v>723.15499999999997</v>
      </c>
      <c r="CM82" s="58">
        <v>778.39400000000001</v>
      </c>
      <c r="CN82" s="58">
        <v>1690.078</v>
      </c>
      <c r="CO82" s="58">
        <v>855.56799999999998</v>
      </c>
      <c r="CP82" s="58">
        <v>834.51</v>
      </c>
      <c r="CQ82" s="58">
        <v>748.447</v>
      </c>
      <c r="CR82" s="58">
        <v>446.03500000000003</v>
      </c>
      <c r="CS82" s="58">
        <v>302.41199999999998</v>
      </c>
      <c r="CT82" s="58">
        <v>941.63</v>
      </c>
      <c r="CU82" s="58">
        <v>409.53300000000002</v>
      </c>
      <c r="CV82" s="58">
        <v>532.09799999999996</v>
      </c>
      <c r="CW82" s="58">
        <v>534.13699999999994</v>
      </c>
      <c r="CX82" s="58">
        <v>277.24599999999998</v>
      </c>
      <c r="CY82" s="58">
        <v>256.89100000000002</v>
      </c>
      <c r="CZ82" s="58">
        <v>194.30500000000001</v>
      </c>
      <c r="DA82" s="58">
        <v>103.593</v>
      </c>
      <c r="DB82" s="58">
        <v>90.712000000000003</v>
      </c>
      <c r="DC82" s="58">
        <v>56.043999999999997</v>
      </c>
      <c r="DD82" s="58">
        <v>36.594000000000001</v>
      </c>
      <c r="DE82" s="58">
        <v>19.451000000000001</v>
      </c>
      <c r="DF82" s="58">
        <v>49.758000000000003</v>
      </c>
      <c r="DG82" s="58">
        <v>30.434000000000001</v>
      </c>
      <c r="DH82" s="58">
        <v>19.324999999999999</v>
      </c>
      <c r="DI82" s="58">
        <v>6.2859999999999996</v>
      </c>
      <c r="DJ82" s="58">
        <v>6.16</v>
      </c>
      <c r="DK82" s="58">
        <v>0.126</v>
      </c>
      <c r="DL82" s="58">
        <v>138.26</v>
      </c>
      <c r="DM82" s="58">
        <v>66.998999999999995</v>
      </c>
      <c r="DN82" s="58">
        <v>71.260999999999996</v>
      </c>
      <c r="DO82" s="58">
        <v>429.40899999999999</v>
      </c>
      <c r="DP82" s="58">
        <v>223.679</v>
      </c>
      <c r="DQ82" s="58">
        <v>205.73</v>
      </c>
      <c r="DR82" s="58">
        <v>95.605000000000004</v>
      </c>
      <c r="DS82" s="58">
        <v>71.168999999999997</v>
      </c>
      <c r="DT82" s="58">
        <v>24.436</v>
      </c>
      <c r="DU82" s="58">
        <v>333.80399999999997</v>
      </c>
      <c r="DV82" s="58">
        <v>152.51</v>
      </c>
      <c r="DW82" s="58">
        <v>181.29300000000001</v>
      </c>
      <c r="DX82" s="58">
        <v>133.39599999999999</v>
      </c>
      <c r="DY82" s="58">
        <v>93.968000000000004</v>
      </c>
      <c r="DZ82" s="58">
        <v>39.427999999999997</v>
      </c>
      <c r="EA82" s="58">
        <v>400.74099999999999</v>
      </c>
      <c r="EB82" s="58">
        <v>183.27799999999999</v>
      </c>
      <c r="EC82" s="58">
        <v>217.46299999999999</v>
      </c>
      <c r="ED82" s="58">
        <v>383.56200000000001</v>
      </c>
      <c r="EE82" s="58">
        <v>182.94399999999999</v>
      </c>
      <c r="EF82" s="58">
        <v>200.61799999999999</v>
      </c>
      <c r="EG82" s="58">
        <v>574.61099999999999</v>
      </c>
      <c r="EH82" s="58">
        <v>286.18799999999999</v>
      </c>
      <c r="EI82" s="58">
        <v>288.423</v>
      </c>
      <c r="EJ82" s="58">
        <v>123.96</v>
      </c>
      <c r="EK82" s="58">
        <v>82.771000000000001</v>
      </c>
      <c r="EL82" s="58">
        <v>41.189</v>
      </c>
      <c r="EM82" s="58">
        <v>450.65100000000001</v>
      </c>
      <c r="EN82" s="58">
        <v>203.417</v>
      </c>
      <c r="EO82" s="58">
        <v>247.23400000000001</v>
      </c>
      <c r="EP82" s="58">
        <v>205.273</v>
      </c>
      <c r="EQ82" s="58">
        <v>98.114000000000004</v>
      </c>
      <c r="ER82" s="58">
        <v>107.15900000000001</v>
      </c>
      <c r="ES82" s="58">
        <v>65.59</v>
      </c>
      <c r="ET82" s="58">
        <v>32.613999999999997</v>
      </c>
      <c r="EU82" s="58">
        <v>32.975999999999999</v>
      </c>
      <c r="EV82" s="58">
        <v>6.5759999999999996</v>
      </c>
      <c r="EW82" s="58">
        <v>4.3899999999999997</v>
      </c>
      <c r="EX82" s="58">
        <v>2.1859999999999999</v>
      </c>
      <c r="EY82" s="58">
        <v>5.1849999999999996</v>
      </c>
      <c r="EZ82" s="58">
        <v>2.9990000000000001</v>
      </c>
      <c r="FA82" s="58">
        <v>2.1859999999999999</v>
      </c>
      <c r="FB82" s="58">
        <v>1.391</v>
      </c>
      <c r="FC82" s="58">
        <v>1.391</v>
      </c>
      <c r="FD82" s="58">
        <v>0</v>
      </c>
      <c r="FE82" s="58">
        <v>59.015000000000001</v>
      </c>
      <c r="FF82" s="58">
        <v>28.224</v>
      </c>
      <c r="FG82" s="58">
        <v>30.791</v>
      </c>
      <c r="FH82" s="58">
        <v>170.62100000000001</v>
      </c>
      <c r="FI82" s="58">
        <v>81.706000000000003</v>
      </c>
      <c r="FJ82" s="58">
        <v>88.915999999999997</v>
      </c>
      <c r="FK82" s="58">
        <v>16.547999999999998</v>
      </c>
      <c r="FL82" s="58">
        <v>12.675000000000001</v>
      </c>
      <c r="FM82" s="58">
        <v>3.8740000000000001</v>
      </c>
      <c r="FN82" s="58">
        <v>154.07300000000001</v>
      </c>
      <c r="FO82" s="58">
        <v>69.031000000000006</v>
      </c>
      <c r="FP82" s="58">
        <v>85.042000000000002</v>
      </c>
      <c r="FQ82" s="58">
        <v>21.247</v>
      </c>
      <c r="FR82" s="58">
        <v>15.941000000000001</v>
      </c>
      <c r="FS82" s="58">
        <v>5.306</v>
      </c>
      <c r="FT82" s="58">
        <v>184.02600000000001</v>
      </c>
      <c r="FU82" s="58">
        <v>82.173000000000002</v>
      </c>
      <c r="FV82" s="58">
        <v>101.85299999999999</v>
      </c>
      <c r="FW82" s="58">
        <v>159.25800000000001</v>
      </c>
      <c r="FX82" s="58">
        <v>72.03</v>
      </c>
      <c r="FY82" s="58">
        <v>87.227999999999994</v>
      </c>
      <c r="FZ82" s="58">
        <v>1115.4659999999999</v>
      </c>
      <c r="GA82" s="58">
        <v>569.38</v>
      </c>
      <c r="GB82" s="58">
        <v>546.08699999999999</v>
      </c>
      <c r="GC82" s="58">
        <v>624.48699999999997</v>
      </c>
      <c r="GD82" s="58">
        <v>363.26400000000001</v>
      </c>
      <c r="GE82" s="58">
        <v>261.22300000000001</v>
      </c>
      <c r="GF82" s="58">
        <v>490.97899999999998</v>
      </c>
      <c r="GG82" s="58">
        <v>206.11600000000001</v>
      </c>
      <c r="GH82" s="58">
        <v>284.863</v>
      </c>
      <c r="GI82" s="58">
        <v>328.86399999999998</v>
      </c>
      <c r="GJ82" s="58">
        <v>179.13200000000001</v>
      </c>
      <c r="GK82" s="58">
        <v>149.733</v>
      </c>
      <c r="GL82" s="58">
        <v>128.714</v>
      </c>
      <c r="GM82" s="58">
        <v>70.978999999999999</v>
      </c>
      <c r="GN82" s="58">
        <v>57.734999999999999</v>
      </c>
      <c r="GO82" s="58">
        <v>49.469000000000001</v>
      </c>
      <c r="GP82" s="58">
        <v>32.204000000000001</v>
      </c>
      <c r="GQ82" s="58">
        <v>17.265000000000001</v>
      </c>
      <c r="GR82" s="58">
        <v>44.573999999999998</v>
      </c>
      <c r="GS82" s="58">
        <v>27.434999999999999</v>
      </c>
      <c r="GT82" s="58">
        <v>17.138999999999999</v>
      </c>
      <c r="GU82" s="58">
        <v>4.8949999999999996</v>
      </c>
      <c r="GV82" s="58">
        <v>4.7690000000000001</v>
      </c>
      <c r="GW82" s="58">
        <v>0.126</v>
      </c>
      <c r="GX82" s="58">
        <v>79.245000000000005</v>
      </c>
      <c r="GY82" s="58">
        <v>38.774999999999999</v>
      </c>
      <c r="GZ82" s="58">
        <v>40.470999999999997</v>
      </c>
      <c r="HA82" s="58">
        <v>258.78699999999998</v>
      </c>
      <c r="HB82" s="58">
        <v>141.97300000000001</v>
      </c>
      <c r="HC82" s="58">
        <v>116.81399999999999</v>
      </c>
      <c r="HD82" s="58">
        <v>79.055999999999997</v>
      </c>
      <c r="HE82" s="58">
        <v>58.494</v>
      </c>
      <c r="HF82" s="58">
        <v>20.562000000000001</v>
      </c>
      <c r="HG82" s="58">
        <v>179.73099999999999</v>
      </c>
      <c r="HH82" s="58">
        <v>83.478999999999999</v>
      </c>
      <c r="HI82" s="58">
        <v>96.251000000000005</v>
      </c>
      <c r="HJ82" s="58">
        <v>112.149</v>
      </c>
      <c r="HK82" s="58">
        <v>78.027000000000001</v>
      </c>
      <c r="HL82" s="58">
        <v>34.122</v>
      </c>
      <c r="HM82" s="58">
        <v>216.715</v>
      </c>
      <c r="HN82" s="58">
        <v>101.105</v>
      </c>
      <c r="HO82" s="58">
        <v>115.61</v>
      </c>
      <c r="HP82" s="58">
        <v>224.304</v>
      </c>
      <c r="HQ82" s="58">
        <v>110.914</v>
      </c>
      <c r="HR82" s="58">
        <v>113.39</v>
      </c>
      <c r="HS82" s="58">
        <v>2928.1660000000002</v>
      </c>
      <c r="HT82" s="58">
        <v>1554.7470000000001</v>
      </c>
      <c r="HU82" s="58">
        <v>1373.4190000000001</v>
      </c>
      <c r="HV82" s="58">
        <v>2227.8980000000001</v>
      </c>
      <c r="HW82" s="58">
        <v>1334.796</v>
      </c>
      <c r="HX82" s="58">
        <v>893.10199999999998</v>
      </c>
      <c r="HY82" s="58">
        <v>700.26800000000003</v>
      </c>
      <c r="HZ82" s="58">
        <v>219.95099999999999</v>
      </c>
      <c r="IA82" s="58">
        <v>480.31700000000001</v>
      </c>
      <c r="IB82" s="58">
        <v>610.15700000000004</v>
      </c>
      <c r="IC82" s="58">
        <v>360.12700000000001</v>
      </c>
      <c r="ID82" s="58">
        <v>250.03</v>
      </c>
      <c r="IE82" s="58">
        <v>258.351</v>
      </c>
      <c r="IF82" s="58">
        <v>150.93299999999999</v>
      </c>
      <c r="IG82" s="58">
        <v>107.41800000000001</v>
      </c>
      <c r="IH82" s="58">
        <v>169.571</v>
      </c>
      <c r="II82" s="58">
        <v>110.357</v>
      </c>
      <c r="IJ82" s="58">
        <v>59.213999999999999</v>
      </c>
      <c r="IK82" s="58">
        <v>138.46600000000001</v>
      </c>
      <c r="IL82" s="58">
        <v>88.087999999999994</v>
      </c>
      <c r="IM82" s="58">
        <v>50.378</v>
      </c>
      <c r="IN82" s="58">
        <v>31.105</v>
      </c>
      <c r="IO82" s="58">
        <v>22.268999999999998</v>
      </c>
      <c r="IP82" s="58">
        <v>8.8350000000000009</v>
      </c>
      <c r="IQ82" s="58">
        <v>88.78</v>
      </c>
    </row>
    <row r="83" spans="1:251">
      <c r="A83" s="5">
        <v>44013</v>
      </c>
      <c r="B83" s="58">
        <v>12471.966</v>
      </c>
      <c r="C83" s="58">
        <v>6592.0439999999999</v>
      </c>
      <c r="D83" s="58">
        <v>5879.9219999999996</v>
      </c>
      <c r="E83" s="58">
        <v>8565.8850000000002</v>
      </c>
      <c r="F83" s="58">
        <v>5337.0290000000005</v>
      </c>
      <c r="G83" s="58">
        <v>3228.8560000000002</v>
      </c>
      <c r="H83" s="58">
        <v>3906.0810000000001</v>
      </c>
      <c r="I83" s="58">
        <v>1255.0150000000001</v>
      </c>
      <c r="J83" s="58">
        <v>2651.0659999999998</v>
      </c>
      <c r="K83" s="58">
        <v>2412.212</v>
      </c>
      <c r="L83" s="58">
        <v>1340.8869999999999</v>
      </c>
      <c r="M83" s="58">
        <v>1071.326</v>
      </c>
      <c r="N83" s="58">
        <v>984.22400000000005</v>
      </c>
      <c r="O83" s="58">
        <v>576.322</v>
      </c>
      <c r="P83" s="58">
        <v>407.90199999999999</v>
      </c>
      <c r="Q83" s="58">
        <v>566.88400000000001</v>
      </c>
      <c r="R83" s="58">
        <v>399.37099999999998</v>
      </c>
      <c r="S83" s="58">
        <v>167.51300000000001</v>
      </c>
      <c r="T83" s="58">
        <v>438.59500000000003</v>
      </c>
      <c r="U83" s="58">
        <v>303.96800000000002</v>
      </c>
      <c r="V83" s="58">
        <v>134.62700000000001</v>
      </c>
      <c r="W83" s="58">
        <v>128.28899999999999</v>
      </c>
      <c r="X83" s="58">
        <v>95.403000000000006</v>
      </c>
      <c r="Y83" s="58">
        <v>32.886000000000003</v>
      </c>
      <c r="Z83" s="58">
        <v>417.34</v>
      </c>
      <c r="AA83" s="58">
        <v>176.95099999999999</v>
      </c>
      <c r="AB83" s="58">
        <v>240.38900000000001</v>
      </c>
      <c r="AC83" s="58">
        <v>1759.616</v>
      </c>
      <c r="AD83" s="58">
        <v>960.23400000000004</v>
      </c>
      <c r="AE83" s="58">
        <v>799.38199999999995</v>
      </c>
      <c r="AF83" s="58">
        <v>685.50300000000004</v>
      </c>
      <c r="AG83" s="58">
        <v>518.46500000000003</v>
      </c>
      <c r="AH83" s="58">
        <v>167.03800000000001</v>
      </c>
      <c r="AI83" s="58">
        <v>1074.1130000000001</v>
      </c>
      <c r="AJ83" s="58">
        <v>441.76900000000001</v>
      </c>
      <c r="AK83" s="58">
        <v>632.34400000000005</v>
      </c>
      <c r="AL83" s="58">
        <v>1122.95</v>
      </c>
      <c r="AM83" s="58">
        <v>812.77099999999996</v>
      </c>
      <c r="AN83" s="58">
        <v>310.178</v>
      </c>
      <c r="AO83" s="58">
        <v>1289.2629999999999</v>
      </c>
      <c r="AP83" s="58">
        <v>528.11599999999999</v>
      </c>
      <c r="AQ83" s="58">
        <v>761.14700000000005</v>
      </c>
      <c r="AR83" s="58">
        <v>1512.7080000000001</v>
      </c>
      <c r="AS83" s="58">
        <v>745.73699999999997</v>
      </c>
      <c r="AT83" s="58">
        <v>766.971</v>
      </c>
      <c r="AU83" s="58">
        <v>11905.235000000001</v>
      </c>
      <c r="AV83" s="58">
        <v>6247.116</v>
      </c>
      <c r="AW83" s="58">
        <v>5658.1189999999997</v>
      </c>
      <c r="AX83" s="58">
        <v>8311.9439999999995</v>
      </c>
      <c r="AY83" s="58">
        <v>5153.8190000000004</v>
      </c>
      <c r="AZ83" s="58">
        <v>3158.1260000000002</v>
      </c>
      <c r="BA83" s="58">
        <v>3593.29</v>
      </c>
      <c r="BB83" s="58">
        <v>1093.297</v>
      </c>
      <c r="BC83" s="58">
        <v>2499.9929999999999</v>
      </c>
      <c r="BD83" s="58">
        <v>2330.48</v>
      </c>
      <c r="BE83" s="58">
        <v>1284.816</v>
      </c>
      <c r="BF83" s="58">
        <v>1045.664</v>
      </c>
      <c r="BG83" s="58">
        <v>926.57600000000002</v>
      </c>
      <c r="BH83" s="58">
        <v>537.23699999999997</v>
      </c>
      <c r="BI83" s="58">
        <v>389.34</v>
      </c>
      <c r="BJ83" s="58">
        <v>548.15200000000004</v>
      </c>
      <c r="BK83" s="58">
        <v>383.48200000000003</v>
      </c>
      <c r="BL83" s="58">
        <v>164.66900000000001</v>
      </c>
      <c r="BM83" s="58">
        <v>423.35</v>
      </c>
      <c r="BN83" s="58">
        <v>291.065</v>
      </c>
      <c r="BO83" s="58">
        <v>132.285</v>
      </c>
      <c r="BP83" s="58">
        <v>124.80200000000001</v>
      </c>
      <c r="BQ83" s="58">
        <v>92.418000000000006</v>
      </c>
      <c r="BR83" s="58">
        <v>32.384</v>
      </c>
      <c r="BS83" s="58">
        <v>378.42500000000001</v>
      </c>
      <c r="BT83" s="58">
        <v>153.75399999999999</v>
      </c>
      <c r="BU83" s="58">
        <v>224.67099999999999</v>
      </c>
      <c r="BV83" s="58">
        <v>1725.729</v>
      </c>
      <c r="BW83" s="58">
        <v>935.346</v>
      </c>
      <c r="BX83" s="58">
        <v>790.38300000000004</v>
      </c>
      <c r="BY83" s="58">
        <v>676.76599999999996</v>
      </c>
      <c r="BZ83" s="58">
        <v>510.68</v>
      </c>
      <c r="CA83" s="58">
        <v>166.08600000000001</v>
      </c>
      <c r="CB83" s="58">
        <v>1048.963</v>
      </c>
      <c r="CC83" s="58">
        <v>424.666</v>
      </c>
      <c r="CD83" s="58">
        <v>624.29700000000003</v>
      </c>
      <c r="CE83" s="58">
        <v>1097.702</v>
      </c>
      <c r="CF83" s="58">
        <v>791.32</v>
      </c>
      <c r="CG83" s="58">
        <v>306.38299999999998</v>
      </c>
      <c r="CH83" s="58">
        <v>1232.778</v>
      </c>
      <c r="CI83" s="58">
        <v>493.49599999999998</v>
      </c>
      <c r="CJ83" s="58">
        <v>739.28099999999995</v>
      </c>
      <c r="CK83" s="58">
        <v>1472.3130000000001</v>
      </c>
      <c r="CL83" s="58">
        <v>715.73</v>
      </c>
      <c r="CM83" s="58">
        <v>756.58199999999999</v>
      </c>
      <c r="CN83" s="58">
        <v>1751.8820000000001</v>
      </c>
      <c r="CO83" s="58">
        <v>884.66700000000003</v>
      </c>
      <c r="CP83" s="58">
        <v>867.21500000000003</v>
      </c>
      <c r="CQ83" s="58">
        <v>778.82399999999996</v>
      </c>
      <c r="CR83" s="58">
        <v>453.78800000000001</v>
      </c>
      <c r="CS83" s="58">
        <v>325.03500000000003</v>
      </c>
      <c r="CT83" s="58">
        <v>973.05799999999999</v>
      </c>
      <c r="CU83" s="58">
        <v>430.87799999999999</v>
      </c>
      <c r="CV83" s="58">
        <v>542.17999999999995</v>
      </c>
      <c r="CW83" s="58">
        <v>530.03499999999997</v>
      </c>
      <c r="CX83" s="58">
        <v>279.72500000000002</v>
      </c>
      <c r="CY83" s="58">
        <v>250.31</v>
      </c>
      <c r="CZ83" s="58">
        <v>153.92699999999999</v>
      </c>
      <c r="DA83" s="58">
        <v>79.260000000000005</v>
      </c>
      <c r="DB83" s="58">
        <v>74.665999999999997</v>
      </c>
      <c r="DC83" s="58">
        <v>51.911000000000001</v>
      </c>
      <c r="DD83" s="58">
        <v>30.619</v>
      </c>
      <c r="DE83" s="58">
        <v>21.291</v>
      </c>
      <c r="DF83" s="58">
        <v>41.618000000000002</v>
      </c>
      <c r="DG83" s="58">
        <v>23.125</v>
      </c>
      <c r="DH83" s="58">
        <v>18.492999999999999</v>
      </c>
      <c r="DI83" s="58">
        <v>10.292999999999999</v>
      </c>
      <c r="DJ83" s="58">
        <v>7.4939999999999998</v>
      </c>
      <c r="DK83" s="58">
        <v>2.798</v>
      </c>
      <c r="DL83" s="58">
        <v>102.01600000000001</v>
      </c>
      <c r="DM83" s="58">
        <v>48.640999999999998</v>
      </c>
      <c r="DN83" s="58">
        <v>53.375</v>
      </c>
      <c r="DO83" s="58">
        <v>446.58300000000003</v>
      </c>
      <c r="DP83" s="58">
        <v>240.27</v>
      </c>
      <c r="DQ83" s="58">
        <v>206.31200000000001</v>
      </c>
      <c r="DR83" s="58">
        <v>93.816000000000003</v>
      </c>
      <c r="DS83" s="58">
        <v>65.488</v>
      </c>
      <c r="DT83" s="58">
        <v>28.327999999999999</v>
      </c>
      <c r="DU83" s="58">
        <v>352.767</v>
      </c>
      <c r="DV83" s="58">
        <v>174.78200000000001</v>
      </c>
      <c r="DW83" s="58">
        <v>177.98500000000001</v>
      </c>
      <c r="DX83" s="58">
        <v>131.26900000000001</v>
      </c>
      <c r="DY83" s="58">
        <v>85.302999999999997</v>
      </c>
      <c r="DZ83" s="58">
        <v>45.966000000000001</v>
      </c>
      <c r="EA83" s="58">
        <v>398.76600000000002</v>
      </c>
      <c r="EB83" s="58">
        <v>194.422</v>
      </c>
      <c r="EC83" s="58">
        <v>204.34399999999999</v>
      </c>
      <c r="ED83" s="58">
        <v>394.38499999999999</v>
      </c>
      <c r="EE83" s="58">
        <v>197.90799999999999</v>
      </c>
      <c r="EF83" s="58">
        <v>196.47800000000001</v>
      </c>
      <c r="EG83" s="58">
        <v>609.52800000000002</v>
      </c>
      <c r="EH83" s="58">
        <v>303.47000000000003</v>
      </c>
      <c r="EI83" s="58">
        <v>306.05900000000003</v>
      </c>
      <c r="EJ83" s="58">
        <v>136.494</v>
      </c>
      <c r="EK83" s="58">
        <v>94.040999999999997</v>
      </c>
      <c r="EL83" s="58">
        <v>42.453000000000003</v>
      </c>
      <c r="EM83" s="58">
        <v>473.03500000000003</v>
      </c>
      <c r="EN83" s="58">
        <v>209.429</v>
      </c>
      <c r="EO83" s="58">
        <v>263.60599999999999</v>
      </c>
      <c r="EP83" s="58">
        <v>228.38</v>
      </c>
      <c r="EQ83" s="58">
        <v>118.92100000000001</v>
      </c>
      <c r="ER83" s="58">
        <v>109.458</v>
      </c>
      <c r="ES83" s="58">
        <v>54.359000000000002</v>
      </c>
      <c r="ET83" s="58">
        <v>29.762</v>
      </c>
      <c r="EU83" s="58">
        <v>24.597999999999999</v>
      </c>
      <c r="EV83" s="58">
        <v>10.877000000000001</v>
      </c>
      <c r="EW83" s="58">
        <v>8.1270000000000007</v>
      </c>
      <c r="EX83" s="58">
        <v>2.75</v>
      </c>
      <c r="EY83" s="58">
        <v>8.9179999999999993</v>
      </c>
      <c r="EZ83" s="58">
        <v>6.4109999999999996</v>
      </c>
      <c r="FA83" s="58">
        <v>2.5070000000000001</v>
      </c>
      <c r="FB83" s="58">
        <v>1.9590000000000001</v>
      </c>
      <c r="FC83" s="58">
        <v>1.716</v>
      </c>
      <c r="FD83" s="58">
        <v>0.24299999999999999</v>
      </c>
      <c r="FE83" s="58">
        <v>43.481999999999999</v>
      </c>
      <c r="FF83" s="58">
        <v>21.635000000000002</v>
      </c>
      <c r="FG83" s="58">
        <v>21.847000000000001</v>
      </c>
      <c r="FH83" s="58">
        <v>200.327</v>
      </c>
      <c r="FI83" s="58">
        <v>103.69</v>
      </c>
      <c r="FJ83" s="58">
        <v>96.637</v>
      </c>
      <c r="FK83" s="58">
        <v>29.768999999999998</v>
      </c>
      <c r="FL83" s="58">
        <v>19.651</v>
      </c>
      <c r="FM83" s="58">
        <v>10.118</v>
      </c>
      <c r="FN83" s="58">
        <v>170.55799999999999</v>
      </c>
      <c r="FO83" s="58">
        <v>84.039000000000001</v>
      </c>
      <c r="FP83" s="58">
        <v>86.519000000000005</v>
      </c>
      <c r="FQ83" s="58">
        <v>36.81</v>
      </c>
      <c r="FR83" s="58">
        <v>25.545999999999999</v>
      </c>
      <c r="FS83" s="58">
        <v>11.263999999999999</v>
      </c>
      <c r="FT83" s="58">
        <v>191.57</v>
      </c>
      <c r="FU83" s="58">
        <v>93.376000000000005</v>
      </c>
      <c r="FV83" s="58">
        <v>98.194000000000003</v>
      </c>
      <c r="FW83" s="58">
        <v>179.476</v>
      </c>
      <c r="FX83" s="58">
        <v>90.45</v>
      </c>
      <c r="FY83" s="58">
        <v>89.025999999999996</v>
      </c>
      <c r="FZ83" s="58">
        <v>1142.354</v>
      </c>
      <c r="GA83" s="58">
        <v>581.197</v>
      </c>
      <c r="GB83" s="58">
        <v>561.15700000000004</v>
      </c>
      <c r="GC83" s="58">
        <v>642.33000000000004</v>
      </c>
      <c r="GD83" s="58">
        <v>359.74700000000001</v>
      </c>
      <c r="GE83" s="58">
        <v>282.58300000000003</v>
      </c>
      <c r="GF83" s="58">
        <v>500.024</v>
      </c>
      <c r="GG83" s="58">
        <v>221.45</v>
      </c>
      <c r="GH83" s="58">
        <v>278.57400000000001</v>
      </c>
      <c r="GI83" s="58">
        <v>301.65600000000001</v>
      </c>
      <c r="GJ83" s="58">
        <v>160.804</v>
      </c>
      <c r="GK83" s="58">
        <v>140.852</v>
      </c>
      <c r="GL83" s="58">
        <v>99.566999999999993</v>
      </c>
      <c r="GM83" s="58">
        <v>49.499000000000002</v>
      </c>
      <c r="GN83" s="58">
        <v>50.069000000000003</v>
      </c>
      <c r="GO83" s="58">
        <v>41.033999999999999</v>
      </c>
      <c r="GP83" s="58">
        <v>22.492999999999999</v>
      </c>
      <c r="GQ83" s="58">
        <v>18.541</v>
      </c>
      <c r="GR83" s="58">
        <v>32.700000000000003</v>
      </c>
      <c r="GS83" s="58">
        <v>16.713999999999999</v>
      </c>
      <c r="GT83" s="58">
        <v>15.986000000000001</v>
      </c>
      <c r="GU83" s="58">
        <v>8.3339999999999996</v>
      </c>
      <c r="GV83" s="58">
        <v>5.7779999999999996</v>
      </c>
      <c r="GW83" s="58">
        <v>2.5550000000000002</v>
      </c>
      <c r="GX83" s="58">
        <v>58.533999999999999</v>
      </c>
      <c r="GY83" s="58">
        <v>27.006</v>
      </c>
      <c r="GZ83" s="58">
        <v>31.527000000000001</v>
      </c>
      <c r="HA83" s="58">
        <v>246.256</v>
      </c>
      <c r="HB83" s="58">
        <v>136.58000000000001</v>
      </c>
      <c r="HC83" s="58">
        <v>109.676</v>
      </c>
      <c r="HD83" s="58">
        <v>64.046999999999997</v>
      </c>
      <c r="HE83" s="58">
        <v>45.837000000000003</v>
      </c>
      <c r="HF83" s="58">
        <v>18.21</v>
      </c>
      <c r="HG83" s="58">
        <v>182.209</v>
      </c>
      <c r="HH83" s="58">
        <v>90.742999999999995</v>
      </c>
      <c r="HI83" s="58">
        <v>91.465999999999994</v>
      </c>
      <c r="HJ83" s="58">
        <v>94.459000000000003</v>
      </c>
      <c r="HK83" s="58">
        <v>59.756999999999998</v>
      </c>
      <c r="HL83" s="58">
        <v>34.701999999999998</v>
      </c>
      <c r="HM83" s="58">
        <v>207.196</v>
      </c>
      <c r="HN83" s="58">
        <v>101.04600000000001</v>
      </c>
      <c r="HO83" s="58">
        <v>106.15</v>
      </c>
      <c r="HP83" s="58">
        <v>214.90899999999999</v>
      </c>
      <c r="HQ83" s="58">
        <v>107.458</v>
      </c>
      <c r="HR83" s="58">
        <v>107.452</v>
      </c>
      <c r="HS83" s="58">
        <v>2930.2269999999999</v>
      </c>
      <c r="HT83" s="58">
        <v>1549.1959999999999</v>
      </c>
      <c r="HU83" s="58">
        <v>1381.0309999999999</v>
      </c>
      <c r="HV83" s="58">
        <v>2213.9989999999998</v>
      </c>
      <c r="HW83" s="58">
        <v>1320.144</v>
      </c>
      <c r="HX83" s="58">
        <v>893.85500000000002</v>
      </c>
      <c r="HY83" s="58">
        <v>716.22799999999995</v>
      </c>
      <c r="HZ83" s="58">
        <v>229.05199999999999</v>
      </c>
      <c r="IA83" s="58">
        <v>487.17599999999999</v>
      </c>
      <c r="IB83" s="58">
        <v>597.97900000000004</v>
      </c>
      <c r="IC83" s="58">
        <v>351.59100000000001</v>
      </c>
      <c r="ID83" s="58">
        <v>246.38800000000001</v>
      </c>
      <c r="IE83" s="58">
        <v>224.72</v>
      </c>
      <c r="IF83" s="58">
        <v>139.94499999999999</v>
      </c>
      <c r="IG83" s="58">
        <v>84.775000000000006</v>
      </c>
      <c r="IH83" s="58">
        <v>150.321</v>
      </c>
      <c r="II83" s="58">
        <v>106.408</v>
      </c>
      <c r="IJ83" s="58">
        <v>43.912999999999997</v>
      </c>
      <c r="IK83" s="58">
        <v>117.568</v>
      </c>
      <c r="IL83" s="58">
        <v>81.316999999999993</v>
      </c>
      <c r="IM83" s="58">
        <v>36.25</v>
      </c>
      <c r="IN83" s="58">
        <v>32.753</v>
      </c>
      <c r="IO83" s="58">
        <v>25.09</v>
      </c>
      <c r="IP83" s="58">
        <v>7.6630000000000003</v>
      </c>
      <c r="IQ83" s="58">
        <v>74.399000000000001</v>
      </c>
    </row>
    <row r="84" spans="1:251">
      <c r="A84" s="5">
        <v>44044</v>
      </c>
      <c r="B84" s="58">
        <v>12562.791999999999</v>
      </c>
      <c r="C84" s="58">
        <v>6611.9719999999998</v>
      </c>
      <c r="D84" s="58">
        <v>5950.82</v>
      </c>
      <c r="E84" s="58">
        <v>8511.2520000000004</v>
      </c>
      <c r="F84" s="58">
        <v>5319.4549999999999</v>
      </c>
      <c r="G84" s="58">
        <v>3191.797</v>
      </c>
      <c r="H84" s="58">
        <v>4051.54</v>
      </c>
      <c r="I84" s="58">
        <v>1292.5170000000001</v>
      </c>
      <c r="J84" s="58">
        <v>2759.0230000000001</v>
      </c>
      <c r="K84" s="58">
        <v>2414.4609999999998</v>
      </c>
      <c r="L84" s="58">
        <v>1344.539</v>
      </c>
      <c r="M84" s="58">
        <v>1069.923</v>
      </c>
      <c r="N84" s="58">
        <v>980.30200000000002</v>
      </c>
      <c r="O84" s="58">
        <v>573.10599999999999</v>
      </c>
      <c r="P84" s="58">
        <v>407.197</v>
      </c>
      <c r="Q84" s="58">
        <v>530.529</v>
      </c>
      <c r="R84" s="58">
        <v>382.97800000000001</v>
      </c>
      <c r="S84" s="58">
        <v>147.55099999999999</v>
      </c>
      <c r="T84" s="58">
        <v>399.928</v>
      </c>
      <c r="U84" s="58">
        <v>281.767</v>
      </c>
      <c r="V84" s="58">
        <v>118.161</v>
      </c>
      <c r="W84" s="58">
        <v>130.601</v>
      </c>
      <c r="X84" s="58">
        <v>101.211</v>
      </c>
      <c r="Y84" s="58">
        <v>29.39</v>
      </c>
      <c r="Z84" s="58">
        <v>449.774</v>
      </c>
      <c r="AA84" s="58">
        <v>190.12799999999999</v>
      </c>
      <c r="AB84" s="58">
        <v>259.64600000000002</v>
      </c>
      <c r="AC84" s="58">
        <v>1754.4960000000001</v>
      </c>
      <c r="AD84" s="58">
        <v>954.86900000000003</v>
      </c>
      <c r="AE84" s="58">
        <v>799.62699999999995</v>
      </c>
      <c r="AF84" s="58">
        <v>665.06899999999996</v>
      </c>
      <c r="AG84" s="58">
        <v>508.61099999999999</v>
      </c>
      <c r="AH84" s="58">
        <v>156.458</v>
      </c>
      <c r="AI84" s="58">
        <v>1089.4269999999999</v>
      </c>
      <c r="AJ84" s="58">
        <v>446.25799999999998</v>
      </c>
      <c r="AK84" s="58">
        <v>643.16899999999998</v>
      </c>
      <c r="AL84" s="58">
        <v>1080.239</v>
      </c>
      <c r="AM84" s="58">
        <v>801.851</v>
      </c>
      <c r="AN84" s="58">
        <v>278.38799999999998</v>
      </c>
      <c r="AO84" s="58">
        <v>1334.222</v>
      </c>
      <c r="AP84" s="58">
        <v>542.68799999999999</v>
      </c>
      <c r="AQ84" s="58">
        <v>791.53499999999997</v>
      </c>
      <c r="AR84" s="58">
        <v>1489.355</v>
      </c>
      <c r="AS84" s="58">
        <v>728.02499999999998</v>
      </c>
      <c r="AT84" s="58">
        <v>761.33</v>
      </c>
      <c r="AU84" s="58">
        <v>11978.741</v>
      </c>
      <c r="AV84" s="58">
        <v>6256.8339999999998</v>
      </c>
      <c r="AW84" s="58">
        <v>5721.9070000000002</v>
      </c>
      <c r="AX84" s="58">
        <v>8255.2639999999992</v>
      </c>
      <c r="AY84" s="58">
        <v>5137.7610000000004</v>
      </c>
      <c r="AZ84" s="58">
        <v>3117.5030000000002</v>
      </c>
      <c r="BA84" s="58">
        <v>3723.4769999999999</v>
      </c>
      <c r="BB84" s="58">
        <v>1119.0730000000001</v>
      </c>
      <c r="BC84" s="58">
        <v>2604.404</v>
      </c>
      <c r="BD84" s="58">
        <v>2318.6790000000001</v>
      </c>
      <c r="BE84" s="58">
        <v>1280.6289999999999</v>
      </c>
      <c r="BF84" s="58">
        <v>1038.05</v>
      </c>
      <c r="BG84" s="58">
        <v>918.10299999999995</v>
      </c>
      <c r="BH84" s="58">
        <v>532.85500000000002</v>
      </c>
      <c r="BI84" s="58">
        <v>385.24799999999999</v>
      </c>
      <c r="BJ84" s="58">
        <v>512.83600000000001</v>
      </c>
      <c r="BK84" s="58">
        <v>367.57900000000001</v>
      </c>
      <c r="BL84" s="58">
        <v>145.25700000000001</v>
      </c>
      <c r="BM84" s="58">
        <v>386.58199999999999</v>
      </c>
      <c r="BN84" s="58">
        <v>269.86799999999999</v>
      </c>
      <c r="BO84" s="58">
        <v>116.714</v>
      </c>
      <c r="BP84" s="58">
        <v>126.254</v>
      </c>
      <c r="BQ84" s="58">
        <v>97.710999999999999</v>
      </c>
      <c r="BR84" s="58">
        <v>28.542999999999999</v>
      </c>
      <c r="BS84" s="58">
        <v>405.267</v>
      </c>
      <c r="BT84" s="58">
        <v>165.27600000000001</v>
      </c>
      <c r="BU84" s="58">
        <v>239.99100000000001</v>
      </c>
      <c r="BV84" s="58">
        <v>1706.124</v>
      </c>
      <c r="BW84" s="58">
        <v>919.95899999999995</v>
      </c>
      <c r="BX84" s="58">
        <v>786.16399999999999</v>
      </c>
      <c r="BY84" s="58">
        <v>652.08199999999999</v>
      </c>
      <c r="BZ84" s="58">
        <v>497.44600000000003</v>
      </c>
      <c r="CA84" s="58">
        <v>154.636</v>
      </c>
      <c r="CB84" s="58">
        <v>1054.0419999999999</v>
      </c>
      <c r="CC84" s="58">
        <v>422.51299999999998</v>
      </c>
      <c r="CD84" s="58">
        <v>631.529</v>
      </c>
      <c r="CE84" s="58">
        <v>1052.0899999999999</v>
      </c>
      <c r="CF84" s="58">
        <v>777.81799999999998</v>
      </c>
      <c r="CG84" s="58">
        <v>274.27100000000002</v>
      </c>
      <c r="CH84" s="58">
        <v>1266.5889999999999</v>
      </c>
      <c r="CI84" s="58">
        <v>502.81099999999998</v>
      </c>
      <c r="CJ84" s="58">
        <v>763.779</v>
      </c>
      <c r="CK84" s="58">
        <v>1440.624</v>
      </c>
      <c r="CL84" s="58">
        <v>692.38099999999997</v>
      </c>
      <c r="CM84" s="58">
        <v>748.24300000000005</v>
      </c>
      <c r="CN84" s="58">
        <v>1764.779</v>
      </c>
      <c r="CO84" s="58">
        <v>885.37199999999996</v>
      </c>
      <c r="CP84" s="58">
        <v>879.40700000000004</v>
      </c>
      <c r="CQ84" s="58">
        <v>731.29700000000003</v>
      </c>
      <c r="CR84" s="58">
        <v>433.85500000000002</v>
      </c>
      <c r="CS84" s="58">
        <v>297.44200000000001</v>
      </c>
      <c r="CT84" s="58">
        <v>1033.482</v>
      </c>
      <c r="CU84" s="58">
        <v>451.517</v>
      </c>
      <c r="CV84" s="58">
        <v>581.96400000000006</v>
      </c>
      <c r="CW84" s="58">
        <v>518.86500000000001</v>
      </c>
      <c r="CX84" s="58">
        <v>257.34300000000002</v>
      </c>
      <c r="CY84" s="58">
        <v>261.52199999999999</v>
      </c>
      <c r="CZ84" s="58">
        <v>159.31899999999999</v>
      </c>
      <c r="DA84" s="58">
        <v>79.239999999999995</v>
      </c>
      <c r="DB84" s="58">
        <v>80.078999999999994</v>
      </c>
      <c r="DC84" s="58">
        <v>39.423999999999999</v>
      </c>
      <c r="DD84" s="58">
        <v>23.38</v>
      </c>
      <c r="DE84" s="58">
        <v>16.045000000000002</v>
      </c>
      <c r="DF84" s="58">
        <v>34.326999999999998</v>
      </c>
      <c r="DG84" s="58">
        <v>21.006</v>
      </c>
      <c r="DH84" s="58">
        <v>13.321</v>
      </c>
      <c r="DI84" s="58">
        <v>5.0970000000000004</v>
      </c>
      <c r="DJ84" s="58">
        <v>2.3740000000000001</v>
      </c>
      <c r="DK84" s="58">
        <v>2.7229999999999999</v>
      </c>
      <c r="DL84" s="58">
        <v>119.895</v>
      </c>
      <c r="DM84" s="58">
        <v>55.86</v>
      </c>
      <c r="DN84" s="58">
        <v>64.034000000000006</v>
      </c>
      <c r="DO84" s="58">
        <v>427.351</v>
      </c>
      <c r="DP84" s="58">
        <v>211.62799999999999</v>
      </c>
      <c r="DQ84" s="58">
        <v>215.72300000000001</v>
      </c>
      <c r="DR84" s="58">
        <v>69.731999999999999</v>
      </c>
      <c r="DS84" s="58">
        <v>51.116999999999997</v>
      </c>
      <c r="DT84" s="58">
        <v>18.614999999999998</v>
      </c>
      <c r="DU84" s="58">
        <v>357.61900000000003</v>
      </c>
      <c r="DV84" s="58">
        <v>160.511</v>
      </c>
      <c r="DW84" s="58">
        <v>197.108</v>
      </c>
      <c r="DX84" s="58">
        <v>100.95099999999999</v>
      </c>
      <c r="DY84" s="58">
        <v>68.614000000000004</v>
      </c>
      <c r="DZ84" s="58">
        <v>32.337000000000003</v>
      </c>
      <c r="EA84" s="58">
        <v>417.91399999999999</v>
      </c>
      <c r="EB84" s="58">
        <v>188.72900000000001</v>
      </c>
      <c r="EC84" s="58">
        <v>229.185</v>
      </c>
      <c r="ED84" s="58">
        <v>391.94600000000003</v>
      </c>
      <c r="EE84" s="58">
        <v>181.517</v>
      </c>
      <c r="EF84" s="58">
        <v>210.429</v>
      </c>
      <c r="EG84" s="58">
        <v>612.17999999999995</v>
      </c>
      <c r="EH84" s="58">
        <v>304.411</v>
      </c>
      <c r="EI84" s="58">
        <v>307.76900000000001</v>
      </c>
      <c r="EJ84" s="58">
        <v>120.435</v>
      </c>
      <c r="EK84" s="58">
        <v>84.790999999999997</v>
      </c>
      <c r="EL84" s="58">
        <v>35.643000000000001</v>
      </c>
      <c r="EM84" s="58">
        <v>491.745</v>
      </c>
      <c r="EN84" s="58">
        <v>219.619</v>
      </c>
      <c r="EO84" s="58">
        <v>272.12599999999998</v>
      </c>
      <c r="EP84" s="58">
        <v>210.70400000000001</v>
      </c>
      <c r="EQ84" s="58">
        <v>102.33799999999999</v>
      </c>
      <c r="ER84" s="58">
        <v>108.366</v>
      </c>
      <c r="ES84" s="58">
        <v>59.508000000000003</v>
      </c>
      <c r="ET84" s="58">
        <v>31.882000000000001</v>
      </c>
      <c r="EU84" s="58">
        <v>27.626999999999999</v>
      </c>
      <c r="EV84" s="58">
        <v>8.16</v>
      </c>
      <c r="EW84" s="58">
        <v>4.07</v>
      </c>
      <c r="EX84" s="58">
        <v>4.09</v>
      </c>
      <c r="EY84" s="58">
        <v>7.0279999999999996</v>
      </c>
      <c r="EZ84" s="58">
        <v>2.9390000000000001</v>
      </c>
      <c r="FA84" s="58">
        <v>4.09</v>
      </c>
      <c r="FB84" s="58">
        <v>1.1319999999999999</v>
      </c>
      <c r="FC84" s="58">
        <v>1.1319999999999999</v>
      </c>
      <c r="FD84" s="58">
        <v>0</v>
      </c>
      <c r="FE84" s="58">
        <v>51.348999999999997</v>
      </c>
      <c r="FF84" s="58">
        <v>27.811</v>
      </c>
      <c r="FG84" s="58">
        <v>23.536999999999999</v>
      </c>
      <c r="FH84" s="58">
        <v>182.535</v>
      </c>
      <c r="FI84" s="58">
        <v>88.677000000000007</v>
      </c>
      <c r="FJ84" s="58">
        <v>93.858999999999995</v>
      </c>
      <c r="FK84" s="58">
        <v>16.099</v>
      </c>
      <c r="FL84" s="58">
        <v>11.707000000000001</v>
      </c>
      <c r="FM84" s="58">
        <v>4.3920000000000003</v>
      </c>
      <c r="FN84" s="58">
        <v>166.43600000000001</v>
      </c>
      <c r="FO84" s="58">
        <v>76.97</v>
      </c>
      <c r="FP84" s="58">
        <v>89.465999999999994</v>
      </c>
      <c r="FQ84" s="58">
        <v>21.940999999999999</v>
      </c>
      <c r="FR84" s="58">
        <v>15.07</v>
      </c>
      <c r="FS84" s="58">
        <v>6.8710000000000004</v>
      </c>
      <c r="FT84" s="58">
        <v>188.76300000000001</v>
      </c>
      <c r="FU84" s="58">
        <v>87.268000000000001</v>
      </c>
      <c r="FV84" s="58">
        <v>101.494</v>
      </c>
      <c r="FW84" s="58">
        <v>173.464</v>
      </c>
      <c r="FX84" s="58">
        <v>79.908000000000001</v>
      </c>
      <c r="FY84" s="58">
        <v>93.555999999999997</v>
      </c>
      <c r="FZ84" s="58">
        <v>1152.5989999999999</v>
      </c>
      <c r="GA84" s="58">
        <v>580.96199999999999</v>
      </c>
      <c r="GB84" s="58">
        <v>571.63699999999994</v>
      </c>
      <c r="GC84" s="58">
        <v>610.86300000000006</v>
      </c>
      <c r="GD84" s="58">
        <v>349.06400000000002</v>
      </c>
      <c r="GE84" s="58">
        <v>261.79899999999998</v>
      </c>
      <c r="GF84" s="58">
        <v>541.73699999999997</v>
      </c>
      <c r="GG84" s="58">
        <v>231.898</v>
      </c>
      <c r="GH84" s="58">
        <v>309.83800000000002</v>
      </c>
      <c r="GI84" s="58">
        <v>308.161</v>
      </c>
      <c r="GJ84" s="58">
        <v>155.005</v>
      </c>
      <c r="GK84" s="58">
        <v>153.15600000000001</v>
      </c>
      <c r="GL84" s="58">
        <v>99.81</v>
      </c>
      <c r="GM84" s="58">
        <v>47.359000000000002</v>
      </c>
      <c r="GN84" s="58">
        <v>52.451999999999998</v>
      </c>
      <c r="GO84" s="58">
        <v>31.265000000000001</v>
      </c>
      <c r="GP84" s="58">
        <v>19.309999999999999</v>
      </c>
      <c r="GQ84" s="58">
        <v>11.955</v>
      </c>
      <c r="GR84" s="58">
        <v>27.298999999999999</v>
      </c>
      <c r="GS84" s="58">
        <v>18.067</v>
      </c>
      <c r="GT84" s="58">
        <v>9.2319999999999993</v>
      </c>
      <c r="GU84" s="58">
        <v>3.9660000000000002</v>
      </c>
      <c r="GV84" s="58">
        <v>1.242</v>
      </c>
      <c r="GW84" s="58">
        <v>2.7229999999999999</v>
      </c>
      <c r="GX84" s="58">
        <v>68.546000000000006</v>
      </c>
      <c r="GY84" s="58">
        <v>28.048999999999999</v>
      </c>
      <c r="GZ84" s="58">
        <v>40.497</v>
      </c>
      <c r="HA84" s="58">
        <v>244.815</v>
      </c>
      <c r="HB84" s="58">
        <v>122.95099999999999</v>
      </c>
      <c r="HC84" s="58">
        <v>121.864</v>
      </c>
      <c r="HD84" s="58">
        <v>53.633000000000003</v>
      </c>
      <c r="HE84" s="58">
        <v>39.409999999999997</v>
      </c>
      <c r="HF84" s="58">
        <v>14.223000000000001</v>
      </c>
      <c r="HG84" s="58">
        <v>191.18299999999999</v>
      </c>
      <c r="HH84" s="58">
        <v>83.540999999999997</v>
      </c>
      <c r="HI84" s="58">
        <v>107.64100000000001</v>
      </c>
      <c r="HJ84" s="58">
        <v>79.010000000000005</v>
      </c>
      <c r="HK84" s="58">
        <v>53.543999999999997</v>
      </c>
      <c r="HL84" s="58">
        <v>25.465</v>
      </c>
      <c r="HM84" s="58">
        <v>229.15100000000001</v>
      </c>
      <c r="HN84" s="58">
        <v>101.461</v>
      </c>
      <c r="HO84" s="58">
        <v>127.691</v>
      </c>
      <c r="HP84" s="58">
        <v>218.482</v>
      </c>
      <c r="HQ84" s="58">
        <v>101.60899999999999</v>
      </c>
      <c r="HR84" s="58">
        <v>116.873</v>
      </c>
      <c r="HS84" s="58">
        <v>2932.5770000000002</v>
      </c>
      <c r="HT84" s="58">
        <v>1543.3050000000001</v>
      </c>
      <c r="HU84" s="58">
        <v>1389.271</v>
      </c>
      <c r="HV84" s="58">
        <v>2219.643</v>
      </c>
      <c r="HW84" s="58">
        <v>1322.8409999999999</v>
      </c>
      <c r="HX84" s="58">
        <v>896.80200000000002</v>
      </c>
      <c r="HY84" s="58">
        <v>712.93399999999997</v>
      </c>
      <c r="HZ84" s="58">
        <v>220.464</v>
      </c>
      <c r="IA84" s="58">
        <v>492.46899999999999</v>
      </c>
      <c r="IB84" s="58">
        <v>579.05700000000002</v>
      </c>
      <c r="IC84" s="58">
        <v>351.18799999999999</v>
      </c>
      <c r="ID84" s="58">
        <v>227.869</v>
      </c>
      <c r="IE84" s="58">
        <v>211.71</v>
      </c>
      <c r="IF84" s="58">
        <v>132.88</v>
      </c>
      <c r="IG84" s="58">
        <v>78.831000000000003</v>
      </c>
      <c r="IH84" s="58">
        <v>142.399</v>
      </c>
      <c r="II84" s="58">
        <v>103.884</v>
      </c>
      <c r="IJ84" s="58">
        <v>38.515000000000001</v>
      </c>
      <c r="IK84" s="58">
        <v>106.946</v>
      </c>
      <c r="IL84" s="58">
        <v>72.787999999999997</v>
      </c>
      <c r="IM84" s="58">
        <v>34.156999999999996</v>
      </c>
      <c r="IN84" s="58">
        <v>35.453000000000003</v>
      </c>
      <c r="IO84" s="58">
        <v>31.096</v>
      </c>
      <c r="IP84" s="58">
        <v>4.3570000000000002</v>
      </c>
      <c r="IQ84" s="58">
        <v>69.311000000000007</v>
      </c>
    </row>
    <row r="85" spans="1:251">
      <c r="A85" s="5">
        <v>44075</v>
      </c>
      <c r="B85" s="58">
        <v>12567.358</v>
      </c>
      <c r="C85" s="58">
        <v>6611.7579999999998</v>
      </c>
      <c r="D85" s="58">
        <v>5955.6</v>
      </c>
      <c r="E85" s="58">
        <v>8498.3950000000004</v>
      </c>
      <c r="F85" s="58">
        <v>5294.8280000000004</v>
      </c>
      <c r="G85" s="58">
        <v>3203.5680000000002</v>
      </c>
      <c r="H85" s="58">
        <v>4068.9630000000002</v>
      </c>
      <c r="I85" s="58">
        <v>1316.93</v>
      </c>
      <c r="J85" s="58">
        <v>2752.0320000000002</v>
      </c>
      <c r="K85" s="58">
        <v>2300.625</v>
      </c>
      <c r="L85" s="58">
        <v>1282.221</v>
      </c>
      <c r="M85" s="58">
        <v>1018.404</v>
      </c>
      <c r="N85" s="58">
        <v>899.73900000000003</v>
      </c>
      <c r="O85" s="58">
        <v>524.73099999999999</v>
      </c>
      <c r="P85" s="58">
        <v>375.00799999999998</v>
      </c>
      <c r="Q85" s="58">
        <v>514.34100000000001</v>
      </c>
      <c r="R85" s="58">
        <v>362.31900000000002</v>
      </c>
      <c r="S85" s="58">
        <v>152.02199999999999</v>
      </c>
      <c r="T85" s="58">
        <v>398.92099999999999</v>
      </c>
      <c r="U85" s="58">
        <v>272.27499999999998</v>
      </c>
      <c r="V85" s="58">
        <v>126.646</v>
      </c>
      <c r="W85" s="58">
        <v>115.42</v>
      </c>
      <c r="X85" s="58">
        <v>90.043999999999997</v>
      </c>
      <c r="Y85" s="58">
        <v>25.376000000000001</v>
      </c>
      <c r="Z85" s="58">
        <v>385.39800000000002</v>
      </c>
      <c r="AA85" s="58">
        <v>162.41200000000001</v>
      </c>
      <c r="AB85" s="58">
        <v>222.98599999999999</v>
      </c>
      <c r="AC85" s="58">
        <v>1701.951</v>
      </c>
      <c r="AD85" s="58">
        <v>926.91099999999994</v>
      </c>
      <c r="AE85" s="58">
        <v>775.04100000000005</v>
      </c>
      <c r="AF85" s="58">
        <v>631.51199999999994</v>
      </c>
      <c r="AG85" s="58">
        <v>471.77300000000002</v>
      </c>
      <c r="AH85" s="58">
        <v>159.739</v>
      </c>
      <c r="AI85" s="58">
        <v>1070.44</v>
      </c>
      <c r="AJ85" s="58">
        <v>455.13799999999998</v>
      </c>
      <c r="AK85" s="58">
        <v>615.30200000000002</v>
      </c>
      <c r="AL85" s="58">
        <v>1022.46</v>
      </c>
      <c r="AM85" s="58">
        <v>740.31500000000005</v>
      </c>
      <c r="AN85" s="58">
        <v>282.14400000000001</v>
      </c>
      <c r="AO85" s="58">
        <v>1278.165</v>
      </c>
      <c r="AP85" s="58">
        <v>541.90599999999995</v>
      </c>
      <c r="AQ85" s="58">
        <v>736.25900000000001</v>
      </c>
      <c r="AR85" s="58">
        <v>1469.3610000000001</v>
      </c>
      <c r="AS85" s="58">
        <v>727.41300000000001</v>
      </c>
      <c r="AT85" s="58">
        <v>741.94799999999998</v>
      </c>
      <c r="AU85" s="58">
        <v>11981.09</v>
      </c>
      <c r="AV85" s="58">
        <v>6259.4350000000004</v>
      </c>
      <c r="AW85" s="58">
        <v>5721.6549999999997</v>
      </c>
      <c r="AX85" s="58">
        <v>8243.0259999999998</v>
      </c>
      <c r="AY85" s="58">
        <v>5114.4840000000004</v>
      </c>
      <c r="AZ85" s="58">
        <v>3128.5419999999999</v>
      </c>
      <c r="BA85" s="58">
        <v>3738.0639999999999</v>
      </c>
      <c r="BB85" s="58">
        <v>1144.95</v>
      </c>
      <c r="BC85" s="58">
        <v>2593.114</v>
      </c>
      <c r="BD85" s="58">
        <v>2225.6350000000002</v>
      </c>
      <c r="BE85" s="58">
        <v>1225.335</v>
      </c>
      <c r="BF85" s="58">
        <v>1000.3</v>
      </c>
      <c r="BG85" s="58">
        <v>855.745</v>
      </c>
      <c r="BH85" s="58">
        <v>491.62</v>
      </c>
      <c r="BI85" s="58">
        <v>364.12599999999998</v>
      </c>
      <c r="BJ85" s="58">
        <v>497.64400000000001</v>
      </c>
      <c r="BK85" s="58">
        <v>346.97500000000002</v>
      </c>
      <c r="BL85" s="58">
        <v>150.66900000000001</v>
      </c>
      <c r="BM85" s="58">
        <v>386.84899999999999</v>
      </c>
      <c r="BN85" s="58">
        <v>261.31799999999998</v>
      </c>
      <c r="BO85" s="58">
        <v>125.53100000000001</v>
      </c>
      <c r="BP85" s="58">
        <v>110.795</v>
      </c>
      <c r="BQ85" s="58">
        <v>85.658000000000001</v>
      </c>
      <c r="BR85" s="58">
        <v>25.138000000000002</v>
      </c>
      <c r="BS85" s="58">
        <v>358.101</v>
      </c>
      <c r="BT85" s="58">
        <v>144.64400000000001</v>
      </c>
      <c r="BU85" s="58">
        <v>213.45699999999999</v>
      </c>
      <c r="BV85" s="58">
        <v>1662.046</v>
      </c>
      <c r="BW85" s="58">
        <v>896.702</v>
      </c>
      <c r="BX85" s="58">
        <v>765.34299999999996</v>
      </c>
      <c r="BY85" s="58">
        <v>620.03800000000001</v>
      </c>
      <c r="BZ85" s="58">
        <v>461.25900000000001</v>
      </c>
      <c r="CA85" s="58">
        <v>158.779</v>
      </c>
      <c r="CB85" s="58">
        <v>1042.008</v>
      </c>
      <c r="CC85" s="58">
        <v>435.44299999999998</v>
      </c>
      <c r="CD85" s="58">
        <v>606.56399999999996</v>
      </c>
      <c r="CE85" s="58">
        <v>997.51</v>
      </c>
      <c r="CF85" s="58">
        <v>717.16600000000005</v>
      </c>
      <c r="CG85" s="58">
        <v>280.34399999999999</v>
      </c>
      <c r="CH85" s="58">
        <v>1228.125</v>
      </c>
      <c r="CI85" s="58">
        <v>508.16899999999998</v>
      </c>
      <c r="CJ85" s="58">
        <v>719.95600000000002</v>
      </c>
      <c r="CK85" s="58">
        <v>1428.857</v>
      </c>
      <c r="CL85" s="58">
        <v>696.76099999999997</v>
      </c>
      <c r="CM85" s="58">
        <v>732.09500000000003</v>
      </c>
      <c r="CN85" s="58">
        <v>1764.056</v>
      </c>
      <c r="CO85" s="58">
        <v>884.30100000000004</v>
      </c>
      <c r="CP85" s="58">
        <v>879.75599999999997</v>
      </c>
      <c r="CQ85" s="58">
        <v>739.24</v>
      </c>
      <c r="CR85" s="58">
        <v>431.43900000000002</v>
      </c>
      <c r="CS85" s="58">
        <v>307.80099999999999</v>
      </c>
      <c r="CT85" s="58">
        <v>1024.816</v>
      </c>
      <c r="CU85" s="58">
        <v>452.86099999999999</v>
      </c>
      <c r="CV85" s="58">
        <v>571.95399999999995</v>
      </c>
      <c r="CW85" s="58">
        <v>499.875</v>
      </c>
      <c r="CX85" s="58">
        <v>254.471</v>
      </c>
      <c r="CY85" s="58">
        <v>245.404</v>
      </c>
      <c r="CZ85" s="58">
        <v>133.42400000000001</v>
      </c>
      <c r="DA85" s="58">
        <v>65.727000000000004</v>
      </c>
      <c r="DB85" s="58">
        <v>67.697000000000003</v>
      </c>
      <c r="DC85" s="58">
        <v>41.561999999999998</v>
      </c>
      <c r="DD85" s="58">
        <v>22.855</v>
      </c>
      <c r="DE85" s="58">
        <v>18.707999999999998</v>
      </c>
      <c r="DF85" s="58">
        <v>34.33</v>
      </c>
      <c r="DG85" s="58">
        <v>17.952000000000002</v>
      </c>
      <c r="DH85" s="58">
        <v>16.379000000000001</v>
      </c>
      <c r="DI85" s="58">
        <v>7.2320000000000002</v>
      </c>
      <c r="DJ85" s="58">
        <v>4.9029999999999996</v>
      </c>
      <c r="DK85" s="58">
        <v>2.3290000000000002</v>
      </c>
      <c r="DL85" s="58">
        <v>91.861999999999995</v>
      </c>
      <c r="DM85" s="58">
        <v>42.872</v>
      </c>
      <c r="DN85" s="58">
        <v>48.99</v>
      </c>
      <c r="DO85" s="58">
        <v>417.13799999999998</v>
      </c>
      <c r="DP85" s="58">
        <v>211.93899999999999</v>
      </c>
      <c r="DQ85" s="58">
        <v>205.19900000000001</v>
      </c>
      <c r="DR85" s="58">
        <v>82.087999999999994</v>
      </c>
      <c r="DS85" s="58">
        <v>55.305999999999997</v>
      </c>
      <c r="DT85" s="58">
        <v>26.782</v>
      </c>
      <c r="DU85" s="58">
        <v>335.05</v>
      </c>
      <c r="DV85" s="58">
        <v>156.63200000000001</v>
      </c>
      <c r="DW85" s="58">
        <v>178.417</v>
      </c>
      <c r="DX85" s="58">
        <v>112.741</v>
      </c>
      <c r="DY85" s="58">
        <v>71.591999999999999</v>
      </c>
      <c r="DZ85" s="58">
        <v>41.148000000000003</v>
      </c>
      <c r="EA85" s="58">
        <v>387.13400000000001</v>
      </c>
      <c r="EB85" s="58">
        <v>182.87899999999999</v>
      </c>
      <c r="EC85" s="58">
        <v>204.256</v>
      </c>
      <c r="ED85" s="58">
        <v>369.38</v>
      </c>
      <c r="EE85" s="58">
        <v>174.584</v>
      </c>
      <c r="EF85" s="58">
        <v>194.79599999999999</v>
      </c>
      <c r="EG85" s="58">
        <v>612.01700000000005</v>
      </c>
      <c r="EH85" s="58">
        <v>292.55599999999998</v>
      </c>
      <c r="EI85" s="58">
        <v>319.46100000000001</v>
      </c>
      <c r="EJ85" s="58">
        <v>120.387</v>
      </c>
      <c r="EK85" s="58">
        <v>82.001999999999995</v>
      </c>
      <c r="EL85" s="58">
        <v>38.386000000000003</v>
      </c>
      <c r="EM85" s="58">
        <v>491.63</v>
      </c>
      <c r="EN85" s="58">
        <v>210.554</v>
      </c>
      <c r="EO85" s="58">
        <v>281.07499999999999</v>
      </c>
      <c r="EP85" s="58">
        <v>205.46</v>
      </c>
      <c r="EQ85" s="58">
        <v>96.194000000000003</v>
      </c>
      <c r="ER85" s="58">
        <v>109.26600000000001</v>
      </c>
      <c r="ES85" s="58">
        <v>43.59</v>
      </c>
      <c r="ET85" s="58">
        <v>20.582999999999998</v>
      </c>
      <c r="EU85" s="58">
        <v>23.007000000000001</v>
      </c>
      <c r="EV85" s="58">
        <v>5.226</v>
      </c>
      <c r="EW85" s="58">
        <v>4.5209999999999999</v>
      </c>
      <c r="EX85" s="58">
        <v>0.70499999999999996</v>
      </c>
      <c r="EY85" s="58">
        <v>4.0810000000000004</v>
      </c>
      <c r="EZ85" s="58">
        <v>3.3759999999999999</v>
      </c>
      <c r="FA85" s="58">
        <v>0.70499999999999996</v>
      </c>
      <c r="FB85" s="58">
        <v>1.145</v>
      </c>
      <c r="FC85" s="58">
        <v>1.145</v>
      </c>
      <c r="FD85" s="58">
        <v>0</v>
      </c>
      <c r="FE85" s="58">
        <v>38.363</v>
      </c>
      <c r="FF85" s="58">
        <v>16.061</v>
      </c>
      <c r="FG85" s="58">
        <v>22.302</v>
      </c>
      <c r="FH85" s="58">
        <v>181.577</v>
      </c>
      <c r="FI85" s="58">
        <v>85.411000000000001</v>
      </c>
      <c r="FJ85" s="58">
        <v>96.165999999999997</v>
      </c>
      <c r="FK85" s="58">
        <v>17.800999999999998</v>
      </c>
      <c r="FL85" s="58">
        <v>12.089</v>
      </c>
      <c r="FM85" s="58">
        <v>5.7119999999999997</v>
      </c>
      <c r="FN85" s="58">
        <v>163.77600000000001</v>
      </c>
      <c r="FO85" s="58">
        <v>73.322000000000003</v>
      </c>
      <c r="FP85" s="58">
        <v>90.453999999999994</v>
      </c>
      <c r="FQ85" s="58">
        <v>21.908000000000001</v>
      </c>
      <c r="FR85" s="58">
        <v>15.491</v>
      </c>
      <c r="FS85" s="58">
        <v>6.4169999999999998</v>
      </c>
      <c r="FT85" s="58">
        <v>183.55199999999999</v>
      </c>
      <c r="FU85" s="58">
        <v>80.703000000000003</v>
      </c>
      <c r="FV85" s="58">
        <v>102.849</v>
      </c>
      <c r="FW85" s="58">
        <v>167.858</v>
      </c>
      <c r="FX85" s="58">
        <v>76.697999999999993</v>
      </c>
      <c r="FY85" s="58">
        <v>91.159000000000006</v>
      </c>
      <c r="FZ85" s="58">
        <v>1152.039</v>
      </c>
      <c r="GA85" s="58">
        <v>591.74400000000003</v>
      </c>
      <c r="GB85" s="58">
        <v>560.29499999999996</v>
      </c>
      <c r="GC85" s="58">
        <v>618.85299999999995</v>
      </c>
      <c r="GD85" s="58">
        <v>349.43700000000001</v>
      </c>
      <c r="GE85" s="58">
        <v>269.416</v>
      </c>
      <c r="GF85" s="58">
        <v>533.18600000000004</v>
      </c>
      <c r="GG85" s="58">
        <v>242.30699999999999</v>
      </c>
      <c r="GH85" s="58">
        <v>290.87900000000002</v>
      </c>
      <c r="GI85" s="58">
        <v>294.41500000000002</v>
      </c>
      <c r="GJ85" s="58">
        <v>158.27699999999999</v>
      </c>
      <c r="GK85" s="58">
        <v>136.13800000000001</v>
      </c>
      <c r="GL85" s="58">
        <v>89.834000000000003</v>
      </c>
      <c r="GM85" s="58">
        <v>45.143999999999998</v>
      </c>
      <c r="GN85" s="58">
        <v>44.69</v>
      </c>
      <c r="GO85" s="58">
        <v>36.335999999999999</v>
      </c>
      <c r="GP85" s="58">
        <v>18.334</v>
      </c>
      <c r="GQ85" s="58">
        <v>18.003</v>
      </c>
      <c r="GR85" s="58">
        <v>30.248999999999999</v>
      </c>
      <c r="GS85" s="58">
        <v>14.574999999999999</v>
      </c>
      <c r="GT85" s="58">
        <v>15.673999999999999</v>
      </c>
      <c r="GU85" s="58">
        <v>6.0869999999999997</v>
      </c>
      <c r="GV85" s="58">
        <v>3.758</v>
      </c>
      <c r="GW85" s="58">
        <v>2.3290000000000002</v>
      </c>
      <c r="GX85" s="58">
        <v>53.497999999999998</v>
      </c>
      <c r="GY85" s="58">
        <v>26.811</v>
      </c>
      <c r="GZ85" s="58">
        <v>26.687999999999999</v>
      </c>
      <c r="HA85" s="58">
        <v>235.56100000000001</v>
      </c>
      <c r="HB85" s="58">
        <v>126.52800000000001</v>
      </c>
      <c r="HC85" s="58">
        <v>109.033</v>
      </c>
      <c r="HD85" s="58">
        <v>64.287000000000006</v>
      </c>
      <c r="HE85" s="58">
        <v>43.216999999999999</v>
      </c>
      <c r="HF85" s="58">
        <v>21.07</v>
      </c>
      <c r="HG85" s="58">
        <v>171.274</v>
      </c>
      <c r="HH85" s="58">
        <v>83.31</v>
      </c>
      <c r="HI85" s="58">
        <v>87.962999999999994</v>
      </c>
      <c r="HJ85" s="58">
        <v>90.832999999999998</v>
      </c>
      <c r="HK85" s="58">
        <v>56.100999999999999</v>
      </c>
      <c r="HL85" s="58">
        <v>34.731000000000002</v>
      </c>
      <c r="HM85" s="58">
        <v>203.58199999999999</v>
      </c>
      <c r="HN85" s="58">
        <v>102.176</v>
      </c>
      <c r="HO85" s="58">
        <v>101.407</v>
      </c>
      <c r="HP85" s="58">
        <v>201.523</v>
      </c>
      <c r="HQ85" s="58">
        <v>97.885999999999996</v>
      </c>
      <c r="HR85" s="58">
        <v>103.637</v>
      </c>
      <c r="HS85" s="58">
        <v>2937.0920000000001</v>
      </c>
      <c r="HT85" s="58">
        <v>1545.671</v>
      </c>
      <c r="HU85" s="58">
        <v>1391.421</v>
      </c>
      <c r="HV85" s="58">
        <v>2175.8829999999998</v>
      </c>
      <c r="HW85" s="58">
        <v>1301.7280000000001</v>
      </c>
      <c r="HX85" s="58">
        <v>874.15499999999997</v>
      </c>
      <c r="HY85" s="58">
        <v>761.20899999999995</v>
      </c>
      <c r="HZ85" s="58">
        <v>243.94300000000001</v>
      </c>
      <c r="IA85" s="58">
        <v>517.26599999999996</v>
      </c>
      <c r="IB85" s="58">
        <v>549.07299999999998</v>
      </c>
      <c r="IC85" s="58">
        <v>324.46600000000001</v>
      </c>
      <c r="ID85" s="58">
        <v>224.607</v>
      </c>
      <c r="IE85" s="58">
        <v>196.05799999999999</v>
      </c>
      <c r="IF85" s="58">
        <v>114.596</v>
      </c>
      <c r="IG85" s="58">
        <v>81.462999999999994</v>
      </c>
      <c r="IH85" s="58">
        <v>123.53</v>
      </c>
      <c r="II85" s="58">
        <v>85.045000000000002</v>
      </c>
      <c r="IJ85" s="58">
        <v>38.484000000000002</v>
      </c>
      <c r="IK85" s="58">
        <v>99.897000000000006</v>
      </c>
      <c r="IL85" s="58">
        <v>66.515000000000001</v>
      </c>
      <c r="IM85" s="58">
        <v>33.381999999999998</v>
      </c>
      <c r="IN85" s="58">
        <v>23.632999999999999</v>
      </c>
      <c r="IO85" s="58">
        <v>18.53</v>
      </c>
      <c r="IP85" s="58">
        <v>5.1029999999999998</v>
      </c>
      <c r="IQ85" s="58">
        <v>72.528000000000006</v>
      </c>
    </row>
    <row r="86" spans="1:251">
      <c r="A86" s="5">
        <v>44105</v>
      </c>
      <c r="B86" s="58">
        <v>12735.67</v>
      </c>
      <c r="C86" s="58">
        <v>6724.2910000000002</v>
      </c>
      <c r="D86" s="58">
        <v>6011.3789999999999</v>
      </c>
      <c r="E86" s="58">
        <v>8596.0640000000003</v>
      </c>
      <c r="F86" s="58">
        <v>5398.2910000000002</v>
      </c>
      <c r="G86" s="58">
        <v>3197.7730000000001</v>
      </c>
      <c r="H86" s="58">
        <v>4139.6059999999998</v>
      </c>
      <c r="I86" s="58">
        <v>1326</v>
      </c>
      <c r="J86" s="58">
        <v>2813.6060000000002</v>
      </c>
      <c r="K86" s="58">
        <v>2142.904</v>
      </c>
      <c r="L86" s="58">
        <v>1158.8130000000001</v>
      </c>
      <c r="M86" s="58">
        <v>984.09199999999998</v>
      </c>
      <c r="N86" s="58">
        <v>671.50900000000001</v>
      </c>
      <c r="O86" s="58">
        <v>401.96600000000001</v>
      </c>
      <c r="P86" s="58">
        <v>269.54300000000001</v>
      </c>
      <c r="Q86" s="58">
        <v>363.73500000000001</v>
      </c>
      <c r="R86" s="58">
        <v>267.09199999999998</v>
      </c>
      <c r="S86" s="58">
        <v>96.643000000000001</v>
      </c>
      <c r="T86" s="58">
        <v>287.21499999999997</v>
      </c>
      <c r="U86" s="58">
        <v>204.261</v>
      </c>
      <c r="V86" s="58">
        <v>82.953000000000003</v>
      </c>
      <c r="W86" s="58">
        <v>76.52</v>
      </c>
      <c r="X86" s="58">
        <v>62.831000000000003</v>
      </c>
      <c r="Y86" s="58">
        <v>13.689</v>
      </c>
      <c r="Z86" s="58">
        <v>307.774</v>
      </c>
      <c r="AA86" s="58">
        <v>134.874</v>
      </c>
      <c r="AB86" s="58">
        <v>172.9</v>
      </c>
      <c r="AC86" s="58">
        <v>1734.798</v>
      </c>
      <c r="AD86" s="58">
        <v>911.10699999999997</v>
      </c>
      <c r="AE86" s="58">
        <v>823.69100000000003</v>
      </c>
      <c r="AF86" s="58">
        <v>670.61800000000005</v>
      </c>
      <c r="AG86" s="58">
        <v>493.70100000000002</v>
      </c>
      <c r="AH86" s="58">
        <v>176.917</v>
      </c>
      <c r="AI86" s="58">
        <v>1064.18</v>
      </c>
      <c r="AJ86" s="58">
        <v>417.40600000000001</v>
      </c>
      <c r="AK86" s="58">
        <v>646.77300000000002</v>
      </c>
      <c r="AL86" s="58">
        <v>920.08600000000001</v>
      </c>
      <c r="AM86" s="58">
        <v>671.14700000000005</v>
      </c>
      <c r="AN86" s="58">
        <v>248.94</v>
      </c>
      <c r="AO86" s="58">
        <v>1222.818</v>
      </c>
      <c r="AP86" s="58">
        <v>487.666</v>
      </c>
      <c r="AQ86" s="58">
        <v>735.15200000000004</v>
      </c>
      <c r="AR86" s="58">
        <v>1351.394</v>
      </c>
      <c r="AS86" s="58">
        <v>621.66700000000003</v>
      </c>
      <c r="AT86" s="58">
        <v>729.72699999999998</v>
      </c>
      <c r="AU86" s="58">
        <v>12143.216</v>
      </c>
      <c r="AV86" s="58">
        <v>6370.2749999999996</v>
      </c>
      <c r="AW86" s="58">
        <v>5772.9409999999998</v>
      </c>
      <c r="AX86" s="58">
        <v>8327.0400000000009</v>
      </c>
      <c r="AY86" s="58">
        <v>5206.4610000000002</v>
      </c>
      <c r="AZ86" s="58">
        <v>3120.5790000000002</v>
      </c>
      <c r="BA86" s="58">
        <v>3816.1759999999999</v>
      </c>
      <c r="BB86" s="58">
        <v>1163.8140000000001</v>
      </c>
      <c r="BC86" s="58">
        <v>2652.3620000000001</v>
      </c>
      <c r="BD86" s="58">
        <v>2071.0169999999998</v>
      </c>
      <c r="BE86" s="58">
        <v>1113.4659999999999</v>
      </c>
      <c r="BF86" s="58">
        <v>957.55100000000004</v>
      </c>
      <c r="BG86" s="58">
        <v>633.96500000000003</v>
      </c>
      <c r="BH86" s="58">
        <v>377.95400000000001</v>
      </c>
      <c r="BI86" s="58">
        <v>256.012</v>
      </c>
      <c r="BJ86" s="58">
        <v>348.654</v>
      </c>
      <c r="BK86" s="58">
        <v>255.18</v>
      </c>
      <c r="BL86" s="58">
        <v>93.474000000000004</v>
      </c>
      <c r="BM86" s="58">
        <v>275.89400000000001</v>
      </c>
      <c r="BN86" s="58">
        <v>195.703</v>
      </c>
      <c r="BO86" s="58">
        <v>80.19</v>
      </c>
      <c r="BP86" s="58">
        <v>72.760999999999996</v>
      </c>
      <c r="BQ86" s="58">
        <v>59.475999999999999</v>
      </c>
      <c r="BR86" s="58">
        <v>13.284000000000001</v>
      </c>
      <c r="BS86" s="58">
        <v>285.31099999999998</v>
      </c>
      <c r="BT86" s="58">
        <v>122.774</v>
      </c>
      <c r="BU86" s="58">
        <v>162.53700000000001</v>
      </c>
      <c r="BV86" s="58">
        <v>1694.9680000000001</v>
      </c>
      <c r="BW86" s="58">
        <v>885.58500000000004</v>
      </c>
      <c r="BX86" s="58">
        <v>809.38300000000004</v>
      </c>
      <c r="BY86" s="58">
        <v>660.33799999999997</v>
      </c>
      <c r="BZ86" s="58">
        <v>485.23599999999999</v>
      </c>
      <c r="CA86" s="58">
        <v>175.102</v>
      </c>
      <c r="CB86" s="58">
        <v>1034.6310000000001</v>
      </c>
      <c r="CC86" s="58">
        <v>400.34899999999999</v>
      </c>
      <c r="CD86" s="58">
        <v>634.28099999999995</v>
      </c>
      <c r="CE86" s="58">
        <v>895.39599999999996</v>
      </c>
      <c r="CF86" s="58">
        <v>651.44000000000005</v>
      </c>
      <c r="CG86" s="58">
        <v>243.95500000000001</v>
      </c>
      <c r="CH86" s="58">
        <v>1175.6210000000001</v>
      </c>
      <c r="CI86" s="58">
        <v>462.02499999999998</v>
      </c>
      <c r="CJ86" s="58">
        <v>713.596</v>
      </c>
      <c r="CK86" s="58">
        <v>1310.5239999999999</v>
      </c>
      <c r="CL86" s="58">
        <v>596.053</v>
      </c>
      <c r="CM86" s="58">
        <v>714.47199999999998</v>
      </c>
      <c r="CN86" s="58">
        <v>1797.3920000000001</v>
      </c>
      <c r="CO86" s="58">
        <v>905.71600000000001</v>
      </c>
      <c r="CP86" s="58">
        <v>891.67600000000004</v>
      </c>
      <c r="CQ86" s="58">
        <v>744.90200000000004</v>
      </c>
      <c r="CR86" s="58">
        <v>452.25900000000001</v>
      </c>
      <c r="CS86" s="58">
        <v>292.64299999999997</v>
      </c>
      <c r="CT86" s="58">
        <v>1052.49</v>
      </c>
      <c r="CU86" s="58">
        <v>453.45699999999999</v>
      </c>
      <c r="CV86" s="58">
        <v>599.03300000000002</v>
      </c>
      <c r="CW86" s="58">
        <v>475.18099999999998</v>
      </c>
      <c r="CX86" s="58">
        <v>238.232</v>
      </c>
      <c r="CY86" s="58">
        <v>236.94900000000001</v>
      </c>
      <c r="CZ86" s="58">
        <v>104.78100000000001</v>
      </c>
      <c r="DA86" s="58">
        <v>54.100999999999999</v>
      </c>
      <c r="DB86" s="58">
        <v>50.68</v>
      </c>
      <c r="DC86" s="58">
        <v>21.504999999999999</v>
      </c>
      <c r="DD86" s="58">
        <v>12.523999999999999</v>
      </c>
      <c r="DE86" s="58">
        <v>8.98</v>
      </c>
      <c r="DF86" s="58">
        <v>18.265000000000001</v>
      </c>
      <c r="DG86" s="58">
        <v>9.7850000000000001</v>
      </c>
      <c r="DH86" s="58">
        <v>8.4809999999999999</v>
      </c>
      <c r="DI86" s="58">
        <v>3.24</v>
      </c>
      <c r="DJ86" s="58">
        <v>2.74</v>
      </c>
      <c r="DK86" s="58">
        <v>0.5</v>
      </c>
      <c r="DL86" s="58">
        <v>83.275999999999996</v>
      </c>
      <c r="DM86" s="58">
        <v>41.576999999999998</v>
      </c>
      <c r="DN86" s="58">
        <v>41.7</v>
      </c>
      <c r="DO86" s="58">
        <v>417.88400000000001</v>
      </c>
      <c r="DP86" s="58">
        <v>207.80199999999999</v>
      </c>
      <c r="DQ86" s="58">
        <v>210.08199999999999</v>
      </c>
      <c r="DR86" s="58">
        <v>77.909000000000006</v>
      </c>
      <c r="DS86" s="58">
        <v>55.241</v>
      </c>
      <c r="DT86" s="58">
        <v>22.667999999999999</v>
      </c>
      <c r="DU86" s="58">
        <v>339.976</v>
      </c>
      <c r="DV86" s="58">
        <v>152.56100000000001</v>
      </c>
      <c r="DW86" s="58">
        <v>187.41499999999999</v>
      </c>
      <c r="DX86" s="58">
        <v>91.858999999999995</v>
      </c>
      <c r="DY86" s="58">
        <v>61.887</v>
      </c>
      <c r="DZ86" s="58">
        <v>29.972000000000001</v>
      </c>
      <c r="EA86" s="58">
        <v>383.322</v>
      </c>
      <c r="EB86" s="58">
        <v>176.345</v>
      </c>
      <c r="EC86" s="58">
        <v>206.976</v>
      </c>
      <c r="ED86" s="58">
        <v>358.24099999999999</v>
      </c>
      <c r="EE86" s="58">
        <v>162.346</v>
      </c>
      <c r="EF86" s="58">
        <v>195.89500000000001</v>
      </c>
      <c r="EG86" s="58">
        <v>639.84299999999996</v>
      </c>
      <c r="EH86" s="58">
        <v>306.11399999999998</v>
      </c>
      <c r="EI86" s="58">
        <v>333.72899999999998</v>
      </c>
      <c r="EJ86" s="58">
        <v>125.9</v>
      </c>
      <c r="EK86" s="58">
        <v>90.656000000000006</v>
      </c>
      <c r="EL86" s="58">
        <v>35.244</v>
      </c>
      <c r="EM86" s="58">
        <v>513.94299999999998</v>
      </c>
      <c r="EN86" s="58">
        <v>215.458</v>
      </c>
      <c r="EO86" s="58">
        <v>298.48500000000001</v>
      </c>
      <c r="EP86" s="58">
        <v>208.358</v>
      </c>
      <c r="EQ86" s="58">
        <v>98.572999999999993</v>
      </c>
      <c r="ER86" s="58">
        <v>109.785</v>
      </c>
      <c r="ES86" s="58">
        <v>39.920999999999999</v>
      </c>
      <c r="ET86" s="58">
        <v>17.797999999999998</v>
      </c>
      <c r="EU86" s="58">
        <v>22.123000000000001</v>
      </c>
      <c r="EV86" s="58">
        <v>5.2149999999999999</v>
      </c>
      <c r="EW86" s="58">
        <v>2.6869999999999998</v>
      </c>
      <c r="EX86" s="58">
        <v>2.528</v>
      </c>
      <c r="EY86" s="58">
        <v>3.5750000000000002</v>
      </c>
      <c r="EZ86" s="58">
        <v>1.5469999999999999</v>
      </c>
      <c r="FA86" s="58">
        <v>2.028</v>
      </c>
      <c r="FB86" s="58">
        <v>1.64</v>
      </c>
      <c r="FC86" s="58">
        <v>1.1399999999999999</v>
      </c>
      <c r="FD86" s="58">
        <v>0.5</v>
      </c>
      <c r="FE86" s="58">
        <v>34.706000000000003</v>
      </c>
      <c r="FF86" s="58">
        <v>15.111000000000001</v>
      </c>
      <c r="FG86" s="58">
        <v>19.594999999999999</v>
      </c>
      <c r="FH86" s="58">
        <v>186.92099999999999</v>
      </c>
      <c r="FI86" s="58">
        <v>89.566000000000003</v>
      </c>
      <c r="FJ86" s="58">
        <v>97.355000000000004</v>
      </c>
      <c r="FK86" s="58">
        <v>18.427</v>
      </c>
      <c r="FL86" s="58">
        <v>13.045999999999999</v>
      </c>
      <c r="FM86" s="58">
        <v>5.3810000000000002</v>
      </c>
      <c r="FN86" s="58">
        <v>168.494</v>
      </c>
      <c r="FO86" s="58">
        <v>76.52</v>
      </c>
      <c r="FP86" s="58">
        <v>91.974000000000004</v>
      </c>
      <c r="FQ86" s="58">
        <v>20.768999999999998</v>
      </c>
      <c r="FR86" s="58">
        <v>14.083</v>
      </c>
      <c r="FS86" s="58">
        <v>6.6859999999999999</v>
      </c>
      <c r="FT86" s="58">
        <v>187.589</v>
      </c>
      <c r="FU86" s="58">
        <v>84.49</v>
      </c>
      <c r="FV86" s="58">
        <v>103.099</v>
      </c>
      <c r="FW86" s="58">
        <v>172.06899999999999</v>
      </c>
      <c r="FX86" s="58">
        <v>78.066000000000003</v>
      </c>
      <c r="FY86" s="58">
        <v>94.001999999999995</v>
      </c>
      <c r="FZ86" s="58">
        <v>1157.549</v>
      </c>
      <c r="GA86" s="58">
        <v>599.60199999999998</v>
      </c>
      <c r="GB86" s="58">
        <v>557.947</v>
      </c>
      <c r="GC86" s="58">
        <v>619.00199999999995</v>
      </c>
      <c r="GD86" s="58">
        <v>361.60300000000001</v>
      </c>
      <c r="GE86" s="58">
        <v>257.399</v>
      </c>
      <c r="GF86" s="58">
        <v>538.54700000000003</v>
      </c>
      <c r="GG86" s="58">
        <v>237.999</v>
      </c>
      <c r="GH86" s="58">
        <v>300.548</v>
      </c>
      <c r="GI86" s="58">
        <v>266.82299999999998</v>
      </c>
      <c r="GJ86" s="58">
        <v>139.65899999999999</v>
      </c>
      <c r="GK86" s="58">
        <v>127.164</v>
      </c>
      <c r="GL86" s="58">
        <v>64.86</v>
      </c>
      <c r="GM86" s="58">
        <v>36.302999999999997</v>
      </c>
      <c r="GN86" s="58">
        <v>28.556999999999999</v>
      </c>
      <c r="GO86" s="58">
        <v>16.29</v>
      </c>
      <c r="GP86" s="58">
        <v>9.8369999999999997</v>
      </c>
      <c r="GQ86" s="58">
        <v>6.452</v>
      </c>
      <c r="GR86" s="58">
        <v>14.69</v>
      </c>
      <c r="GS86" s="58">
        <v>8.2379999999999995</v>
      </c>
      <c r="GT86" s="58">
        <v>6.452</v>
      </c>
      <c r="GU86" s="58">
        <v>1.599</v>
      </c>
      <c r="GV86" s="58">
        <v>1.599</v>
      </c>
      <c r="GW86" s="58">
        <v>0</v>
      </c>
      <c r="GX86" s="58">
        <v>48.57</v>
      </c>
      <c r="GY86" s="58">
        <v>26.465</v>
      </c>
      <c r="GZ86" s="58">
        <v>22.105</v>
      </c>
      <c r="HA86" s="58">
        <v>230.964</v>
      </c>
      <c r="HB86" s="58">
        <v>118.236</v>
      </c>
      <c r="HC86" s="58">
        <v>112.727</v>
      </c>
      <c r="HD86" s="58">
        <v>59.481999999999999</v>
      </c>
      <c r="HE86" s="58">
        <v>42.195</v>
      </c>
      <c r="HF86" s="58">
        <v>17.286000000000001</v>
      </c>
      <c r="HG86" s="58">
        <v>171.482</v>
      </c>
      <c r="HH86" s="58">
        <v>76.040999999999997</v>
      </c>
      <c r="HI86" s="58">
        <v>95.441000000000003</v>
      </c>
      <c r="HJ86" s="58">
        <v>71.09</v>
      </c>
      <c r="HK86" s="58">
        <v>47.804000000000002</v>
      </c>
      <c r="HL86" s="58">
        <v>23.286000000000001</v>
      </c>
      <c r="HM86" s="58">
        <v>195.733</v>
      </c>
      <c r="HN86" s="58">
        <v>91.855000000000004</v>
      </c>
      <c r="HO86" s="58">
        <v>103.878</v>
      </c>
      <c r="HP86" s="58">
        <v>186.172</v>
      </c>
      <c r="HQ86" s="58">
        <v>84.278999999999996</v>
      </c>
      <c r="HR86" s="58">
        <v>101.893</v>
      </c>
      <c r="HS86" s="58">
        <v>2979.3220000000001</v>
      </c>
      <c r="HT86" s="58">
        <v>1584.963</v>
      </c>
      <c r="HU86" s="58">
        <v>1394.3589999999999</v>
      </c>
      <c r="HV86" s="58">
        <v>2232.9949999999999</v>
      </c>
      <c r="HW86" s="58">
        <v>1343.4459999999999</v>
      </c>
      <c r="HX86" s="58">
        <v>889.54899999999998</v>
      </c>
      <c r="HY86" s="58">
        <v>746.32799999999997</v>
      </c>
      <c r="HZ86" s="58">
        <v>241.517</v>
      </c>
      <c r="IA86" s="58">
        <v>504.81099999999998</v>
      </c>
      <c r="IB86" s="58">
        <v>503.10899999999998</v>
      </c>
      <c r="IC86" s="58">
        <v>293.69400000000002</v>
      </c>
      <c r="ID86" s="58">
        <v>209.416</v>
      </c>
      <c r="IE86" s="58">
        <v>146.06700000000001</v>
      </c>
      <c r="IF86" s="58">
        <v>91.801000000000002</v>
      </c>
      <c r="IG86" s="58">
        <v>54.265000000000001</v>
      </c>
      <c r="IH86" s="58">
        <v>99.143000000000001</v>
      </c>
      <c r="II86" s="58">
        <v>71.099999999999994</v>
      </c>
      <c r="IJ86" s="58">
        <v>28.044</v>
      </c>
      <c r="IK86" s="58">
        <v>83.891999999999996</v>
      </c>
      <c r="IL86" s="58">
        <v>59.402000000000001</v>
      </c>
      <c r="IM86" s="58">
        <v>24.49</v>
      </c>
      <c r="IN86" s="58">
        <v>15.250999999999999</v>
      </c>
      <c r="IO86" s="58">
        <v>11.696999999999999</v>
      </c>
      <c r="IP86" s="58">
        <v>3.5539999999999998</v>
      </c>
      <c r="IQ86" s="58">
        <v>46.923000000000002</v>
      </c>
    </row>
    <row r="87" spans="1:251">
      <c r="A87" s="5">
        <v>44136</v>
      </c>
      <c r="B87" s="58">
        <v>12881.996999999999</v>
      </c>
      <c r="C87" s="58">
        <v>6797.1760000000004</v>
      </c>
      <c r="D87" s="58">
        <v>6084.8209999999999</v>
      </c>
      <c r="E87" s="58">
        <v>8744.1540000000005</v>
      </c>
      <c r="F87" s="58">
        <v>5467.93</v>
      </c>
      <c r="G87" s="58">
        <v>3276.2240000000002</v>
      </c>
      <c r="H87" s="58">
        <v>4137.8429999999998</v>
      </c>
      <c r="I87" s="58">
        <v>1329.2460000000001</v>
      </c>
      <c r="J87" s="58">
        <v>2808.5970000000002</v>
      </c>
      <c r="K87" s="58">
        <v>2033.325</v>
      </c>
      <c r="L87" s="58">
        <v>1087.47</v>
      </c>
      <c r="M87" s="58">
        <v>945.85500000000002</v>
      </c>
      <c r="N87" s="58">
        <v>555.5</v>
      </c>
      <c r="O87" s="58">
        <v>322.07499999999999</v>
      </c>
      <c r="P87" s="58">
        <v>233.42500000000001</v>
      </c>
      <c r="Q87" s="58">
        <v>284.93700000000001</v>
      </c>
      <c r="R87" s="58">
        <v>207.86600000000001</v>
      </c>
      <c r="S87" s="58">
        <v>77.070999999999998</v>
      </c>
      <c r="T87" s="58">
        <v>207.959</v>
      </c>
      <c r="U87" s="58">
        <v>146.048</v>
      </c>
      <c r="V87" s="58">
        <v>61.911999999999999</v>
      </c>
      <c r="W87" s="58">
        <v>76.977999999999994</v>
      </c>
      <c r="X87" s="58">
        <v>61.817999999999998</v>
      </c>
      <c r="Y87" s="58">
        <v>15.16</v>
      </c>
      <c r="Z87" s="58">
        <v>270.56299999999999</v>
      </c>
      <c r="AA87" s="58">
        <v>114.209</v>
      </c>
      <c r="AB87" s="58">
        <v>156.35400000000001</v>
      </c>
      <c r="AC87" s="58">
        <v>1694.288</v>
      </c>
      <c r="AD87" s="58">
        <v>891.16399999999999</v>
      </c>
      <c r="AE87" s="58">
        <v>803.12400000000002</v>
      </c>
      <c r="AF87" s="58">
        <v>614.83900000000006</v>
      </c>
      <c r="AG87" s="58">
        <v>456.036</v>
      </c>
      <c r="AH87" s="58">
        <v>158.803</v>
      </c>
      <c r="AI87" s="58">
        <v>1079.45</v>
      </c>
      <c r="AJ87" s="58">
        <v>435.12900000000002</v>
      </c>
      <c r="AK87" s="58">
        <v>644.32100000000003</v>
      </c>
      <c r="AL87" s="58">
        <v>824.34199999999998</v>
      </c>
      <c r="AM87" s="58">
        <v>604.48500000000001</v>
      </c>
      <c r="AN87" s="58">
        <v>219.857</v>
      </c>
      <c r="AO87" s="58">
        <v>1208.9829999999999</v>
      </c>
      <c r="AP87" s="58">
        <v>482.98500000000001</v>
      </c>
      <c r="AQ87" s="58">
        <v>725.99800000000005</v>
      </c>
      <c r="AR87" s="58">
        <v>1287.4090000000001</v>
      </c>
      <c r="AS87" s="58">
        <v>581.17600000000004</v>
      </c>
      <c r="AT87" s="58">
        <v>706.23199999999997</v>
      </c>
      <c r="AU87" s="58">
        <v>12264.852000000001</v>
      </c>
      <c r="AV87" s="58">
        <v>6427.8239999999996</v>
      </c>
      <c r="AW87" s="58">
        <v>5837.0290000000005</v>
      </c>
      <c r="AX87" s="58">
        <v>8479.0310000000009</v>
      </c>
      <c r="AY87" s="58">
        <v>5277.3069999999998</v>
      </c>
      <c r="AZ87" s="58">
        <v>3201.7240000000002</v>
      </c>
      <c r="BA87" s="58">
        <v>3785.8209999999999</v>
      </c>
      <c r="BB87" s="58">
        <v>1150.5170000000001</v>
      </c>
      <c r="BC87" s="58">
        <v>2635.3040000000001</v>
      </c>
      <c r="BD87" s="58">
        <v>1954.7560000000001</v>
      </c>
      <c r="BE87" s="58">
        <v>1035.402</v>
      </c>
      <c r="BF87" s="58">
        <v>919.35400000000004</v>
      </c>
      <c r="BG87" s="58">
        <v>515.83399999999995</v>
      </c>
      <c r="BH87" s="58">
        <v>295.64</v>
      </c>
      <c r="BI87" s="58">
        <v>220.19399999999999</v>
      </c>
      <c r="BJ87" s="58">
        <v>272.44</v>
      </c>
      <c r="BK87" s="58">
        <v>197.238</v>
      </c>
      <c r="BL87" s="58">
        <v>75.203000000000003</v>
      </c>
      <c r="BM87" s="58">
        <v>198.95500000000001</v>
      </c>
      <c r="BN87" s="58">
        <v>138.476</v>
      </c>
      <c r="BO87" s="58">
        <v>60.478999999999999</v>
      </c>
      <c r="BP87" s="58">
        <v>73.486000000000004</v>
      </c>
      <c r="BQ87" s="58">
        <v>58.762</v>
      </c>
      <c r="BR87" s="58">
        <v>14.723000000000001</v>
      </c>
      <c r="BS87" s="58">
        <v>243.393</v>
      </c>
      <c r="BT87" s="58">
        <v>98.402000000000001</v>
      </c>
      <c r="BU87" s="58">
        <v>144.99100000000001</v>
      </c>
      <c r="BV87" s="58">
        <v>1649.2049999999999</v>
      </c>
      <c r="BW87" s="58">
        <v>860.55899999999997</v>
      </c>
      <c r="BX87" s="58">
        <v>788.64599999999996</v>
      </c>
      <c r="BY87" s="58">
        <v>605.38800000000003</v>
      </c>
      <c r="BZ87" s="58">
        <v>447.99400000000003</v>
      </c>
      <c r="CA87" s="58">
        <v>157.39400000000001</v>
      </c>
      <c r="CB87" s="58">
        <v>1043.816</v>
      </c>
      <c r="CC87" s="58">
        <v>412.56400000000002</v>
      </c>
      <c r="CD87" s="58">
        <v>631.25199999999995</v>
      </c>
      <c r="CE87" s="58">
        <v>804.14300000000003</v>
      </c>
      <c r="CF87" s="58">
        <v>587.16800000000001</v>
      </c>
      <c r="CG87" s="58">
        <v>216.97499999999999</v>
      </c>
      <c r="CH87" s="58">
        <v>1150.6130000000001</v>
      </c>
      <c r="CI87" s="58">
        <v>448.23399999999998</v>
      </c>
      <c r="CJ87" s="58">
        <v>702.37900000000002</v>
      </c>
      <c r="CK87" s="58">
        <v>1242.771</v>
      </c>
      <c r="CL87" s="58">
        <v>551.04</v>
      </c>
      <c r="CM87" s="58">
        <v>691.73099999999999</v>
      </c>
      <c r="CN87" s="58">
        <v>1826.3109999999999</v>
      </c>
      <c r="CO87" s="58">
        <v>924.00199999999995</v>
      </c>
      <c r="CP87" s="58">
        <v>902.30899999999997</v>
      </c>
      <c r="CQ87" s="58">
        <v>770.43700000000001</v>
      </c>
      <c r="CR87" s="58">
        <v>461.77300000000002</v>
      </c>
      <c r="CS87" s="58">
        <v>308.66399999999999</v>
      </c>
      <c r="CT87" s="58">
        <v>1055.873</v>
      </c>
      <c r="CU87" s="58">
        <v>462.22800000000001</v>
      </c>
      <c r="CV87" s="58">
        <v>593.64499999999998</v>
      </c>
      <c r="CW87" s="58">
        <v>484.17500000000001</v>
      </c>
      <c r="CX87" s="58">
        <v>232.45099999999999</v>
      </c>
      <c r="CY87" s="58">
        <v>251.72399999999999</v>
      </c>
      <c r="CZ87" s="58">
        <v>71.94</v>
      </c>
      <c r="DA87" s="58">
        <v>34.767000000000003</v>
      </c>
      <c r="DB87" s="58">
        <v>37.173000000000002</v>
      </c>
      <c r="DC87" s="58">
        <v>14.52</v>
      </c>
      <c r="DD87" s="58">
        <v>9.0289999999999999</v>
      </c>
      <c r="DE87" s="58">
        <v>5.492</v>
      </c>
      <c r="DF87" s="58">
        <v>11.003</v>
      </c>
      <c r="DG87" s="58">
        <v>7.5519999999999996</v>
      </c>
      <c r="DH87" s="58">
        <v>3.4510000000000001</v>
      </c>
      <c r="DI87" s="58">
        <v>3.5179999999999998</v>
      </c>
      <c r="DJ87" s="58">
        <v>1.4770000000000001</v>
      </c>
      <c r="DK87" s="58">
        <v>2.0409999999999999</v>
      </c>
      <c r="DL87" s="58">
        <v>57.418999999999997</v>
      </c>
      <c r="DM87" s="58">
        <v>25.738</v>
      </c>
      <c r="DN87" s="58">
        <v>31.681000000000001</v>
      </c>
      <c r="DO87" s="58">
        <v>450.97800000000001</v>
      </c>
      <c r="DP87" s="58">
        <v>217.779</v>
      </c>
      <c r="DQ87" s="58">
        <v>233.19900000000001</v>
      </c>
      <c r="DR87" s="58">
        <v>81.027000000000001</v>
      </c>
      <c r="DS87" s="58">
        <v>54.838999999999999</v>
      </c>
      <c r="DT87" s="58">
        <v>26.187999999999999</v>
      </c>
      <c r="DU87" s="58">
        <v>369.952</v>
      </c>
      <c r="DV87" s="58">
        <v>162.941</v>
      </c>
      <c r="DW87" s="58">
        <v>207.011</v>
      </c>
      <c r="DX87" s="58">
        <v>92.049000000000007</v>
      </c>
      <c r="DY87" s="58">
        <v>60.37</v>
      </c>
      <c r="DZ87" s="58">
        <v>31.68</v>
      </c>
      <c r="EA87" s="58">
        <v>392.125</v>
      </c>
      <c r="EB87" s="58">
        <v>172.08099999999999</v>
      </c>
      <c r="EC87" s="58">
        <v>220.04400000000001</v>
      </c>
      <c r="ED87" s="58">
        <v>380.95499999999998</v>
      </c>
      <c r="EE87" s="58">
        <v>170.49199999999999</v>
      </c>
      <c r="EF87" s="58">
        <v>210.46199999999999</v>
      </c>
      <c r="EG87" s="58">
        <v>652.29100000000005</v>
      </c>
      <c r="EH87" s="58">
        <v>312.99099999999999</v>
      </c>
      <c r="EI87" s="58">
        <v>339.30099999999999</v>
      </c>
      <c r="EJ87" s="58">
        <v>135.126</v>
      </c>
      <c r="EK87" s="58">
        <v>89.272999999999996</v>
      </c>
      <c r="EL87" s="58">
        <v>45.851999999999997</v>
      </c>
      <c r="EM87" s="58">
        <v>517.16600000000005</v>
      </c>
      <c r="EN87" s="58">
        <v>223.71700000000001</v>
      </c>
      <c r="EO87" s="58">
        <v>293.44799999999998</v>
      </c>
      <c r="EP87" s="58">
        <v>219.17699999999999</v>
      </c>
      <c r="EQ87" s="58">
        <v>97.7</v>
      </c>
      <c r="ER87" s="58">
        <v>121.476</v>
      </c>
      <c r="ES87" s="58">
        <v>24.257999999999999</v>
      </c>
      <c r="ET87" s="58">
        <v>12.465999999999999</v>
      </c>
      <c r="EU87" s="58">
        <v>11.792</v>
      </c>
      <c r="EV87" s="58">
        <v>2.8109999999999999</v>
      </c>
      <c r="EW87" s="58">
        <v>1.611</v>
      </c>
      <c r="EX87" s="58">
        <v>1.2010000000000001</v>
      </c>
      <c r="EY87" s="58">
        <v>2.2200000000000002</v>
      </c>
      <c r="EZ87" s="58">
        <v>1.417</v>
      </c>
      <c r="FA87" s="58">
        <v>0.80300000000000005</v>
      </c>
      <c r="FB87" s="58">
        <v>0.59199999999999997</v>
      </c>
      <c r="FC87" s="58">
        <v>0.19400000000000001</v>
      </c>
      <c r="FD87" s="58">
        <v>0.39800000000000002</v>
      </c>
      <c r="FE87" s="58">
        <v>21.446000000000002</v>
      </c>
      <c r="FF87" s="58">
        <v>10.855</v>
      </c>
      <c r="FG87" s="58">
        <v>10.590999999999999</v>
      </c>
      <c r="FH87" s="58">
        <v>208.333</v>
      </c>
      <c r="FI87" s="58">
        <v>92.153000000000006</v>
      </c>
      <c r="FJ87" s="58">
        <v>116.18</v>
      </c>
      <c r="FK87" s="58">
        <v>19.841000000000001</v>
      </c>
      <c r="FL87" s="58">
        <v>11.878</v>
      </c>
      <c r="FM87" s="58">
        <v>7.9630000000000001</v>
      </c>
      <c r="FN87" s="58">
        <v>188.49199999999999</v>
      </c>
      <c r="FO87" s="58">
        <v>80.275999999999996</v>
      </c>
      <c r="FP87" s="58">
        <v>108.21599999999999</v>
      </c>
      <c r="FQ87" s="58">
        <v>22.652000000000001</v>
      </c>
      <c r="FR87" s="58">
        <v>13.488</v>
      </c>
      <c r="FS87" s="58">
        <v>9.1639999999999997</v>
      </c>
      <c r="FT87" s="58">
        <v>196.52500000000001</v>
      </c>
      <c r="FU87" s="58">
        <v>84.212000000000003</v>
      </c>
      <c r="FV87" s="58">
        <v>112.312</v>
      </c>
      <c r="FW87" s="58">
        <v>190.71100000000001</v>
      </c>
      <c r="FX87" s="58">
        <v>81.691999999999993</v>
      </c>
      <c r="FY87" s="58">
        <v>109.01900000000001</v>
      </c>
      <c r="FZ87" s="58">
        <v>1174.019</v>
      </c>
      <c r="GA87" s="58">
        <v>611.01099999999997</v>
      </c>
      <c r="GB87" s="58">
        <v>563.00800000000004</v>
      </c>
      <c r="GC87" s="58">
        <v>635.31100000000004</v>
      </c>
      <c r="GD87" s="58">
        <v>372.5</v>
      </c>
      <c r="GE87" s="58">
        <v>262.81099999999998</v>
      </c>
      <c r="GF87" s="58">
        <v>538.70799999999997</v>
      </c>
      <c r="GG87" s="58">
        <v>238.511</v>
      </c>
      <c r="GH87" s="58">
        <v>300.197</v>
      </c>
      <c r="GI87" s="58">
        <v>264.99799999999999</v>
      </c>
      <c r="GJ87" s="58">
        <v>134.751</v>
      </c>
      <c r="GK87" s="58">
        <v>130.24799999999999</v>
      </c>
      <c r="GL87" s="58">
        <v>47.682000000000002</v>
      </c>
      <c r="GM87" s="58">
        <v>22.300999999999998</v>
      </c>
      <c r="GN87" s="58">
        <v>25.381</v>
      </c>
      <c r="GO87" s="58">
        <v>11.709</v>
      </c>
      <c r="GP87" s="58">
        <v>7.4180000000000001</v>
      </c>
      <c r="GQ87" s="58">
        <v>4.2910000000000004</v>
      </c>
      <c r="GR87" s="58">
        <v>8.7829999999999995</v>
      </c>
      <c r="GS87" s="58">
        <v>6.1349999999999998</v>
      </c>
      <c r="GT87" s="58">
        <v>2.6480000000000001</v>
      </c>
      <c r="GU87" s="58">
        <v>2.9260000000000002</v>
      </c>
      <c r="GV87" s="58">
        <v>1.2829999999999999</v>
      </c>
      <c r="GW87" s="58">
        <v>1.643</v>
      </c>
      <c r="GX87" s="58">
        <v>35.972999999999999</v>
      </c>
      <c r="GY87" s="58">
        <v>14.882999999999999</v>
      </c>
      <c r="GZ87" s="58">
        <v>21.09</v>
      </c>
      <c r="HA87" s="58">
        <v>242.64599999999999</v>
      </c>
      <c r="HB87" s="58">
        <v>125.626</v>
      </c>
      <c r="HC87" s="58">
        <v>117.01900000000001</v>
      </c>
      <c r="HD87" s="58">
        <v>61.186</v>
      </c>
      <c r="HE87" s="58">
        <v>42.960999999999999</v>
      </c>
      <c r="HF87" s="58">
        <v>18.224</v>
      </c>
      <c r="HG87" s="58">
        <v>181.46</v>
      </c>
      <c r="HH87" s="58">
        <v>82.665000000000006</v>
      </c>
      <c r="HI87" s="58">
        <v>98.795000000000002</v>
      </c>
      <c r="HJ87" s="58">
        <v>69.397000000000006</v>
      </c>
      <c r="HK87" s="58">
        <v>46.881999999999998</v>
      </c>
      <c r="HL87" s="58">
        <v>22.515999999999998</v>
      </c>
      <c r="HM87" s="58">
        <v>195.601</v>
      </c>
      <c r="HN87" s="58">
        <v>87.869</v>
      </c>
      <c r="HO87" s="58">
        <v>107.732</v>
      </c>
      <c r="HP87" s="58">
        <v>190.24299999999999</v>
      </c>
      <c r="HQ87" s="58">
        <v>88.8</v>
      </c>
      <c r="HR87" s="58">
        <v>101.443</v>
      </c>
      <c r="HS87" s="58">
        <v>3019.4650000000001</v>
      </c>
      <c r="HT87" s="58">
        <v>1605.0050000000001</v>
      </c>
      <c r="HU87" s="58">
        <v>1414.461</v>
      </c>
      <c r="HV87" s="58">
        <v>2284.413</v>
      </c>
      <c r="HW87" s="58">
        <v>1373.6690000000001</v>
      </c>
      <c r="HX87" s="58">
        <v>910.74400000000003</v>
      </c>
      <c r="HY87" s="58">
        <v>735.05200000000002</v>
      </c>
      <c r="HZ87" s="58">
        <v>231.33500000000001</v>
      </c>
      <c r="IA87" s="58">
        <v>503.71600000000001</v>
      </c>
      <c r="IB87" s="58">
        <v>489.392</v>
      </c>
      <c r="IC87" s="58">
        <v>287.07499999999999</v>
      </c>
      <c r="ID87" s="58">
        <v>202.31700000000001</v>
      </c>
      <c r="IE87" s="58">
        <v>120.732</v>
      </c>
      <c r="IF87" s="58">
        <v>75.911000000000001</v>
      </c>
      <c r="IG87" s="58">
        <v>44.822000000000003</v>
      </c>
      <c r="IH87" s="58">
        <v>70.504000000000005</v>
      </c>
      <c r="II87" s="58">
        <v>53.343000000000004</v>
      </c>
      <c r="IJ87" s="58">
        <v>17.161000000000001</v>
      </c>
      <c r="IK87" s="58">
        <v>52.783999999999999</v>
      </c>
      <c r="IL87" s="58">
        <v>40.65</v>
      </c>
      <c r="IM87" s="58">
        <v>12.134</v>
      </c>
      <c r="IN87" s="58">
        <v>17.72</v>
      </c>
      <c r="IO87" s="58">
        <v>12.693</v>
      </c>
      <c r="IP87" s="58">
        <v>5.0270000000000001</v>
      </c>
      <c r="IQ87" s="58">
        <v>50.228000000000002</v>
      </c>
    </row>
    <row r="88" spans="1:251">
      <c r="A88" s="5">
        <v>44166</v>
      </c>
      <c r="B88" s="58">
        <v>12995.777</v>
      </c>
      <c r="C88" s="58">
        <v>6829.4989999999998</v>
      </c>
      <c r="D88" s="58">
        <v>6166.2790000000005</v>
      </c>
      <c r="E88" s="58">
        <v>8887.1010000000006</v>
      </c>
      <c r="F88" s="58">
        <v>5512.38</v>
      </c>
      <c r="G88" s="58">
        <v>3374.72</v>
      </c>
      <c r="H88" s="58">
        <v>4108.6769999999997</v>
      </c>
      <c r="I88" s="58">
        <v>1317.1179999999999</v>
      </c>
      <c r="J88" s="58">
        <v>2791.558</v>
      </c>
      <c r="K88" s="58">
        <v>1956.816</v>
      </c>
      <c r="L88" s="58">
        <v>1031.5530000000001</v>
      </c>
      <c r="M88" s="58">
        <v>925.26300000000003</v>
      </c>
      <c r="N88" s="58">
        <v>460.66199999999998</v>
      </c>
      <c r="O88" s="58">
        <v>258.66699999999997</v>
      </c>
      <c r="P88" s="58">
        <v>201.995</v>
      </c>
      <c r="Q88" s="58">
        <v>223.11699999999999</v>
      </c>
      <c r="R88" s="58">
        <v>163.101</v>
      </c>
      <c r="S88" s="58">
        <v>60.015999999999998</v>
      </c>
      <c r="T88" s="58">
        <v>156.779</v>
      </c>
      <c r="U88" s="58">
        <v>111.658</v>
      </c>
      <c r="V88" s="58">
        <v>45.121000000000002</v>
      </c>
      <c r="W88" s="58">
        <v>66.337999999999994</v>
      </c>
      <c r="X88" s="58">
        <v>51.442999999999998</v>
      </c>
      <c r="Y88" s="58">
        <v>14.895</v>
      </c>
      <c r="Z88" s="58">
        <v>237.54499999999999</v>
      </c>
      <c r="AA88" s="58">
        <v>95.566000000000003</v>
      </c>
      <c r="AB88" s="58">
        <v>141.97900000000001</v>
      </c>
      <c r="AC88" s="58">
        <v>1673.6310000000001</v>
      </c>
      <c r="AD88" s="58">
        <v>876.39499999999998</v>
      </c>
      <c r="AE88" s="58">
        <v>797.23599999999999</v>
      </c>
      <c r="AF88" s="58">
        <v>583.20100000000002</v>
      </c>
      <c r="AG88" s="58">
        <v>444.959</v>
      </c>
      <c r="AH88" s="58">
        <v>138.24100000000001</v>
      </c>
      <c r="AI88" s="58">
        <v>1090.431</v>
      </c>
      <c r="AJ88" s="58">
        <v>431.43599999999998</v>
      </c>
      <c r="AK88" s="58">
        <v>658.995</v>
      </c>
      <c r="AL88" s="58">
        <v>748.51400000000001</v>
      </c>
      <c r="AM88" s="58">
        <v>559.62099999999998</v>
      </c>
      <c r="AN88" s="58">
        <v>188.893</v>
      </c>
      <c r="AO88" s="58">
        <v>1208.3019999999999</v>
      </c>
      <c r="AP88" s="58">
        <v>471.93200000000002</v>
      </c>
      <c r="AQ88" s="58">
        <v>736.37</v>
      </c>
      <c r="AR88" s="58">
        <v>1247.21</v>
      </c>
      <c r="AS88" s="58">
        <v>543.09400000000005</v>
      </c>
      <c r="AT88" s="58">
        <v>704.11500000000001</v>
      </c>
      <c r="AU88" s="58">
        <v>12367.674000000001</v>
      </c>
      <c r="AV88" s="58">
        <v>6450.973</v>
      </c>
      <c r="AW88" s="58">
        <v>5916.701</v>
      </c>
      <c r="AX88" s="58">
        <v>8604.8919999999998</v>
      </c>
      <c r="AY88" s="58">
        <v>5307.1660000000002</v>
      </c>
      <c r="AZ88" s="58">
        <v>3297.7260000000001</v>
      </c>
      <c r="BA88" s="58">
        <v>3762.7820000000002</v>
      </c>
      <c r="BB88" s="58">
        <v>1143.807</v>
      </c>
      <c r="BC88" s="58">
        <v>2618.9749999999999</v>
      </c>
      <c r="BD88" s="58">
        <v>1894.99</v>
      </c>
      <c r="BE88" s="58">
        <v>992.94</v>
      </c>
      <c r="BF88" s="58">
        <v>902.04899999999998</v>
      </c>
      <c r="BG88" s="58">
        <v>428.84100000000001</v>
      </c>
      <c r="BH88" s="58">
        <v>238.797</v>
      </c>
      <c r="BI88" s="58">
        <v>190.04400000000001</v>
      </c>
      <c r="BJ88" s="58">
        <v>213.42400000000001</v>
      </c>
      <c r="BK88" s="58">
        <v>155.08600000000001</v>
      </c>
      <c r="BL88" s="58">
        <v>58.338000000000001</v>
      </c>
      <c r="BM88" s="58">
        <v>149.69399999999999</v>
      </c>
      <c r="BN88" s="58">
        <v>106.252</v>
      </c>
      <c r="BO88" s="58">
        <v>43.442</v>
      </c>
      <c r="BP88" s="58">
        <v>63.73</v>
      </c>
      <c r="BQ88" s="58">
        <v>48.835000000000001</v>
      </c>
      <c r="BR88" s="58">
        <v>14.895</v>
      </c>
      <c r="BS88" s="58">
        <v>215.417</v>
      </c>
      <c r="BT88" s="58">
        <v>83.71</v>
      </c>
      <c r="BU88" s="58">
        <v>131.70599999999999</v>
      </c>
      <c r="BV88" s="58">
        <v>1637.046</v>
      </c>
      <c r="BW88" s="58">
        <v>852.36400000000003</v>
      </c>
      <c r="BX88" s="58">
        <v>784.68100000000004</v>
      </c>
      <c r="BY88" s="58">
        <v>574.49699999999996</v>
      </c>
      <c r="BZ88" s="58">
        <v>437.24900000000002</v>
      </c>
      <c r="CA88" s="58">
        <v>137.24799999999999</v>
      </c>
      <c r="CB88" s="58">
        <v>1062.549</v>
      </c>
      <c r="CC88" s="58">
        <v>415.11500000000001</v>
      </c>
      <c r="CD88" s="58">
        <v>647.43299999999999</v>
      </c>
      <c r="CE88" s="58">
        <v>733.87</v>
      </c>
      <c r="CF88" s="58">
        <v>547.14599999999996</v>
      </c>
      <c r="CG88" s="58">
        <v>186.72399999999999</v>
      </c>
      <c r="CH88" s="58">
        <v>1161.1199999999999</v>
      </c>
      <c r="CI88" s="58">
        <v>445.79399999999998</v>
      </c>
      <c r="CJ88" s="58">
        <v>715.32500000000005</v>
      </c>
      <c r="CK88" s="58">
        <v>1212.2429999999999</v>
      </c>
      <c r="CL88" s="58">
        <v>521.36699999999996</v>
      </c>
      <c r="CM88" s="58">
        <v>690.87599999999998</v>
      </c>
      <c r="CN88" s="58">
        <v>1901.896</v>
      </c>
      <c r="CO88" s="58">
        <v>957.27099999999996</v>
      </c>
      <c r="CP88" s="58">
        <v>944.625</v>
      </c>
      <c r="CQ88" s="58">
        <v>827.27</v>
      </c>
      <c r="CR88" s="58">
        <v>484.60300000000001</v>
      </c>
      <c r="CS88" s="58">
        <v>342.66699999999997</v>
      </c>
      <c r="CT88" s="58">
        <v>1074.625</v>
      </c>
      <c r="CU88" s="58">
        <v>472.66800000000001</v>
      </c>
      <c r="CV88" s="58">
        <v>601.95799999999997</v>
      </c>
      <c r="CW88" s="58">
        <v>517.47199999999998</v>
      </c>
      <c r="CX88" s="58">
        <v>256.64299999999997</v>
      </c>
      <c r="CY88" s="58">
        <v>260.82900000000001</v>
      </c>
      <c r="CZ88" s="58">
        <v>73.471000000000004</v>
      </c>
      <c r="DA88" s="58">
        <v>34.116999999999997</v>
      </c>
      <c r="DB88" s="58">
        <v>39.353999999999999</v>
      </c>
      <c r="DC88" s="58">
        <v>11.271000000000001</v>
      </c>
      <c r="DD88" s="58">
        <v>8.9049999999999994</v>
      </c>
      <c r="DE88" s="58">
        <v>2.3660000000000001</v>
      </c>
      <c r="DF88" s="58">
        <v>9.1300000000000008</v>
      </c>
      <c r="DG88" s="58">
        <v>6.84</v>
      </c>
      <c r="DH88" s="58">
        <v>2.29</v>
      </c>
      <c r="DI88" s="58">
        <v>2.141</v>
      </c>
      <c r="DJ88" s="58">
        <v>2.0649999999999999</v>
      </c>
      <c r="DK88" s="58">
        <v>7.5999999999999998E-2</v>
      </c>
      <c r="DL88" s="58">
        <v>62.2</v>
      </c>
      <c r="DM88" s="58">
        <v>25.212</v>
      </c>
      <c r="DN88" s="58">
        <v>36.988</v>
      </c>
      <c r="DO88" s="58">
        <v>484.72500000000002</v>
      </c>
      <c r="DP88" s="58">
        <v>241.661</v>
      </c>
      <c r="DQ88" s="58">
        <v>243.06299999999999</v>
      </c>
      <c r="DR88" s="58">
        <v>84.084999999999994</v>
      </c>
      <c r="DS88" s="58">
        <v>60.103999999999999</v>
      </c>
      <c r="DT88" s="58">
        <v>23.981000000000002</v>
      </c>
      <c r="DU88" s="58">
        <v>400.63900000000001</v>
      </c>
      <c r="DV88" s="58">
        <v>181.55799999999999</v>
      </c>
      <c r="DW88" s="58">
        <v>219.08199999999999</v>
      </c>
      <c r="DX88" s="58">
        <v>90.367999999999995</v>
      </c>
      <c r="DY88" s="58">
        <v>64.594999999999999</v>
      </c>
      <c r="DZ88" s="58">
        <v>25.771999999999998</v>
      </c>
      <c r="EA88" s="58">
        <v>427.10399999999998</v>
      </c>
      <c r="EB88" s="58">
        <v>192.047</v>
      </c>
      <c r="EC88" s="58">
        <v>235.05699999999999</v>
      </c>
      <c r="ED88" s="58">
        <v>409.76900000000001</v>
      </c>
      <c r="EE88" s="58">
        <v>188.398</v>
      </c>
      <c r="EF88" s="58">
        <v>221.37200000000001</v>
      </c>
      <c r="EG88" s="58">
        <v>699.55</v>
      </c>
      <c r="EH88" s="58">
        <v>331.13499999999999</v>
      </c>
      <c r="EI88" s="58">
        <v>368.41500000000002</v>
      </c>
      <c r="EJ88" s="58">
        <v>171.01599999999999</v>
      </c>
      <c r="EK88" s="58">
        <v>107.44499999999999</v>
      </c>
      <c r="EL88" s="58">
        <v>63.570999999999998</v>
      </c>
      <c r="EM88" s="58">
        <v>528.53399999999999</v>
      </c>
      <c r="EN88" s="58">
        <v>223.69</v>
      </c>
      <c r="EO88" s="58">
        <v>304.84399999999999</v>
      </c>
      <c r="EP88" s="58">
        <v>236.87299999999999</v>
      </c>
      <c r="EQ88" s="58">
        <v>108.241</v>
      </c>
      <c r="ER88" s="58">
        <v>128.63200000000001</v>
      </c>
      <c r="ES88" s="58">
        <v>30.042000000000002</v>
      </c>
      <c r="ET88" s="58">
        <v>10.981999999999999</v>
      </c>
      <c r="EU88" s="58">
        <v>19.059000000000001</v>
      </c>
      <c r="EV88" s="58">
        <v>1.121</v>
      </c>
      <c r="EW88" s="58">
        <v>1.121</v>
      </c>
      <c r="EX88" s="58">
        <v>0</v>
      </c>
      <c r="EY88" s="58">
        <v>1.121</v>
      </c>
      <c r="EZ88" s="58">
        <v>1.121</v>
      </c>
      <c r="FA88" s="58">
        <v>0</v>
      </c>
      <c r="FB88" s="58">
        <v>0</v>
      </c>
      <c r="FC88" s="58">
        <v>0</v>
      </c>
      <c r="FD88" s="58">
        <v>0</v>
      </c>
      <c r="FE88" s="58">
        <v>28.920999999999999</v>
      </c>
      <c r="FF88" s="58">
        <v>9.8610000000000007</v>
      </c>
      <c r="FG88" s="58">
        <v>19.059000000000001</v>
      </c>
      <c r="FH88" s="58">
        <v>223.36600000000001</v>
      </c>
      <c r="FI88" s="58">
        <v>102.875</v>
      </c>
      <c r="FJ88" s="58">
        <v>120.491</v>
      </c>
      <c r="FK88" s="58">
        <v>14.653</v>
      </c>
      <c r="FL88" s="58">
        <v>10.723000000000001</v>
      </c>
      <c r="FM88" s="58">
        <v>3.93</v>
      </c>
      <c r="FN88" s="58">
        <v>208.71299999999999</v>
      </c>
      <c r="FO88" s="58">
        <v>92.152000000000001</v>
      </c>
      <c r="FP88" s="58">
        <v>116.56100000000001</v>
      </c>
      <c r="FQ88" s="58">
        <v>15.204000000000001</v>
      </c>
      <c r="FR88" s="58">
        <v>11.273999999999999</v>
      </c>
      <c r="FS88" s="58">
        <v>3.93</v>
      </c>
      <c r="FT88" s="58">
        <v>221.66800000000001</v>
      </c>
      <c r="FU88" s="58">
        <v>96.966999999999999</v>
      </c>
      <c r="FV88" s="58">
        <v>124.702</v>
      </c>
      <c r="FW88" s="58">
        <v>209.834</v>
      </c>
      <c r="FX88" s="58">
        <v>93.272999999999996</v>
      </c>
      <c r="FY88" s="58">
        <v>116.56100000000001</v>
      </c>
      <c r="FZ88" s="58">
        <v>1202.346</v>
      </c>
      <c r="GA88" s="58">
        <v>626.13599999999997</v>
      </c>
      <c r="GB88" s="58">
        <v>576.21</v>
      </c>
      <c r="GC88" s="58">
        <v>656.25400000000002</v>
      </c>
      <c r="GD88" s="58">
        <v>377.15800000000002</v>
      </c>
      <c r="GE88" s="58">
        <v>279.096</v>
      </c>
      <c r="GF88" s="58">
        <v>546.09199999999998</v>
      </c>
      <c r="GG88" s="58">
        <v>248.97800000000001</v>
      </c>
      <c r="GH88" s="58">
        <v>297.11399999999998</v>
      </c>
      <c r="GI88" s="58">
        <v>280.59899999999999</v>
      </c>
      <c r="GJ88" s="58">
        <v>148.40199999999999</v>
      </c>
      <c r="GK88" s="58">
        <v>132.197</v>
      </c>
      <c r="GL88" s="58">
        <v>43.429000000000002</v>
      </c>
      <c r="GM88" s="58">
        <v>23.135000000000002</v>
      </c>
      <c r="GN88" s="58">
        <v>20.295000000000002</v>
      </c>
      <c r="GO88" s="58">
        <v>10.15</v>
      </c>
      <c r="GP88" s="58">
        <v>7.7839999999999998</v>
      </c>
      <c r="GQ88" s="58">
        <v>2.3660000000000001</v>
      </c>
      <c r="GR88" s="58">
        <v>8.0090000000000003</v>
      </c>
      <c r="GS88" s="58">
        <v>5.7190000000000003</v>
      </c>
      <c r="GT88" s="58">
        <v>2.29</v>
      </c>
      <c r="GU88" s="58">
        <v>2.141</v>
      </c>
      <c r="GV88" s="58">
        <v>2.0649999999999999</v>
      </c>
      <c r="GW88" s="58">
        <v>7.5999999999999998E-2</v>
      </c>
      <c r="GX88" s="58">
        <v>33.279000000000003</v>
      </c>
      <c r="GY88" s="58">
        <v>15.351000000000001</v>
      </c>
      <c r="GZ88" s="58">
        <v>17.928999999999998</v>
      </c>
      <c r="HA88" s="58">
        <v>261.35899999999998</v>
      </c>
      <c r="HB88" s="58">
        <v>138.786</v>
      </c>
      <c r="HC88" s="58">
        <v>122.57299999999999</v>
      </c>
      <c r="HD88" s="58">
        <v>69.432000000000002</v>
      </c>
      <c r="HE88" s="58">
        <v>49.381</v>
      </c>
      <c r="HF88" s="58">
        <v>20.050999999999998</v>
      </c>
      <c r="HG88" s="58">
        <v>191.92699999999999</v>
      </c>
      <c r="HH88" s="58">
        <v>89.405000000000001</v>
      </c>
      <c r="HI88" s="58">
        <v>102.521</v>
      </c>
      <c r="HJ88" s="58">
        <v>75.162999999999997</v>
      </c>
      <c r="HK88" s="58">
        <v>53.320999999999998</v>
      </c>
      <c r="HL88" s="58">
        <v>21.841999999999999</v>
      </c>
      <c r="HM88" s="58">
        <v>205.43600000000001</v>
      </c>
      <c r="HN88" s="58">
        <v>95.081000000000003</v>
      </c>
      <c r="HO88" s="58">
        <v>110.355</v>
      </c>
      <c r="HP88" s="58">
        <v>199.935</v>
      </c>
      <c r="HQ88" s="58">
        <v>95.123999999999995</v>
      </c>
      <c r="HR88" s="58">
        <v>104.81100000000001</v>
      </c>
      <c r="HS88" s="58">
        <v>3032.8870000000002</v>
      </c>
      <c r="HT88" s="58">
        <v>1606.518</v>
      </c>
      <c r="HU88" s="58">
        <v>1426.3689999999999</v>
      </c>
      <c r="HV88" s="58">
        <v>2324.7199999999998</v>
      </c>
      <c r="HW88" s="58">
        <v>1391.9749999999999</v>
      </c>
      <c r="HX88" s="58">
        <v>932.745</v>
      </c>
      <c r="HY88" s="58">
        <v>708.16700000000003</v>
      </c>
      <c r="HZ88" s="58">
        <v>214.54300000000001</v>
      </c>
      <c r="IA88" s="58">
        <v>493.625</v>
      </c>
      <c r="IB88" s="58">
        <v>439.27</v>
      </c>
      <c r="IC88" s="58">
        <v>244.37799999999999</v>
      </c>
      <c r="ID88" s="58">
        <v>194.892</v>
      </c>
      <c r="IE88" s="58">
        <v>92.212999999999994</v>
      </c>
      <c r="IF88" s="58">
        <v>51.585999999999999</v>
      </c>
      <c r="IG88" s="58">
        <v>40.625999999999998</v>
      </c>
      <c r="IH88" s="58">
        <v>50.969000000000001</v>
      </c>
      <c r="II88" s="58">
        <v>37.212000000000003</v>
      </c>
      <c r="IJ88" s="58">
        <v>13.757</v>
      </c>
      <c r="IK88" s="58">
        <v>38.841000000000001</v>
      </c>
      <c r="IL88" s="58">
        <v>27.343</v>
      </c>
      <c r="IM88" s="58">
        <v>11.497</v>
      </c>
      <c r="IN88" s="58">
        <v>12.129</v>
      </c>
      <c r="IO88" s="58">
        <v>9.8680000000000003</v>
      </c>
      <c r="IP88" s="58">
        <v>2.2599999999999998</v>
      </c>
      <c r="IQ88" s="58">
        <v>41.244</v>
      </c>
    </row>
    <row r="89" spans="1:251">
      <c r="A89" s="5">
        <v>44197</v>
      </c>
      <c r="B89" s="58">
        <v>12735.142</v>
      </c>
      <c r="C89" s="58">
        <v>6737.3559999999998</v>
      </c>
      <c r="D89" s="58">
        <v>5997.7860000000001</v>
      </c>
      <c r="E89" s="58">
        <v>8762.9189999999999</v>
      </c>
      <c r="F89" s="58">
        <v>5443.585</v>
      </c>
      <c r="G89" s="58">
        <v>3319.3339999999998</v>
      </c>
      <c r="H89" s="58">
        <v>3972.2240000000002</v>
      </c>
      <c r="I89" s="58">
        <v>1293.771</v>
      </c>
      <c r="J89" s="58">
        <v>2678.4520000000002</v>
      </c>
      <c r="K89" s="58">
        <v>1919.741</v>
      </c>
      <c r="L89" s="58">
        <v>1037.867</v>
      </c>
      <c r="M89" s="58">
        <v>881.87400000000002</v>
      </c>
      <c r="N89" s="58">
        <v>516.51400000000001</v>
      </c>
      <c r="O89" s="58">
        <v>297.06700000000001</v>
      </c>
      <c r="P89" s="58">
        <v>219.446</v>
      </c>
      <c r="Q89" s="58">
        <v>248.54599999999999</v>
      </c>
      <c r="R89" s="58">
        <v>180.994</v>
      </c>
      <c r="S89" s="58">
        <v>67.552000000000007</v>
      </c>
      <c r="T89" s="58">
        <v>159.74299999999999</v>
      </c>
      <c r="U89" s="58">
        <v>112.318</v>
      </c>
      <c r="V89" s="58">
        <v>47.424999999999997</v>
      </c>
      <c r="W89" s="58">
        <v>88.802999999999997</v>
      </c>
      <c r="X89" s="58">
        <v>68.676000000000002</v>
      </c>
      <c r="Y89" s="58">
        <v>20.126999999999999</v>
      </c>
      <c r="Z89" s="58">
        <v>267.96699999999998</v>
      </c>
      <c r="AA89" s="58">
        <v>116.07299999999999</v>
      </c>
      <c r="AB89" s="58">
        <v>151.89400000000001</v>
      </c>
      <c r="AC89" s="58">
        <v>1605.059</v>
      </c>
      <c r="AD89" s="58">
        <v>853.74699999999996</v>
      </c>
      <c r="AE89" s="58">
        <v>751.31100000000004</v>
      </c>
      <c r="AF89" s="58">
        <v>595.61800000000005</v>
      </c>
      <c r="AG89" s="58">
        <v>440.005</v>
      </c>
      <c r="AH89" s="58">
        <v>155.61199999999999</v>
      </c>
      <c r="AI89" s="58">
        <v>1009.441</v>
      </c>
      <c r="AJ89" s="58">
        <v>413.74200000000002</v>
      </c>
      <c r="AK89" s="58">
        <v>595.69899999999996</v>
      </c>
      <c r="AL89" s="58">
        <v>782.6</v>
      </c>
      <c r="AM89" s="58">
        <v>573.95399999999995</v>
      </c>
      <c r="AN89" s="58">
        <v>208.64599999999999</v>
      </c>
      <c r="AO89" s="58">
        <v>1137.1410000000001</v>
      </c>
      <c r="AP89" s="58">
        <v>463.91199999999998</v>
      </c>
      <c r="AQ89" s="58">
        <v>673.22900000000004</v>
      </c>
      <c r="AR89" s="58">
        <v>1169.184</v>
      </c>
      <c r="AS89" s="58">
        <v>526.05999999999995</v>
      </c>
      <c r="AT89" s="58">
        <v>643.12400000000002</v>
      </c>
      <c r="AU89" s="58">
        <v>12128.665999999999</v>
      </c>
      <c r="AV89" s="58">
        <v>6367.6310000000003</v>
      </c>
      <c r="AW89" s="58">
        <v>5761.0349999999999</v>
      </c>
      <c r="AX89" s="58">
        <v>8482.0130000000008</v>
      </c>
      <c r="AY89" s="58">
        <v>5237.96</v>
      </c>
      <c r="AZ89" s="58">
        <v>3244.0529999999999</v>
      </c>
      <c r="BA89" s="58">
        <v>3646.6529999999998</v>
      </c>
      <c r="BB89" s="58">
        <v>1129.67</v>
      </c>
      <c r="BC89" s="58">
        <v>2516.982</v>
      </c>
      <c r="BD89" s="58">
        <v>1854.3579999999999</v>
      </c>
      <c r="BE89" s="58">
        <v>992.18299999999999</v>
      </c>
      <c r="BF89" s="58">
        <v>862.17499999999995</v>
      </c>
      <c r="BG89" s="58">
        <v>481.80099999999999</v>
      </c>
      <c r="BH89" s="58">
        <v>270.08199999999999</v>
      </c>
      <c r="BI89" s="58">
        <v>211.72</v>
      </c>
      <c r="BJ89" s="58">
        <v>237.03399999999999</v>
      </c>
      <c r="BK89" s="58">
        <v>171.04499999999999</v>
      </c>
      <c r="BL89" s="58">
        <v>65.989999999999995</v>
      </c>
      <c r="BM89" s="58">
        <v>152.66499999999999</v>
      </c>
      <c r="BN89" s="58">
        <v>105.74</v>
      </c>
      <c r="BO89" s="58">
        <v>46.924999999999997</v>
      </c>
      <c r="BP89" s="58">
        <v>84.37</v>
      </c>
      <c r="BQ89" s="58">
        <v>65.305000000000007</v>
      </c>
      <c r="BR89" s="58">
        <v>19.065000000000001</v>
      </c>
      <c r="BS89" s="58">
        <v>244.767</v>
      </c>
      <c r="BT89" s="58">
        <v>99.037000000000006</v>
      </c>
      <c r="BU89" s="58">
        <v>145.72999999999999</v>
      </c>
      <c r="BV89" s="58">
        <v>1568.8889999999999</v>
      </c>
      <c r="BW89" s="58">
        <v>830.66600000000005</v>
      </c>
      <c r="BX89" s="58">
        <v>738.22299999999996</v>
      </c>
      <c r="BY89" s="58">
        <v>585.745</v>
      </c>
      <c r="BZ89" s="58">
        <v>431.48099999999999</v>
      </c>
      <c r="CA89" s="58">
        <v>154.26400000000001</v>
      </c>
      <c r="CB89" s="58">
        <v>983.14400000000001</v>
      </c>
      <c r="CC89" s="58">
        <v>399.185</v>
      </c>
      <c r="CD89" s="58">
        <v>583.95899999999995</v>
      </c>
      <c r="CE89" s="58">
        <v>763.02099999999996</v>
      </c>
      <c r="CF89" s="58">
        <v>557.28700000000003</v>
      </c>
      <c r="CG89" s="58">
        <v>205.73400000000001</v>
      </c>
      <c r="CH89" s="58">
        <v>1091.337</v>
      </c>
      <c r="CI89" s="58">
        <v>434.89600000000002</v>
      </c>
      <c r="CJ89" s="58">
        <v>656.44100000000003</v>
      </c>
      <c r="CK89" s="58">
        <v>1135.809</v>
      </c>
      <c r="CL89" s="58">
        <v>504.92500000000001</v>
      </c>
      <c r="CM89" s="58">
        <v>630.88400000000001</v>
      </c>
      <c r="CN89" s="58">
        <v>1852.442</v>
      </c>
      <c r="CO89" s="58">
        <v>937.72</v>
      </c>
      <c r="CP89" s="58">
        <v>914.72199999999998</v>
      </c>
      <c r="CQ89" s="58">
        <v>808.03300000000002</v>
      </c>
      <c r="CR89" s="58">
        <v>476.423</v>
      </c>
      <c r="CS89" s="58">
        <v>331.61</v>
      </c>
      <c r="CT89" s="58">
        <v>1044.4090000000001</v>
      </c>
      <c r="CU89" s="58">
        <v>461.29700000000003</v>
      </c>
      <c r="CV89" s="58">
        <v>583.11199999999997</v>
      </c>
      <c r="CW89" s="58">
        <v>488.58199999999999</v>
      </c>
      <c r="CX89" s="58">
        <v>237.23</v>
      </c>
      <c r="CY89" s="58">
        <v>251.352</v>
      </c>
      <c r="CZ89" s="58">
        <v>107.059</v>
      </c>
      <c r="DA89" s="58">
        <v>50.691000000000003</v>
      </c>
      <c r="DB89" s="58">
        <v>56.368000000000002</v>
      </c>
      <c r="DC89" s="58">
        <v>20.8</v>
      </c>
      <c r="DD89" s="58">
        <v>12.407999999999999</v>
      </c>
      <c r="DE89" s="58">
        <v>8.3919999999999995</v>
      </c>
      <c r="DF89" s="58">
        <v>11.673999999999999</v>
      </c>
      <c r="DG89" s="58">
        <v>7.1</v>
      </c>
      <c r="DH89" s="58">
        <v>4.5739999999999998</v>
      </c>
      <c r="DI89" s="58">
        <v>9.1259999999999994</v>
      </c>
      <c r="DJ89" s="58">
        <v>5.3079999999999998</v>
      </c>
      <c r="DK89" s="58">
        <v>3.8180000000000001</v>
      </c>
      <c r="DL89" s="58">
        <v>86.259</v>
      </c>
      <c r="DM89" s="58">
        <v>38.283000000000001</v>
      </c>
      <c r="DN89" s="58">
        <v>47.975999999999999</v>
      </c>
      <c r="DO89" s="58">
        <v>441.91699999999997</v>
      </c>
      <c r="DP89" s="58">
        <v>216.80799999999999</v>
      </c>
      <c r="DQ89" s="58">
        <v>225.108</v>
      </c>
      <c r="DR89" s="58">
        <v>77.665999999999997</v>
      </c>
      <c r="DS89" s="58">
        <v>52.314999999999998</v>
      </c>
      <c r="DT89" s="58">
        <v>25.350999999999999</v>
      </c>
      <c r="DU89" s="58">
        <v>364.25</v>
      </c>
      <c r="DV89" s="58">
        <v>164.49299999999999</v>
      </c>
      <c r="DW89" s="58">
        <v>199.75700000000001</v>
      </c>
      <c r="DX89" s="58">
        <v>92.906000000000006</v>
      </c>
      <c r="DY89" s="58">
        <v>61.225000000000001</v>
      </c>
      <c r="DZ89" s="58">
        <v>31.681000000000001</v>
      </c>
      <c r="EA89" s="58">
        <v>395.67599999999999</v>
      </c>
      <c r="EB89" s="58">
        <v>176.005</v>
      </c>
      <c r="EC89" s="58">
        <v>219.67099999999999</v>
      </c>
      <c r="ED89" s="58">
        <v>375.92399999999998</v>
      </c>
      <c r="EE89" s="58">
        <v>171.59299999999999</v>
      </c>
      <c r="EF89" s="58">
        <v>204.33099999999999</v>
      </c>
      <c r="EG89" s="58">
        <v>697.11199999999997</v>
      </c>
      <c r="EH89" s="58">
        <v>331.94200000000001</v>
      </c>
      <c r="EI89" s="58">
        <v>365.17</v>
      </c>
      <c r="EJ89" s="58">
        <v>167.99700000000001</v>
      </c>
      <c r="EK89" s="58">
        <v>108.374</v>
      </c>
      <c r="EL89" s="58">
        <v>59.622999999999998</v>
      </c>
      <c r="EM89" s="58">
        <v>529.11400000000003</v>
      </c>
      <c r="EN89" s="58">
        <v>223.56700000000001</v>
      </c>
      <c r="EO89" s="58">
        <v>305.54700000000003</v>
      </c>
      <c r="EP89" s="58">
        <v>225.56299999999999</v>
      </c>
      <c r="EQ89" s="58">
        <v>100.376</v>
      </c>
      <c r="ER89" s="58">
        <v>125.188</v>
      </c>
      <c r="ES89" s="58">
        <v>46.07</v>
      </c>
      <c r="ET89" s="58">
        <v>17.751999999999999</v>
      </c>
      <c r="EU89" s="58">
        <v>28.318999999999999</v>
      </c>
      <c r="EV89" s="58">
        <v>4.3879999999999999</v>
      </c>
      <c r="EW89" s="58">
        <v>1.891</v>
      </c>
      <c r="EX89" s="58">
        <v>2.4969999999999999</v>
      </c>
      <c r="EY89" s="58">
        <v>3.3109999999999999</v>
      </c>
      <c r="EZ89" s="58">
        <v>1.167</v>
      </c>
      <c r="FA89" s="58">
        <v>2.1440000000000001</v>
      </c>
      <c r="FB89" s="58">
        <v>1.077</v>
      </c>
      <c r="FC89" s="58">
        <v>0.72499999999999998</v>
      </c>
      <c r="FD89" s="58">
        <v>0.35299999999999998</v>
      </c>
      <c r="FE89" s="58">
        <v>41.682000000000002</v>
      </c>
      <c r="FF89" s="58">
        <v>15.86</v>
      </c>
      <c r="FG89" s="58">
        <v>25.821999999999999</v>
      </c>
      <c r="FH89" s="58">
        <v>206.59800000000001</v>
      </c>
      <c r="FI89" s="58">
        <v>94.438999999999993</v>
      </c>
      <c r="FJ89" s="58">
        <v>112.15900000000001</v>
      </c>
      <c r="FK89" s="58">
        <v>19.071000000000002</v>
      </c>
      <c r="FL89" s="58">
        <v>14.977</v>
      </c>
      <c r="FM89" s="58">
        <v>4.0940000000000003</v>
      </c>
      <c r="FN89" s="58">
        <v>187.52699999999999</v>
      </c>
      <c r="FO89" s="58">
        <v>79.462000000000003</v>
      </c>
      <c r="FP89" s="58">
        <v>108.065</v>
      </c>
      <c r="FQ89" s="58">
        <v>21.856999999999999</v>
      </c>
      <c r="FR89" s="58">
        <v>16.28</v>
      </c>
      <c r="FS89" s="58">
        <v>5.577</v>
      </c>
      <c r="FT89" s="58">
        <v>203.70599999999999</v>
      </c>
      <c r="FU89" s="58">
        <v>84.096000000000004</v>
      </c>
      <c r="FV89" s="58">
        <v>119.611</v>
      </c>
      <c r="FW89" s="58">
        <v>190.83799999999999</v>
      </c>
      <c r="FX89" s="58">
        <v>80.628</v>
      </c>
      <c r="FY89" s="58">
        <v>110.209</v>
      </c>
      <c r="FZ89" s="58">
        <v>1155.33</v>
      </c>
      <c r="GA89" s="58">
        <v>605.77800000000002</v>
      </c>
      <c r="GB89" s="58">
        <v>549.55200000000002</v>
      </c>
      <c r="GC89" s="58">
        <v>640.03499999999997</v>
      </c>
      <c r="GD89" s="58">
        <v>368.048</v>
      </c>
      <c r="GE89" s="58">
        <v>271.98700000000002</v>
      </c>
      <c r="GF89" s="58">
        <v>515.29499999999996</v>
      </c>
      <c r="GG89" s="58">
        <v>237.73</v>
      </c>
      <c r="GH89" s="58">
        <v>277.565</v>
      </c>
      <c r="GI89" s="58">
        <v>263.01900000000001</v>
      </c>
      <c r="GJ89" s="58">
        <v>136.85400000000001</v>
      </c>
      <c r="GK89" s="58">
        <v>126.16500000000001</v>
      </c>
      <c r="GL89" s="58">
        <v>60.988</v>
      </c>
      <c r="GM89" s="58">
        <v>32.939</v>
      </c>
      <c r="GN89" s="58">
        <v>28.048999999999999</v>
      </c>
      <c r="GO89" s="58">
        <v>16.411999999999999</v>
      </c>
      <c r="GP89" s="58">
        <v>10.516999999999999</v>
      </c>
      <c r="GQ89" s="58">
        <v>5.8949999999999996</v>
      </c>
      <c r="GR89" s="58">
        <v>8.3629999999999995</v>
      </c>
      <c r="GS89" s="58">
        <v>5.9329999999999998</v>
      </c>
      <c r="GT89" s="58">
        <v>2.4300000000000002</v>
      </c>
      <c r="GU89" s="58">
        <v>8.0489999999999995</v>
      </c>
      <c r="GV89" s="58">
        <v>4.5839999999999996</v>
      </c>
      <c r="GW89" s="58">
        <v>3.4649999999999999</v>
      </c>
      <c r="GX89" s="58">
        <v>44.576999999999998</v>
      </c>
      <c r="GY89" s="58">
        <v>22.422999999999998</v>
      </c>
      <c r="GZ89" s="58">
        <v>22.154</v>
      </c>
      <c r="HA89" s="58">
        <v>235.31899999999999</v>
      </c>
      <c r="HB89" s="58">
        <v>122.369</v>
      </c>
      <c r="HC89" s="58">
        <v>112.95</v>
      </c>
      <c r="HD89" s="58">
        <v>58.594999999999999</v>
      </c>
      <c r="HE89" s="58">
        <v>37.338000000000001</v>
      </c>
      <c r="HF89" s="58">
        <v>21.257000000000001</v>
      </c>
      <c r="HG89" s="58">
        <v>176.72399999999999</v>
      </c>
      <c r="HH89" s="58">
        <v>85.031000000000006</v>
      </c>
      <c r="HI89" s="58">
        <v>91.691999999999993</v>
      </c>
      <c r="HJ89" s="58">
        <v>71.049000000000007</v>
      </c>
      <c r="HK89" s="58">
        <v>44.945</v>
      </c>
      <c r="HL89" s="58">
        <v>26.103999999999999</v>
      </c>
      <c r="HM89" s="58">
        <v>191.97</v>
      </c>
      <c r="HN89" s="58">
        <v>91.909000000000006</v>
      </c>
      <c r="HO89" s="58">
        <v>100.06100000000001</v>
      </c>
      <c r="HP89" s="58">
        <v>185.08600000000001</v>
      </c>
      <c r="HQ89" s="58">
        <v>90.963999999999999</v>
      </c>
      <c r="HR89" s="58">
        <v>94.122</v>
      </c>
      <c r="HS89" s="58">
        <v>2985.9110000000001</v>
      </c>
      <c r="HT89" s="58">
        <v>1586.1569999999999</v>
      </c>
      <c r="HU89" s="58">
        <v>1399.7539999999999</v>
      </c>
      <c r="HV89" s="58">
        <v>2295.3679999999999</v>
      </c>
      <c r="HW89" s="58">
        <v>1371.5350000000001</v>
      </c>
      <c r="HX89" s="58">
        <v>923.83299999999997</v>
      </c>
      <c r="HY89" s="58">
        <v>690.54300000000001</v>
      </c>
      <c r="HZ89" s="58">
        <v>214.62200000000001</v>
      </c>
      <c r="IA89" s="58">
        <v>475.92099999999999</v>
      </c>
      <c r="IB89" s="58">
        <v>450.04899999999998</v>
      </c>
      <c r="IC89" s="58">
        <v>258.56200000000001</v>
      </c>
      <c r="ID89" s="58">
        <v>191.48699999999999</v>
      </c>
      <c r="IE89" s="58">
        <v>105.292</v>
      </c>
      <c r="IF89" s="58">
        <v>54.823</v>
      </c>
      <c r="IG89" s="58">
        <v>50.469000000000001</v>
      </c>
      <c r="IH89" s="58">
        <v>60.155999999999999</v>
      </c>
      <c r="II89" s="58">
        <v>40.253</v>
      </c>
      <c r="IJ89" s="58">
        <v>19.902999999999999</v>
      </c>
      <c r="IK89" s="58">
        <v>43.055999999999997</v>
      </c>
      <c r="IL89" s="58">
        <v>28.696000000000002</v>
      </c>
      <c r="IM89" s="58">
        <v>14.36</v>
      </c>
      <c r="IN89" s="58">
        <v>17.100000000000001</v>
      </c>
      <c r="IO89" s="58">
        <v>11.557</v>
      </c>
      <c r="IP89" s="58">
        <v>5.5430000000000001</v>
      </c>
      <c r="IQ89" s="58">
        <v>45.136000000000003</v>
      </c>
    </row>
    <row r="90" spans="1:251">
      <c r="A90" s="5">
        <v>44228</v>
      </c>
      <c r="B90" s="58">
        <v>13036.563</v>
      </c>
      <c r="C90" s="58">
        <v>6852.9769999999999</v>
      </c>
      <c r="D90" s="58">
        <v>6183.5860000000002</v>
      </c>
      <c r="E90" s="58">
        <v>8976.1540000000005</v>
      </c>
      <c r="F90" s="58">
        <v>5541.6329999999998</v>
      </c>
      <c r="G90" s="58">
        <v>3434.5210000000002</v>
      </c>
      <c r="H90" s="58">
        <v>4060.41</v>
      </c>
      <c r="I90" s="58">
        <v>1311.3440000000001</v>
      </c>
      <c r="J90" s="58">
        <v>2749.0650000000001</v>
      </c>
      <c r="K90" s="58">
        <v>1903.7729999999999</v>
      </c>
      <c r="L90" s="58">
        <v>1033.5160000000001</v>
      </c>
      <c r="M90" s="58">
        <v>870.25699999999995</v>
      </c>
      <c r="N90" s="58">
        <v>551.68700000000001</v>
      </c>
      <c r="O90" s="58">
        <v>306.15199999999999</v>
      </c>
      <c r="P90" s="58">
        <v>245.535</v>
      </c>
      <c r="Q90" s="58">
        <v>238.804</v>
      </c>
      <c r="R90" s="58">
        <v>172.202</v>
      </c>
      <c r="S90" s="58">
        <v>66.602000000000004</v>
      </c>
      <c r="T90" s="58">
        <v>161.084</v>
      </c>
      <c r="U90" s="58">
        <v>115.001</v>
      </c>
      <c r="V90" s="58">
        <v>46.082999999999998</v>
      </c>
      <c r="W90" s="58">
        <v>77.72</v>
      </c>
      <c r="X90" s="58">
        <v>57.201000000000001</v>
      </c>
      <c r="Y90" s="58">
        <v>20.518999999999998</v>
      </c>
      <c r="Z90" s="58">
        <v>312.88299999999998</v>
      </c>
      <c r="AA90" s="58">
        <v>133.94999999999999</v>
      </c>
      <c r="AB90" s="58">
        <v>178.93299999999999</v>
      </c>
      <c r="AC90" s="58">
        <v>1566.4259999999999</v>
      </c>
      <c r="AD90" s="58">
        <v>846.14499999999998</v>
      </c>
      <c r="AE90" s="58">
        <v>720.28099999999995</v>
      </c>
      <c r="AF90" s="58">
        <v>583.76400000000001</v>
      </c>
      <c r="AG90" s="58">
        <v>436.49200000000002</v>
      </c>
      <c r="AH90" s="58">
        <v>147.27199999999999</v>
      </c>
      <c r="AI90" s="58">
        <v>982.66200000000003</v>
      </c>
      <c r="AJ90" s="58">
        <v>409.65300000000002</v>
      </c>
      <c r="AK90" s="58">
        <v>573.00900000000001</v>
      </c>
      <c r="AL90" s="58">
        <v>760.65099999999995</v>
      </c>
      <c r="AM90" s="58">
        <v>563.09699999999998</v>
      </c>
      <c r="AN90" s="58">
        <v>197.554</v>
      </c>
      <c r="AO90" s="58">
        <v>1143.1220000000001</v>
      </c>
      <c r="AP90" s="58">
        <v>470.41899999999998</v>
      </c>
      <c r="AQ90" s="58">
        <v>672.70299999999997</v>
      </c>
      <c r="AR90" s="58">
        <v>1143.7460000000001</v>
      </c>
      <c r="AS90" s="58">
        <v>524.654</v>
      </c>
      <c r="AT90" s="58">
        <v>619.09199999999998</v>
      </c>
      <c r="AU90" s="58">
        <v>12382.638999999999</v>
      </c>
      <c r="AV90" s="58">
        <v>6454.8159999999998</v>
      </c>
      <c r="AW90" s="58">
        <v>5927.8220000000001</v>
      </c>
      <c r="AX90" s="58">
        <v>8678.1280000000006</v>
      </c>
      <c r="AY90" s="58">
        <v>5322.723</v>
      </c>
      <c r="AZ90" s="58">
        <v>3355.404</v>
      </c>
      <c r="BA90" s="58">
        <v>3704.511</v>
      </c>
      <c r="BB90" s="58">
        <v>1132.0930000000001</v>
      </c>
      <c r="BC90" s="58">
        <v>2572.4180000000001</v>
      </c>
      <c r="BD90" s="58">
        <v>1822.5820000000001</v>
      </c>
      <c r="BE90" s="58">
        <v>988.86599999999999</v>
      </c>
      <c r="BF90" s="58">
        <v>833.71500000000003</v>
      </c>
      <c r="BG90" s="58">
        <v>505.76</v>
      </c>
      <c r="BH90" s="58">
        <v>281.27100000000002</v>
      </c>
      <c r="BI90" s="58">
        <v>224.489</v>
      </c>
      <c r="BJ90" s="58">
        <v>228.19200000000001</v>
      </c>
      <c r="BK90" s="58">
        <v>164.685</v>
      </c>
      <c r="BL90" s="58">
        <v>63.506999999999998</v>
      </c>
      <c r="BM90" s="58">
        <v>153.977</v>
      </c>
      <c r="BN90" s="58">
        <v>108.842</v>
      </c>
      <c r="BO90" s="58">
        <v>45.136000000000003</v>
      </c>
      <c r="BP90" s="58">
        <v>74.213999999999999</v>
      </c>
      <c r="BQ90" s="58">
        <v>55.843000000000004</v>
      </c>
      <c r="BR90" s="58">
        <v>18.370999999999999</v>
      </c>
      <c r="BS90" s="58">
        <v>277.56799999999998</v>
      </c>
      <c r="BT90" s="58">
        <v>116.58499999999999</v>
      </c>
      <c r="BU90" s="58">
        <v>160.983</v>
      </c>
      <c r="BV90" s="58">
        <v>1519.952</v>
      </c>
      <c r="BW90" s="58">
        <v>818.81399999999996</v>
      </c>
      <c r="BX90" s="58">
        <v>701.13800000000003</v>
      </c>
      <c r="BY90" s="58">
        <v>572.01800000000003</v>
      </c>
      <c r="BZ90" s="58">
        <v>427.12099999999998</v>
      </c>
      <c r="CA90" s="58">
        <v>144.898</v>
      </c>
      <c r="CB90" s="58">
        <v>947.93399999999997</v>
      </c>
      <c r="CC90" s="58">
        <v>391.69299999999998</v>
      </c>
      <c r="CD90" s="58">
        <v>556.24099999999999</v>
      </c>
      <c r="CE90" s="58">
        <v>740.71100000000001</v>
      </c>
      <c r="CF90" s="58">
        <v>548.18399999999997</v>
      </c>
      <c r="CG90" s="58">
        <v>192.52699999999999</v>
      </c>
      <c r="CH90" s="58">
        <v>1081.8699999999999</v>
      </c>
      <c r="CI90" s="58">
        <v>440.68200000000002</v>
      </c>
      <c r="CJ90" s="58">
        <v>641.18899999999996</v>
      </c>
      <c r="CK90" s="58">
        <v>1101.912</v>
      </c>
      <c r="CL90" s="58">
        <v>500.53500000000003</v>
      </c>
      <c r="CM90" s="58">
        <v>601.37599999999998</v>
      </c>
      <c r="CN90" s="58">
        <v>1880.4269999999999</v>
      </c>
      <c r="CO90" s="58">
        <v>938.91200000000003</v>
      </c>
      <c r="CP90" s="58">
        <v>941.51499999999999</v>
      </c>
      <c r="CQ90" s="58">
        <v>828.03200000000004</v>
      </c>
      <c r="CR90" s="58">
        <v>478.52199999999999</v>
      </c>
      <c r="CS90" s="58">
        <v>349.51</v>
      </c>
      <c r="CT90" s="58">
        <v>1052.394</v>
      </c>
      <c r="CU90" s="58">
        <v>460.39</v>
      </c>
      <c r="CV90" s="58">
        <v>592.005</v>
      </c>
      <c r="CW90" s="58">
        <v>467.08100000000002</v>
      </c>
      <c r="CX90" s="58">
        <v>240.02699999999999</v>
      </c>
      <c r="CY90" s="58">
        <v>227.054</v>
      </c>
      <c r="CZ90" s="58">
        <v>106.661</v>
      </c>
      <c r="DA90" s="58">
        <v>52.966999999999999</v>
      </c>
      <c r="DB90" s="58">
        <v>53.694000000000003</v>
      </c>
      <c r="DC90" s="58">
        <v>18.358000000000001</v>
      </c>
      <c r="DD90" s="58">
        <v>12.254</v>
      </c>
      <c r="DE90" s="58">
        <v>6.1040000000000001</v>
      </c>
      <c r="DF90" s="58">
        <v>13.644</v>
      </c>
      <c r="DG90" s="58">
        <v>9.3339999999999996</v>
      </c>
      <c r="DH90" s="58">
        <v>4.3099999999999996</v>
      </c>
      <c r="DI90" s="58">
        <v>4.7140000000000004</v>
      </c>
      <c r="DJ90" s="58">
        <v>2.92</v>
      </c>
      <c r="DK90" s="58">
        <v>1.794</v>
      </c>
      <c r="DL90" s="58">
        <v>88.302999999999997</v>
      </c>
      <c r="DM90" s="58">
        <v>40.713000000000001</v>
      </c>
      <c r="DN90" s="58">
        <v>47.588999999999999</v>
      </c>
      <c r="DO90" s="58">
        <v>411.66500000000002</v>
      </c>
      <c r="DP90" s="58">
        <v>210.61699999999999</v>
      </c>
      <c r="DQ90" s="58">
        <v>201.048</v>
      </c>
      <c r="DR90" s="58">
        <v>79.344999999999999</v>
      </c>
      <c r="DS90" s="58">
        <v>54.104999999999997</v>
      </c>
      <c r="DT90" s="58">
        <v>25.241</v>
      </c>
      <c r="DU90" s="58">
        <v>332.32</v>
      </c>
      <c r="DV90" s="58">
        <v>156.51300000000001</v>
      </c>
      <c r="DW90" s="58">
        <v>175.80699999999999</v>
      </c>
      <c r="DX90" s="58">
        <v>93.078999999999994</v>
      </c>
      <c r="DY90" s="58">
        <v>64.171999999999997</v>
      </c>
      <c r="DZ90" s="58">
        <v>28.907</v>
      </c>
      <c r="EA90" s="58">
        <v>374.00200000000001</v>
      </c>
      <c r="EB90" s="58">
        <v>175.85499999999999</v>
      </c>
      <c r="EC90" s="58">
        <v>198.14699999999999</v>
      </c>
      <c r="ED90" s="58">
        <v>345.964</v>
      </c>
      <c r="EE90" s="58">
        <v>165.846</v>
      </c>
      <c r="EF90" s="58">
        <v>180.11799999999999</v>
      </c>
      <c r="EG90" s="58">
        <v>694.04700000000003</v>
      </c>
      <c r="EH90" s="58">
        <v>329.75700000000001</v>
      </c>
      <c r="EI90" s="58">
        <v>364.29</v>
      </c>
      <c r="EJ90" s="58">
        <v>170.18299999999999</v>
      </c>
      <c r="EK90" s="58">
        <v>111.64</v>
      </c>
      <c r="EL90" s="58">
        <v>58.542999999999999</v>
      </c>
      <c r="EM90" s="58">
        <v>523.86400000000003</v>
      </c>
      <c r="EN90" s="58">
        <v>218.11699999999999</v>
      </c>
      <c r="EO90" s="58">
        <v>305.74700000000001</v>
      </c>
      <c r="EP90" s="58">
        <v>194.15700000000001</v>
      </c>
      <c r="EQ90" s="58">
        <v>87.953999999999994</v>
      </c>
      <c r="ER90" s="58">
        <v>106.203</v>
      </c>
      <c r="ES90" s="58">
        <v>51.539000000000001</v>
      </c>
      <c r="ET90" s="58">
        <v>19.504999999999999</v>
      </c>
      <c r="EU90" s="58">
        <v>32.033999999999999</v>
      </c>
      <c r="EV90" s="58">
        <v>6.0010000000000003</v>
      </c>
      <c r="EW90" s="58">
        <v>3.9020000000000001</v>
      </c>
      <c r="EX90" s="58">
        <v>2.0990000000000002</v>
      </c>
      <c r="EY90" s="58">
        <v>5.4279999999999999</v>
      </c>
      <c r="EZ90" s="58">
        <v>3.63</v>
      </c>
      <c r="FA90" s="58">
        <v>1.798</v>
      </c>
      <c r="FB90" s="58">
        <v>0.57299999999999995</v>
      </c>
      <c r="FC90" s="58">
        <v>0.27200000000000002</v>
      </c>
      <c r="FD90" s="58">
        <v>0.30099999999999999</v>
      </c>
      <c r="FE90" s="58">
        <v>45.537999999999997</v>
      </c>
      <c r="FF90" s="58">
        <v>15.603</v>
      </c>
      <c r="FG90" s="58">
        <v>29.934999999999999</v>
      </c>
      <c r="FH90" s="58">
        <v>166.15299999999999</v>
      </c>
      <c r="FI90" s="58">
        <v>75.763999999999996</v>
      </c>
      <c r="FJ90" s="58">
        <v>90.388999999999996</v>
      </c>
      <c r="FK90" s="58">
        <v>15.497</v>
      </c>
      <c r="FL90" s="58">
        <v>11.952</v>
      </c>
      <c r="FM90" s="58">
        <v>3.5449999999999999</v>
      </c>
      <c r="FN90" s="58">
        <v>150.65700000000001</v>
      </c>
      <c r="FO90" s="58">
        <v>63.811999999999998</v>
      </c>
      <c r="FP90" s="58">
        <v>86.843999999999994</v>
      </c>
      <c r="FQ90" s="58">
        <v>19.84</v>
      </c>
      <c r="FR90" s="58">
        <v>14.709</v>
      </c>
      <c r="FS90" s="58">
        <v>5.1310000000000002</v>
      </c>
      <c r="FT90" s="58">
        <v>174.31700000000001</v>
      </c>
      <c r="FU90" s="58">
        <v>73.245000000000005</v>
      </c>
      <c r="FV90" s="58">
        <v>101.072</v>
      </c>
      <c r="FW90" s="58">
        <v>156.084</v>
      </c>
      <c r="FX90" s="58">
        <v>67.441999999999993</v>
      </c>
      <c r="FY90" s="58">
        <v>88.641999999999996</v>
      </c>
      <c r="FZ90" s="58">
        <v>1186.3800000000001</v>
      </c>
      <c r="GA90" s="58">
        <v>609.15499999999997</v>
      </c>
      <c r="GB90" s="58">
        <v>577.22500000000002</v>
      </c>
      <c r="GC90" s="58">
        <v>657.85</v>
      </c>
      <c r="GD90" s="58">
        <v>366.88200000000001</v>
      </c>
      <c r="GE90" s="58">
        <v>290.96699999999998</v>
      </c>
      <c r="GF90" s="58">
        <v>528.53099999999995</v>
      </c>
      <c r="GG90" s="58">
        <v>242.27199999999999</v>
      </c>
      <c r="GH90" s="58">
        <v>286.25799999999998</v>
      </c>
      <c r="GI90" s="58">
        <v>272.92399999999998</v>
      </c>
      <c r="GJ90" s="58">
        <v>152.07300000000001</v>
      </c>
      <c r="GK90" s="58">
        <v>120.851</v>
      </c>
      <c r="GL90" s="58">
        <v>55.122</v>
      </c>
      <c r="GM90" s="58">
        <v>33.462000000000003</v>
      </c>
      <c r="GN90" s="58">
        <v>21.66</v>
      </c>
      <c r="GO90" s="58">
        <v>12.358000000000001</v>
      </c>
      <c r="GP90" s="58">
        <v>8.3520000000000003</v>
      </c>
      <c r="GQ90" s="58">
        <v>4.0060000000000002</v>
      </c>
      <c r="GR90" s="58">
        <v>8.2159999999999993</v>
      </c>
      <c r="GS90" s="58">
        <v>5.7039999999999997</v>
      </c>
      <c r="GT90" s="58">
        <v>2.5129999999999999</v>
      </c>
      <c r="GU90" s="58">
        <v>4.141</v>
      </c>
      <c r="GV90" s="58">
        <v>2.6480000000000001</v>
      </c>
      <c r="GW90" s="58">
        <v>1.4930000000000001</v>
      </c>
      <c r="GX90" s="58">
        <v>42.764000000000003</v>
      </c>
      <c r="GY90" s="58">
        <v>25.11</v>
      </c>
      <c r="GZ90" s="58">
        <v>17.654</v>
      </c>
      <c r="HA90" s="58">
        <v>245.512</v>
      </c>
      <c r="HB90" s="58">
        <v>134.85300000000001</v>
      </c>
      <c r="HC90" s="58">
        <v>110.65900000000001</v>
      </c>
      <c r="HD90" s="58">
        <v>63.848999999999997</v>
      </c>
      <c r="HE90" s="58">
        <v>42.152999999999999</v>
      </c>
      <c r="HF90" s="58">
        <v>21.696000000000002</v>
      </c>
      <c r="HG90" s="58">
        <v>181.66300000000001</v>
      </c>
      <c r="HH90" s="58">
        <v>92.700999999999993</v>
      </c>
      <c r="HI90" s="58">
        <v>88.962999999999994</v>
      </c>
      <c r="HJ90" s="58">
        <v>73.239000000000004</v>
      </c>
      <c r="HK90" s="58">
        <v>49.463000000000001</v>
      </c>
      <c r="HL90" s="58">
        <v>23.776</v>
      </c>
      <c r="HM90" s="58">
        <v>199.685</v>
      </c>
      <c r="HN90" s="58">
        <v>102.61</v>
      </c>
      <c r="HO90" s="58">
        <v>97.075000000000003</v>
      </c>
      <c r="HP90" s="58">
        <v>189.88</v>
      </c>
      <c r="HQ90" s="58">
        <v>98.403999999999996</v>
      </c>
      <c r="HR90" s="58">
        <v>91.475999999999999</v>
      </c>
      <c r="HS90" s="58">
        <v>3034.105</v>
      </c>
      <c r="HT90" s="58">
        <v>1605.509</v>
      </c>
      <c r="HU90" s="58">
        <v>1428.596</v>
      </c>
      <c r="HV90" s="58">
        <v>2321.92</v>
      </c>
      <c r="HW90" s="58">
        <v>1385.664</v>
      </c>
      <c r="HX90" s="58">
        <v>936.25599999999997</v>
      </c>
      <c r="HY90" s="58">
        <v>712.18499999999995</v>
      </c>
      <c r="HZ90" s="58">
        <v>219.845</v>
      </c>
      <c r="IA90" s="58">
        <v>492.34</v>
      </c>
      <c r="IB90" s="58">
        <v>441.697</v>
      </c>
      <c r="IC90" s="58">
        <v>261.15600000000001</v>
      </c>
      <c r="ID90" s="58">
        <v>180.542</v>
      </c>
      <c r="IE90" s="58">
        <v>113.711</v>
      </c>
      <c r="IF90" s="58">
        <v>73.766000000000005</v>
      </c>
      <c r="IG90" s="58">
        <v>39.945</v>
      </c>
      <c r="IH90" s="58">
        <v>59.036000000000001</v>
      </c>
      <c r="II90" s="58">
        <v>43.752000000000002</v>
      </c>
      <c r="IJ90" s="58">
        <v>15.284000000000001</v>
      </c>
      <c r="IK90" s="58">
        <v>42.951999999999998</v>
      </c>
      <c r="IL90" s="58">
        <v>30.643000000000001</v>
      </c>
      <c r="IM90" s="58">
        <v>12.308999999999999</v>
      </c>
      <c r="IN90" s="58">
        <v>16.084</v>
      </c>
      <c r="IO90" s="58">
        <v>13.11</v>
      </c>
      <c r="IP90" s="58">
        <v>2.9750000000000001</v>
      </c>
      <c r="IQ90" s="58">
        <v>54.674999999999997</v>
      </c>
    </row>
    <row r="91" spans="1:251">
      <c r="A91" s="5">
        <v>44256</v>
      </c>
      <c r="B91" s="58">
        <v>13063.258</v>
      </c>
      <c r="C91" s="58">
        <v>6847.58</v>
      </c>
      <c r="D91" s="58">
        <v>6215.6779999999999</v>
      </c>
      <c r="E91" s="58">
        <v>8836.2790000000005</v>
      </c>
      <c r="F91" s="58">
        <v>5477.0129999999999</v>
      </c>
      <c r="G91" s="58">
        <v>3359.2669999999998</v>
      </c>
      <c r="H91" s="58">
        <v>4226.9790000000003</v>
      </c>
      <c r="I91" s="58">
        <v>1370.567</v>
      </c>
      <c r="J91" s="58">
        <v>2856.4110000000001</v>
      </c>
      <c r="K91" s="58">
        <v>1785.5719999999999</v>
      </c>
      <c r="L91" s="58">
        <v>966.54499999999996</v>
      </c>
      <c r="M91" s="58">
        <v>819.02700000000004</v>
      </c>
      <c r="N91" s="58">
        <v>389.02</v>
      </c>
      <c r="O91" s="58">
        <v>218.60300000000001</v>
      </c>
      <c r="P91" s="58">
        <v>170.417</v>
      </c>
      <c r="Q91" s="58">
        <v>157.40799999999999</v>
      </c>
      <c r="R91" s="58">
        <v>121.73699999999999</v>
      </c>
      <c r="S91" s="58">
        <v>35.670999999999999</v>
      </c>
      <c r="T91" s="58">
        <v>99.948999999999998</v>
      </c>
      <c r="U91" s="58">
        <v>78.537000000000006</v>
      </c>
      <c r="V91" s="58">
        <v>21.413</v>
      </c>
      <c r="W91" s="58">
        <v>57.457999999999998</v>
      </c>
      <c r="X91" s="58">
        <v>43.2</v>
      </c>
      <c r="Y91" s="58">
        <v>14.257999999999999</v>
      </c>
      <c r="Z91" s="58">
        <v>231.613</v>
      </c>
      <c r="AA91" s="58">
        <v>96.867000000000004</v>
      </c>
      <c r="AB91" s="58">
        <v>134.74600000000001</v>
      </c>
      <c r="AC91" s="58">
        <v>1560.1469999999999</v>
      </c>
      <c r="AD91" s="58">
        <v>834.61599999999999</v>
      </c>
      <c r="AE91" s="58">
        <v>725.53099999999995</v>
      </c>
      <c r="AF91" s="58">
        <v>583.101</v>
      </c>
      <c r="AG91" s="58">
        <v>441.11200000000002</v>
      </c>
      <c r="AH91" s="58">
        <v>141.989</v>
      </c>
      <c r="AI91" s="58">
        <v>977.04600000000005</v>
      </c>
      <c r="AJ91" s="58">
        <v>393.50299999999999</v>
      </c>
      <c r="AK91" s="58">
        <v>583.54200000000003</v>
      </c>
      <c r="AL91" s="58">
        <v>694.46299999999997</v>
      </c>
      <c r="AM91" s="58">
        <v>527.81399999999996</v>
      </c>
      <c r="AN91" s="58">
        <v>166.649</v>
      </c>
      <c r="AO91" s="58">
        <v>1091.1089999999999</v>
      </c>
      <c r="AP91" s="58">
        <v>438.73099999999999</v>
      </c>
      <c r="AQ91" s="58">
        <v>652.37800000000004</v>
      </c>
      <c r="AR91" s="58">
        <v>1076.9949999999999</v>
      </c>
      <c r="AS91" s="58">
        <v>472.04</v>
      </c>
      <c r="AT91" s="58">
        <v>604.95500000000004</v>
      </c>
      <c r="AU91" s="58">
        <v>12417.365</v>
      </c>
      <c r="AV91" s="58">
        <v>6455.848</v>
      </c>
      <c r="AW91" s="58">
        <v>5961.5169999999998</v>
      </c>
      <c r="AX91" s="58">
        <v>8542.348</v>
      </c>
      <c r="AY91" s="58">
        <v>5262.5829999999996</v>
      </c>
      <c r="AZ91" s="58">
        <v>3279.7649999999999</v>
      </c>
      <c r="BA91" s="58">
        <v>3875.018</v>
      </c>
      <c r="BB91" s="58">
        <v>1193.2650000000001</v>
      </c>
      <c r="BC91" s="58">
        <v>2681.752</v>
      </c>
      <c r="BD91" s="58">
        <v>1712.165</v>
      </c>
      <c r="BE91" s="58">
        <v>921.06600000000003</v>
      </c>
      <c r="BF91" s="58">
        <v>791.09900000000005</v>
      </c>
      <c r="BG91" s="58">
        <v>355.76600000000002</v>
      </c>
      <c r="BH91" s="58">
        <v>196.768</v>
      </c>
      <c r="BI91" s="58">
        <v>158.99700000000001</v>
      </c>
      <c r="BJ91" s="58">
        <v>147.56100000000001</v>
      </c>
      <c r="BK91" s="58">
        <v>112.444</v>
      </c>
      <c r="BL91" s="58">
        <v>35.116999999999997</v>
      </c>
      <c r="BM91" s="58">
        <v>93.25</v>
      </c>
      <c r="BN91" s="58">
        <v>71.837000000000003</v>
      </c>
      <c r="BO91" s="58">
        <v>21.413</v>
      </c>
      <c r="BP91" s="58">
        <v>54.311</v>
      </c>
      <c r="BQ91" s="58">
        <v>40.606999999999999</v>
      </c>
      <c r="BR91" s="58">
        <v>13.704000000000001</v>
      </c>
      <c r="BS91" s="58">
        <v>208.20500000000001</v>
      </c>
      <c r="BT91" s="58">
        <v>84.323999999999998</v>
      </c>
      <c r="BU91" s="58">
        <v>123.88</v>
      </c>
      <c r="BV91" s="58">
        <v>1513.442</v>
      </c>
      <c r="BW91" s="58">
        <v>806.49099999999999</v>
      </c>
      <c r="BX91" s="58">
        <v>706.952</v>
      </c>
      <c r="BY91" s="58">
        <v>570.20299999999997</v>
      </c>
      <c r="BZ91" s="58">
        <v>429.42</v>
      </c>
      <c r="CA91" s="58">
        <v>140.78299999999999</v>
      </c>
      <c r="CB91" s="58">
        <v>943.23900000000003</v>
      </c>
      <c r="CC91" s="58">
        <v>377.07</v>
      </c>
      <c r="CD91" s="58">
        <v>566.16899999999998</v>
      </c>
      <c r="CE91" s="58">
        <v>674.70100000000002</v>
      </c>
      <c r="CF91" s="58">
        <v>509.81299999999999</v>
      </c>
      <c r="CG91" s="58">
        <v>164.88800000000001</v>
      </c>
      <c r="CH91" s="58">
        <v>1037.4639999999999</v>
      </c>
      <c r="CI91" s="58">
        <v>411.25299999999999</v>
      </c>
      <c r="CJ91" s="58">
        <v>626.21100000000001</v>
      </c>
      <c r="CK91" s="58">
        <v>1036.489</v>
      </c>
      <c r="CL91" s="58">
        <v>448.90800000000002</v>
      </c>
      <c r="CM91" s="58">
        <v>587.58100000000002</v>
      </c>
      <c r="CN91" s="58">
        <v>1896.3230000000001</v>
      </c>
      <c r="CO91" s="58">
        <v>938.70500000000004</v>
      </c>
      <c r="CP91" s="58">
        <v>957.61699999999996</v>
      </c>
      <c r="CQ91" s="58">
        <v>794.19500000000005</v>
      </c>
      <c r="CR91" s="58">
        <v>462.78500000000003</v>
      </c>
      <c r="CS91" s="58">
        <v>331.41</v>
      </c>
      <c r="CT91" s="58">
        <v>1102.127</v>
      </c>
      <c r="CU91" s="58">
        <v>475.92</v>
      </c>
      <c r="CV91" s="58">
        <v>626.20699999999999</v>
      </c>
      <c r="CW91" s="58">
        <v>446.51400000000001</v>
      </c>
      <c r="CX91" s="58">
        <v>219.21</v>
      </c>
      <c r="CY91" s="58">
        <v>227.304</v>
      </c>
      <c r="CZ91" s="58">
        <v>80.004000000000005</v>
      </c>
      <c r="DA91" s="58">
        <v>36.664999999999999</v>
      </c>
      <c r="DB91" s="58">
        <v>43.34</v>
      </c>
      <c r="DC91" s="58">
        <v>16.023</v>
      </c>
      <c r="DD91" s="58">
        <v>10.255000000000001</v>
      </c>
      <c r="DE91" s="58">
        <v>5.7679999999999998</v>
      </c>
      <c r="DF91" s="58">
        <v>8.0220000000000002</v>
      </c>
      <c r="DG91" s="58">
        <v>5.8570000000000002</v>
      </c>
      <c r="DH91" s="58">
        <v>2.165</v>
      </c>
      <c r="DI91" s="58">
        <v>8.0009999999999994</v>
      </c>
      <c r="DJ91" s="58">
        <v>4.3979999999999997</v>
      </c>
      <c r="DK91" s="58">
        <v>3.6030000000000002</v>
      </c>
      <c r="DL91" s="58">
        <v>63.981000000000002</v>
      </c>
      <c r="DM91" s="58">
        <v>26.41</v>
      </c>
      <c r="DN91" s="58">
        <v>37.572000000000003</v>
      </c>
      <c r="DO91" s="58">
        <v>408.63600000000002</v>
      </c>
      <c r="DP91" s="58">
        <v>202.05500000000001</v>
      </c>
      <c r="DQ91" s="58">
        <v>206.58099999999999</v>
      </c>
      <c r="DR91" s="58">
        <v>81.316999999999993</v>
      </c>
      <c r="DS91" s="58">
        <v>57.823</v>
      </c>
      <c r="DT91" s="58">
        <v>23.494</v>
      </c>
      <c r="DU91" s="58">
        <v>327.31900000000002</v>
      </c>
      <c r="DV91" s="58">
        <v>144.232</v>
      </c>
      <c r="DW91" s="58">
        <v>183.08699999999999</v>
      </c>
      <c r="DX91" s="58">
        <v>90.912999999999997</v>
      </c>
      <c r="DY91" s="58">
        <v>63.804000000000002</v>
      </c>
      <c r="DZ91" s="58">
        <v>27.109000000000002</v>
      </c>
      <c r="EA91" s="58">
        <v>355.60199999999998</v>
      </c>
      <c r="EB91" s="58">
        <v>155.40600000000001</v>
      </c>
      <c r="EC91" s="58">
        <v>200.196</v>
      </c>
      <c r="ED91" s="58">
        <v>335.34100000000001</v>
      </c>
      <c r="EE91" s="58">
        <v>150.089</v>
      </c>
      <c r="EF91" s="58">
        <v>185.25200000000001</v>
      </c>
      <c r="EG91" s="58">
        <v>689.34299999999996</v>
      </c>
      <c r="EH91" s="58">
        <v>323.53899999999999</v>
      </c>
      <c r="EI91" s="58">
        <v>365.80399999999997</v>
      </c>
      <c r="EJ91" s="58">
        <v>154.36799999999999</v>
      </c>
      <c r="EK91" s="58">
        <v>96.144000000000005</v>
      </c>
      <c r="EL91" s="58">
        <v>58.223999999999997</v>
      </c>
      <c r="EM91" s="58">
        <v>534.97500000000002</v>
      </c>
      <c r="EN91" s="58">
        <v>227.39400000000001</v>
      </c>
      <c r="EO91" s="58">
        <v>307.58</v>
      </c>
      <c r="EP91" s="58">
        <v>191.09899999999999</v>
      </c>
      <c r="EQ91" s="58">
        <v>91.378</v>
      </c>
      <c r="ER91" s="58">
        <v>99.721000000000004</v>
      </c>
      <c r="ES91" s="58">
        <v>36.526000000000003</v>
      </c>
      <c r="ET91" s="58">
        <v>16.997</v>
      </c>
      <c r="EU91" s="58">
        <v>19.53</v>
      </c>
      <c r="EV91" s="58">
        <v>3.9510000000000001</v>
      </c>
      <c r="EW91" s="58">
        <v>2.3940000000000001</v>
      </c>
      <c r="EX91" s="58">
        <v>1.5569999999999999</v>
      </c>
      <c r="EY91" s="58">
        <v>1.8109999999999999</v>
      </c>
      <c r="EZ91" s="58">
        <v>1.8109999999999999</v>
      </c>
      <c r="FA91" s="58">
        <v>0</v>
      </c>
      <c r="FB91" s="58">
        <v>2.14</v>
      </c>
      <c r="FC91" s="58">
        <v>0.58399999999999996</v>
      </c>
      <c r="FD91" s="58">
        <v>1.5569999999999999</v>
      </c>
      <c r="FE91" s="58">
        <v>32.576000000000001</v>
      </c>
      <c r="FF91" s="58">
        <v>14.602</v>
      </c>
      <c r="FG91" s="58">
        <v>17.972999999999999</v>
      </c>
      <c r="FH91" s="58">
        <v>173.33699999999999</v>
      </c>
      <c r="FI91" s="58">
        <v>82.394999999999996</v>
      </c>
      <c r="FJ91" s="58">
        <v>90.941999999999993</v>
      </c>
      <c r="FK91" s="58">
        <v>20.97</v>
      </c>
      <c r="FL91" s="58">
        <v>14.337999999999999</v>
      </c>
      <c r="FM91" s="58">
        <v>6.633</v>
      </c>
      <c r="FN91" s="58">
        <v>152.36600000000001</v>
      </c>
      <c r="FO91" s="58">
        <v>68.057000000000002</v>
      </c>
      <c r="FP91" s="58">
        <v>84.308999999999997</v>
      </c>
      <c r="FQ91" s="58">
        <v>23.66</v>
      </c>
      <c r="FR91" s="58">
        <v>16.45</v>
      </c>
      <c r="FS91" s="58">
        <v>7.21</v>
      </c>
      <c r="FT91" s="58">
        <v>167.43899999999999</v>
      </c>
      <c r="FU91" s="58">
        <v>74.927999999999997</v>
      </c>
      <c r="FV91" s="58">
        <v>92.510999999999996</v>
      </c>
      <c r="FW91" s="58">
        <v>154.17699999999999</v>
      </c>
      <c r="FX91" s="58">
        <v>69.867999999999995</v>
      </c>
      <c r="FY91" s="58">
        <v>84.308999999999997</v>
      </c>
      <c r="FZ91" s="58">
        <v>1206.98</v>
      </c>
      <c r="GA91" s="58">
        <v>615.16700000000003</v>
      </c>
      <c r="GB91" s="58">
        <v>591.81299999999999</v>
      </c>
      <c r="GC91" s="58">
        <v>639.827</v>
      </c>
      <c r="GD91" s="58">
        <v>366.64100000000002</v>
      </c>
      <c r="GE91" s="58">
        <v>273.18599999999998</v>
      </c>
      <c r="GF91" s="58">
        <v>567.15200000000004</v>
      </c>
      <c r="GG91" s="58">
        <v>248.52500000000001</v>
      </c>
      <c r="GH91" s="58">
        <v>318.62700000000001</v>
      </c>
      <c r="GI91" s="58">
        <v>255.41499999999999</v>
      </c>
      <c r="GJ91" s="58">
        <v>127.83199999999999</v>
      </c>
      <c r="GK91" s="58">
        <v>127.583</v>
      </c>
      <c r="GL91" s="58">
        <v>43.478000000000002</v>
      </c>
      <c r="GM91" s="58">
        <v>19.667999999999999</v>
      </c>
      <c r="GN91" s="58">
        <v>23.81</v>
      </c>
      <c r="GO91" s="58">
        <v>12.071999999999999</v>
      </c>
      <c r="GP91" s="58">
        <v>7.8609999999999998</v>
      </c>
      <c r="GQ91" s="58">
        <v>4.2110000000000003</v>
      </c>
      <c r="GR91" s="58">
        <v>6.2110000000000003</v>
      </c>
      <c r="GS91" s="58">
        <v>4.0460000000000003</v>
      </c>
      <c r="GT91" s="58">
        <v>2.165</v>
      </c>
      <c r="GU91" s="58">
        <v>5.8609999999999998</v>
      </c>
      <c r="GV91" s="58">
        <v>3.8149999999999999</v>
      </c>
      <c r="GW91" s="58">
        <v>2.0459999999999998</v>
      </c>
      <c r="GX91" s="58">
        <v>31.405999999999999</v>
      </c>
      <c r="GY91" s="58">
        <v>11.807</v>
      </c>
      <c r="GZ91" s="58">
        <v>19.599</v>
      </c>
      <c r="HA91" s="58">
        <v>235.29900000000001</v>
      </c>
      <c r="HB91" s="58">
        <v>119.66</v>
      </c>
      <c r="HC91" s="58">
        <v>115.639</v>
      </c>
      <c r="HD91" s="58">
        <v>60.347000000000001</v>
      </c>
      <c r="HE91" s="58">
        <v>43.485999999999997</v>
      </c>
      <c r="HF91" s="58">
        <v>16.861000000000001</v>
      </c>
      <c r="HG91" s="58">
        <v>174.952</v>
      </c>
      <c r="HH91" s="58">
        <v>76.174999999999997</v>
      </c>
      <c r="HI91" s="58">
        <v>98.778000000000006</v>
      </c>
      <c r="HJ91" s="58">
        <v>67.251999999999995</v>
      </c>
      <c r="HK91" s="58">
        <v>47.353999999999999</v>
      </c>
      <c r="HL91" s="58">
        <v>19.898</v>
      </c>
      <c r="HM91" s="58">
        <v>188.16300000000001</v>
      </c>
      <c r="HN91" s="58">
        <v>80.477999999999994</v>
      </c>
      <c r="HO91" s="58">
        <v>107.685</v>
      </c>
      <c r="HP91" s="58">
        <v>181.16399999999999</v>
      </c>
      <c r="HQ91" s="58">
        <v>80.221000000000004</v>
      </c>
      <c r="HR91" s="58">
        <v>100.943</v>
      </c>
      <c r="HS91" s="58">
        <v>3037.7179999999998</v>
      </c>
      <c r="HT91" s="58">
        <v>1606.7329999999999</v>
      </c>
      <c r="HU91" s="58">
        <v>1430.9849999999999</v>
      </c>
      <c r="HV91" s="58">
        <v>2278.665</v>
      </c>
      <c r="HW91" s="58">
        <v>1356.0429999999999</v>
      </c>
      <c r="HX91" s="58">
        <v>922.62199999999996</v>
      </c>
      <c r="HY91" s="58">
        <v>759.053</v>
      </c>
      <c r="HZ91" s="58">
        <v>250.69</v>
      </c>
      <c r="IA91" s="58">
        <v>508.363</v>
      </c>
      <c r="IB91" s="58">
        <v>428.41899999999998</v>
      </c>
      <c r="IC91" s="58">
        <v>255.36099999999999</v>
      </c>
      <c r="ID91" s="58">
        <v>173.05799999999999</v>
      </c>
      <c r="IE91" s="58">
        <v>78.465000000000003</v>
      </c>
      <c r="IF91" s="58">
        <v>44.427</v>
      </c>
      <c r="IG91" s="58">
        <v>34.037999999999997</v>
      </c>
      <c r="IH91" s="58">
        <v>33.79</v>
      </c>
      <c r="II91" s="58">
        <v>27.53</v>
      </c>
      <c r="IJ91" s="58">
        <v>6.26</v>
      </c>
      <c r="IK91" s="58">
        <v>22.213999999999999</v>
      </c>
      <c r="IL91" s="58">
        <v>18.123000000000001</v>
      </c>
      <c r="IM91" s="58">
        <v>4.0910000000000002</v>
      </c>
      <c r="IN91" s="58">
        <v>11.576000000000001</v>
      </c>
      <c r="IO91" s="58">
        <v>9.407</v>
      </c>
      <c r="IP91" s="58">
        <v>2.169</v>
      </c>
      <c r="IQ91" s="58">
        <v>44.673999999999999</v>
      </c>
    </row>
    <row r="92" spans="1:251">
      <c r="A92" s="5">
        <v>44287</v>
      </c>
      <c r="B92" s="58">
        <v>13035.543</v>
      </c>
      <c r="C92" s="58">
        <v>6856.549</v>
      </c>
      <c r="D92" s="58">
        <v>6178.9949999999999</v>
      </c>
      <c r="E92" s="58">
        <v>8845.2099999999991</v>
      </c>
      <c r="F92" s="58">
        <v>5481.7349999999997</v>
      </c>
      <c r="G92" s="58">
        <v>3363.4740000000002</v>
      </c>
      <c r="H92" s="58">
        <v>4190.3339999999998</v>
      </c>
      <c r="I92" s="58">
        <v>1374.8130000000001</v>
      </c>
      <c r="J92" s="58">
        <v>2815.5210000000002</v>
      </c>
      <c r="K92" s="58">
        <v>1697.9949999999999</v>
      </c>
      <c r="L92" s="58">
        <v>923.76900000000001</v>
      </c>
      <c r="M92" s="58">
        <v>774.22699999999998</v>
      </c>
      <c r="N92" s="58">
        <v>362.52600000000001</v>
      </c>
      <c r="O92" s="58">
        <v>213.94399999999999</v>
      </c>
      <c r="P92" s="58">
        <v>148.58199999999999</v>
      </c>
      <c r="Q92" s="58">
        <v>141.98500000000001</v>
      </c>
      <c r="R92" s="58">
        <v>105.663</v>
      </c>
      <c r="S92" s="58">
        <v>36.322000000000003</v>
      </c>
      <c r="T92" s="58">
        <v>99.396000000000001</v>
      </c>
      <c r="U92" s="58">
        <v>68.543999999999997</v>
      </c>
      <c r="V92" s="58">
        <v>30.852</v>
      </c>
      <c r="W92" s="58">
        <v>42.588999999999999</v>
      </c>
      <c r="X92" s="58">
        <v>37.119999999999997</v>
      </c>
      <c r="Y92" s="58">
        <v>5.4690000000000003</v>
      </c>
      <c r="Z92" s="58">
        <v>220.541</v>
      </c>
      <c r="AA92" s="58">
        <v>108.28</v>
      </c>
      <c r="AB92" s="58">
        <v>112.261</v>
      </c>
      <c r="AC92" s="58">
        <v>1499.894</v>
      </c>
      <c r="AD92" s="58">
        <v>803.48400000000004</v>
      </c>
      <c r="AE92" s="58">
        <v>696.41</v>
      </c>
      <c r="AF92" s="58">
        <v>532.39400000000001</v>
      </c>
      <c r="AG92" s="58">
        <v>402.17599999999999</v>
      </c>
      <c r="AH92" s="58">
        <v>130.21799999999999</v>
      </c>
      <c r="AI92" s="58">
        <v>967.49900000000002</v>
      </c>
      <c r="AJ92" s="58">
        <v>401.30799999999999</v>
      </c>
      <c r="AK92" s="58">
        <v>566.19200000000001</v>
      </c>
      <c r="AL92" s="58">
        <v>632.22900000000004</v>
      </c>
      <c r="AM92" s="58">
        <v>478.13499999999999</v>
      </c>
      <c r="AN92" s="58">
        <v>154.09299999999999</v>
      </c>
      <c r="AO92" s="58">
        <v>1065.7670000000001</v>
      </c>
      <c r="AP92" s="58">
        <v>445.63299999999998</v>
      </c>
      <c r="AQ92" s="58">
        <v>620.13300000000004</v>
      </c>
      <c r="AR92" s="58">
        <v>1066.895</v>
      </c>
      <c r="AS92" s="58">
        <v>469.85199999999998</v>
      </c>
      <c r="AT92" s="58">
        <v>597.04399999999998</v>
      </c>
      <c r="AU92" s="58">
        <v>12418.098</v>
      </c>
      <c r="AV92" s="58">
        <v>6482.8069999999998</v>
      </c>
      <c r="AW92" s="58">
        <v>5935.2910000000002</v>
      </c>
      <c r="AX92" s="58">
        <v>8545.0149999999994</v>
      </c>
      <c r="AY92" s="58">
        <v>5265.5469999999996</v>
      </c>
      <c r="AZ92" s="58">
        <v>3279.4670000000001</v>
      </c>
      <c r="BA92" s="58">
        <v>3873.0830000000001</v>
      </c>
      <c r="BB92" s="58">
        <v>1217.26</v>
      </c>
      <c r="BC92" s="58">
        <v>2655.8229999999999</v>
      </c>
      <c r="BD92" s="58">
        <v>1635.085</v>
      </c>
      <c r="BE92" s="58">
        <v>883.60199999999998</v>
      </c>
      <c r="BF92" s="58">
        <v>751.48299999999995</v>
      </c>
      <c r="BG92" s="58">
        <v>331.91699999999997</v>
      </c>
      <c r="BH92" s="58">
        <v>190.76400000000001</v>
      </c>
      <c r="BI92" s="58">
        <v>141.15299999999999</v>
      </c>
      <c r="BJ92" s="58">
        <v>134.44800000000001</v>
      </c>
      <c r="BK92" s="58">
        <v>99.192999999999998</v>
      </c>
      <c r="BL92" s="58">
        <v>35.255000000000003</v>
      </c>
      <c r="BM92" s="58">
        <v>94.311999999999998</v>
      </c>
      <c r="BN92" s="58">
        <v>63.844999999999999</v>
      </c>
      <c r="BO92" s="58">
        <v>30.466999999999999</v>
      </c>
      <c r="BP92" s="58">
        <v>40.136000000000003</v>
      </c>
      <c r="BQ92" s="58">
        <v>35.347999999999999</v>
      </c>
      <c r="BR92" s="58">
        <v>4.7880000000000003</v>
      </c>
      <c r="BS92" s="58">
        <v>197.46899999999999</v>
      </c>
      <c r="BT92" s="58">
        <v>91.570999999999998</v>
      </c>
      <c r="BU92" s="58">
        <v>105.898</v>
      </c>
      <c r="BV92" s="58">
        <v>1459.694</v>
      </c>
      <c r="BW92" s="58">
        <v>780.13099999999997</v>
      </c>
      <c r="BX92" s="58">
        <v>679.56399999999996</v>
      </c>
      <c r="BY92" s="58">
        <v>524.57299999999998</v>
      </c>
      <c r="BZ92" s="58">
        <v>395.20800000000003</v>
      </c>
      <c r="CA92" s="58">
        <v>129.36500000000001</v>
      </c>
      <c r="CB92" s="58">
        <v>935.12199999999996</v>
      </c>
      <c r="CC92" s="58">
        <v>384.923</v>
      </c>
      <c r="CD92" s="58">
        <v>550.19899999999996</v>
      </c>
      <c r="CE92" s="58">
        <v>618.29300000000001</v>
      </c>
      <c r="CF92" s="58">
        <v>466.11900000000003</v>
      </c>
      <c r="CG92" s="58">
        <v>152.17400000000001</v>
      </c>
      <c r="CH92" s="58">
        <v>1016.792</v>
      </c>
      <c r="CI92" s="58">
        <v>417.483</v>
      </c>
      <c r="CJ92" s="58">
        <v>599.30899999999997</v>
      </c>
      <c r="CK92" s="58">
        <v>1029.433</v>
      </c>
      <c r="CL92" s="58">
        <v>448.767</v>
      </c>
      <c r="CM92" s="58">
        <v>580.66600000000005</v>
      </c>
      <c r="CN92" s="58">
        <v>1921.8889999999999</v>
      </c>
      <c r="CO92" s="58">
        <v>962.33699999999999</v>
      </c>
      <c r="CP92" s="58">
        <v>959.55200000000002</v>
      </c>
      <c r="CQ92" s="58">
        <v>804.24</v>
      </c>
      <c r="CR92" s="58">
        <v>468.90899999999999</v>
      </c>
      <c r="CS92" s="58">
        <v>335.33100000000002</v>
      </c>
      <c r="CT92" s="58">
        <v>1117.6489999999999</v>
      </c>
      <c r="CU92" s="58">
        <v>493.42700000000002</v>
      </c>
      <c r="CV92" s="58">
        <v>624.221</v>
      </c>
      <c r="CW92" s="58">
        <v>456.38400000000001</v>
      </c>
      <c r="CX92" s="58">
        <v>236.65899999999999</v>
      </c>
      <c r="CY92" s="58">
        <v>219.72499999999999</v>
      </c>
      <c r="CZ92" s="58">
        <v>91.885999999999996</v>
      </c>
      <c r="DA92" s="58">
        <v>50.075000000000003</v>
      </c>
      <c r="DB92" s="58">
        <v>41.811</v>
      </c>
      <c r="DC92" s="58">
        <v>17.29</v>
      </c>
      <c r="DD92" s="58">
        <v>12.958</v>
      </c>
      <c r="DE92" s="58">
        <v>4.3310000000000004</v>
      </c>
      <c r="DF92" s="58">
        <v>14.417999999999999</v>
      </c>
      <c r="DG92" s="58">
        <v>11.026</v>
      </c>
      <c r="DH92" s="58">
        <v>3.3919999999999999</v>
      </c>
      <c r="DI92" s="58">
        <v>2.8719999999999999</v>
      </c>
      <c r="DJ92" s="58">
        <v>1.9319999999999999</v>
      </c>
      <c r="DK92" s="58">
        <v>0.94</v>
      </c>
      <c r="DL92" s="58">
        <v>74.596999999999994</v>
      </c>
      <c r="DM92" s="58">
        <v>37.116999999999997</v>
      </c>
      <c r="DN92" s="58">
        <v>37.479999999999997</v>
      </c>
      <c r="DO92" s="58">
        <v>415.50299999999999</v>
      </c>
      <c r="DP92" s="58">
        <v>215.43</v>
      </c>
      <c r="DQ92" s="58">
        <v>200.07300000000001</v>
      </c>
      <c r="DR92" s="58">
        <v>74.766999999999996</v>
      </c>
      <c r="DS92" s="58">
        <v>50.923000000000002</v>
      </c>
      <c r="DT92" s="58">
        <v>23.843</v>
      </c>
      <c r="DU92" s="58">
        <v>340.73700000000002</v>
      </c>
      <c r="DV92" s="58">
        <v>164.50700000000001</v>
      </c>
      <c r="DW92" s="58">
        <v>176.23</v>
      </c>
      <c r="DX92" s="58">
        <v>84.423000000000002</v>
      </c>
      <c r="DY92" s="58">
        <v>58.747999999999998</v>
      </c>
      <c r="DZ92" s="58">
        <v>25.675000000000001</v>
      </c>
      <c r="EA92" s="58">
        <v>371.96100000000001</v>
      </c>
      <c r="EB92" s="58">
        <v>177.91</v>
      </c>
      <c r="EC92" s="58">
        <v>194.05099999999999</v>
      </c>
      <c r="ED92" s="58">
        <v>355.154</v>
      </c>
      <c r="EE92" s="58">
        <v>175.53299999999999</v>
      </c>
      <c r="EF92" s="58">
        <v>179.62200000000001</v>
      </c>
      <c r="EG92" s="58">
        <v>712.96500000000003</v>
      </c>
      <c r="EH92" s="58">
        <v>339.22399999999999</v>
      </c>
      <c r="EI92" s="58">
        <v>373.74099999999999</v>
      </c>
      <c r="EJ92" s="58">
        <v>164.67</v>
      </c>
      <c r="EK92" s="58">
        <v>105.01600000000001</v>
      </c>
      <c r="EL92" s="58">
        <v>59.654000000000003</v>
      </c>
      <c r="EM92" s="58">
        <v>548.29499999999996</v>
      </c>
      <c r="EN92" s="58">
        <v>234.208</v>
      </c>
      <c r="EO92" s="58">
        <v>314.08699999999999</v>
      </c>
      <c r="EP92" s="58">
        <v>195.98699999999999</v>
      </c>
      <c r="EQ92" s="58">
        <v>93.953999999999994</v>
      </c>
      <c r="ER92" s="58">
        <v>102.033</v>
      </c>
      <c r="ES92" s="58">
        <v>45.87</v>
      </c>
      <c r="ET92" s="58">
        <v>21.867999999999999</v>
      </c>
      <c r="EU92" s="58">
        <v>24.001999999999999</v>
      </c>
      <c r="EV92" s="58">
        <v>6.3710000000000004</v>
      </c>
      <c r="EW92" s="58">
        <v>3.5710000000000002</v>
      </c>
      <c r="EX92" s="58">
        <v>2.8</v>
      </c>
      <c r="EY92" s="58">
        <v>5.87</v>
      </c>
      <c r="EZ92" s="58">
        <v>3.5710000000000002</v>
      </c>
      <c r="FA92" s="58">
        <v>2.2989999999999999</v>
      </c>
      <c r="FB92" s="58">
        <v>0.501</v>
      </c>
      <c r="FC92" s="58">
        <v>0</v>
      </c>
      <c r="FD92" s="58">
        <v>0.501</v>
      </c>
      <c r="FE92" s="58">
        <v>39.499000000000002</v>
      </c>
      <c r="FF92" s="58">
        <v>18.297000000000001</v>
      </c>
      <c r="FG92" s="58">
        <v>21.202000000000002</v>
      </c>
      <c r="FH92" s="58">
        <v>176.17400000000001</v>
      </c>
      <c r="FI92" s="58">
        <v>86.524000000000001</v>
      </c>
      <c r="FJ92" s="58">
        <v>89.650999999999996</v>
      </c>
      <c r="FK92" s="58">
        <v>16.318000000000001</v>
      </c>
      <c r="FL92" s="58">
        <v>11.145</v>
      </c>
      <c r="FM92" s="58">
        <v>5.1740000000000004</v>
      </c>
      <c r="FN92" s="58">
        <v>159.85599999999999</v>
      </c>
      <c r="FO92" s="58">
        <v>75.379000000000005</v>
      </c>
      <c r="FP92" s="58">
        <v>84.477000000000004</v>
      </c>
      <c r="FQ92" s="58">
        <v>19.786000000000001</v>
      </c>
      <c r="FR92" s="58">
        <v>13.760999999999999</v>
      </c>
      <c r="FS92" s="58">
        <v>6.024</v>
      </c>
      <c r="FT92" s="58">
        <v>176.202</v>
      </c>
      <c r="FU92" s="58">
        <v>80.192999999999998</v>
      </c>
      <c r="FV92" s="58">
        <v>96.009</v>
      </c>
      <c r="FW92" s="58">
        <v>165.726</v>
      </c>
      <c r="FX92" s="58">
        <v>78.950999999999993</v>
      </c>
      <c r="FY92" s="58">
        <v>86.775999999999996</v>
      </c>
      <c r="FZ92" s="58">
        <v>1208.924</v>
      </c>
      <c r="GA92" s="58">
        <v>623.11300000000006</v>
      </c>
      <c r="GB92" s="58">
        <v>585.81200000000001</v>
      </c>
      <c r="GC92" s="58">
        <v>639.57000000000005</v>
      </c>
      <c r="GD92" s="58">
        <v>363.89299999999997</v>
      </c>
      <c r="GE92" s="58">
        <v>275.67700000000002</v>
      </c>
      <c r="GF92" s="58">
        <v>569.35400000000004</v>
      </c>
      <c r="GG92" s="58">
        <v>259.22000000000003</v>
      </c>
      <c r="GH92" s="58">
        <v>310.13499999999999</v>
      </c>
      <c r="GI92" s="58">
        <v>260.39699999999999</v>
      </c>
      <c r="GJ92" s="58">
        <v>142.70500000000001</v>
      </c>
      <c r="GK92" s="58">
        <v>117.69199999999999</v>
      </c>
      <c r="GL92" s="58">
        <v>46.015999999999998</v>
      </c>
      <c r="GM92" s="58">
        <v>28.207000000000001</v>
      </c>
      <c r="GN92" s="58">
        <v>17.809000000000001</v>
      </c>
      <c r="GO92" s="58">
        <v>10.917999999999999</v>
      </c>
      <c r="GP92" s="58">
        <v>9.3870000000000005</v>
      </c>
      <c r="GQ92" s="58">
        <v>1.5309999999999999</v>
      </c>
      <c r="GR92" s="58">
        <v>8.5470000000000006</v>
      </c>
      <c r="GS92" s="58">
        <v>7.4550000000000001</v>
      </c>
      <c r="GT92" s="58">
        <v>1.093</v>
      </c>
      <c r="GU92" s="58">
        <v>2.371</v>
      </c>
      <c r="GV92" s="58">
        <v>1.9319999999999999</v>
      </c>
      <c r="GW92" s="58">
        <v>0.438</v>
      </c>
      <c r="GX92" s="58">
        <v>35.097999999999999</v>
      </c>
      <c r="GY92" s="58">
        <v>18.82</v>
      </c>
      <c r="GZ92" s="58">
        <v>16.277999999999999</v>
      </c>
      <c r="HA92" s="58">
        <v>239.32900000000001</v>
      </c>
      <c r="HB92" s="58">
        <v>128.90600000000001</v>
      </c>
      <c r="HC92" s="58">
        <v>110.423</v>
      </c>
      <c r="HD92" s="58">
        <v>58.448</v>
      </c>
      <c r="HE92" s="58">
        <v>39.779000000000003</v>
      </c>
      <c r="HF92" s="58">
        <v>18.670000000000002</v>
      </c>
      <c r="HG92" s="58">
        <v>180.881</v>
      </c>
      <c r="HH92" s="58">
        <v>89.126999999999995</v>
      </c>
      <c r="HI92" s="58">
        <v>91.753</v>
      </c>
      <c r="HJ92" s="58">
        <v>64.637</v>
      </c>
      <c r="HK92" s="58">
        <v>44.987000000000002</v>
      </c>
      <c r="HL92" s="58">
        <v>19.649999999999999</v>
      </c>
      <c r="HM92" s="58">
        <v>195.75899999999999</v>
      </c>
      <c r="HN92" s="58">
        <v>97.718000000000004</v>
      </c>
      <c r="HO92" s="58">
        <v>98.040999999999997</v>
      </c>
      <c r="HP92" s="58">
        <v>189.428</v>
      </c>
      <c r="HQ92" s="58">
        <v>96.581999999999994</v>
      </c>
      <c r="HR92" s="58">
        <v>92.846000000000004</v>
      </c>
      <c r="HS92" s="58">
        <v>3037.3719999999998</v>
      </c>
      <c r="HT92" s="58">
        <v>1602.1969999999999</v>
      </c>
      <c r="HU92" s="58">
        <v>1435.174</v>
      </c>
      <c r="HV92" s="58">
        <v>2300.36</v>
      </c>
      <c r="HW92" s="58">
        <v>1359.248</v>
      </c>
      <c r="HX92" s="58">
        <v>941.11199999999997</v>
      </c>
      <c r="HY92" s="58">
        <v>737.01199999999994</v>
      </c>
      <c r="HZ92" s="58">
        <v>242.94900000000001</v>
      </c>
      <c r="IA92" s="58">
        <v>494.06299999999999</v>
      </c>
      <c r="IB92" s="58">
        <v>395.15300000000002</v>
      </c>
      <c r="IC92" s="58">
        <v>231.471</v>
      </c>
      <c r="ID92" s="58">
        <v>163.68199999999999</v>
      </c>
      <c r="IE92" s="58">
        <v>66.066999999999993</v>
      </c>
      <c r="IF92" s="58">
        <v>41.848999999999997</v>
      </c>
      <c r="IG92" s="58">
        <v>24.218</v>
      </c>
      <c r="IH92" s="58">
        <v>33.390999999999998</v>
      </c>
      <c r="II92" s="58">
        <v>27.146999999999998</v>
      </c>
      <c r="IJ92" s="58">
        <v>6.2439999999999998</v>
      </c>
      <c r="IK92" s="58">
        <v>20.724</v>
      </c>
      <c r="IL92" s="58">
        <v>15.114000000000001</v>
      </c>
      <c r="IM92" s="58">
        <v>5.6109999999999998</v>
      </c>
      <c r="IN92" s="58">
        <v>12.667</v>
      </c>
      <c r="IO92" s="58">
        <v>12.032999999999999</v>
      </c>
      <c r="IP92" s="58">
        <v>0.63400000000000001</v>
      </c>
      <c r="IQ92" s="58">
        <v>32.674999999999997</v>
      </c>
    </row>
    <row r="93" spans="1:251">
      <c r="A93" s="5">
        <v>44317</v>
      </c>
      <c r="B93" s="58">
        <v>13202.96</v>
      </c>
      <c r="C93" s="58">
        <v>6905.9709999999995</v>
      </c>
      <c r="D93" s="58">
        <v>6296.9880000000003</v>
      </c>
      <c r="E93" s="58">
        <v>8957.6229999999996</v>
      </c>
      <c r="F93" s="58">
        <v>5517.875</v>
      </c>
      <c r="G93" s="58">
        <v>3439.748</v>
      </c>
      <c r="H93" s="58">
        <v>4245.3370000000004</v>
      </c>
      <c r="I93" s="58">
        <v>1388.097</v>
      </c>
      <c r="J93" s="58">
        <v>2857.24</v>
      </c>
      <c r="K93" s="58">
        <v>1686.01</v>
      </c>
      <c r="L93" s="58">
        <v>911.54200000000003</v>
      </c>
      <c r="M93" s="58">
        <v>774.46799999999996</v>
      </c>
      <c r="N93" s="58">
        <v>344.38299999999998</v>
      </c>
      <c r="O93" s="58">
        <v>191.97</v>
      </c>
      <c r="P93" s="58">
        <v>152.41300000000001</v>
      </c>
      <c r="Q93" s="58">
        <v>124.896</v>
      </c>
      <c r="R93" s="58">
        <v>90.83</v>
      </c>
      <c r="S93" s="58">
        <v>34.066000000000003</v>
      </c>
      <c r="T93" s="58">
        <v>82.417000000000002</v>
      </c>
      <c r="U93" s="58">
        <v>59.024999999999999</v>
      </c>
      <c r="V93" s="58">
        <v>23.391999999999999</v>
      </c>
      <c r="W93" s="58">
        <v>42.478999999999999</v>
      </c>
      <c r="X93" s="58">
        <v>31.805</v>
      </c>
      <c r="Y93" s="58">
        <v>10.673999999999999</v>
      </c>
      <c r="Z93" s="58">
        <v>219.48699999999999</v>
      </c>
      <c r="AA93" s="58">
        <v>101.14</v>
      </c>
      <c r="AB93" s="58">
        <v>118.34699999999999</v>
      </c>
      <c r="AC93" s="58">
        <v>1495.1120000000001</v>
      </c>
      <c r="AD93" s="58">
        <v>800.57899999999995</v>
      </c>
      <c r="AE93" s="58">
        <v>694.53399999999999</v>
      </c>
      <c r="AF93" s="58">
        <v>544.38099999999997</v>
      </c>
      <c r="AG93" s="58">
        <v>393.98200000000003</v>
      </c>
      <c r="AH93" s="58">
        <v>150.399</v>
      </c>
      <c r="AI93" s="58">
        <v>950.73099999999999</v>
      </c>
      <c r="AJ93" s="58">
        <v>406.59699999999998</v>
      </c>
      <c r="AK93" s="58">
        <v>544.13400000000001</v>
      </c>
      <c r="AL93" s="58">
        <v>637.53899999999999</v>
      </c>
      <c r="AM93" s="58">
        <v>461.59199999999998</v>
      </c>
      <c r="AN93" s="58">
        <v>175.947</v>
      </c>
      <c r="AO93" s="58">
        <v>1048.471</v>
      </c>
      <c r="AP93" s="58">
        <v>449.95</v>
      </c>
      <c r="AQ93" s="58">
        <v>598.52</v>
      </c>
      <c r="AR93" s="58">
        <v>1033.1479999999999</v>
      </c>
      <c r="AS93" s="58">
        <v>465.62200000000001</v>
      </c>
      <c r="AT93" s="58">
        <v>567.52599999999995</v>
      </c>
      <c r="AU93" s="58">
        <v>12562.706</v>
      </c>
      <c r="AV93" s="58">
        <v>6522.1319999999996</v>
      </c>
      <c r="AW93" s="58">
        <v>6040.5739999999996</v>
      </c>
      <c r="AX93" s="58">
        <v>8671.4869999999992</v>
      </c>
      <c r="AY93" s="58">
        <v>5309.7969999999996</v>
      </c>
      <c r="AZ93" s="58">
        <v>3361.69</v>
      </c>
      <c r="BA93" s="58">
        <v>3891.22</v>
      </c>
      <c r="BB93" s="58">
        <v>1212.335</v>
      </c>
      <c r="BC93" s="58">
        <v>2678.884</v>
      </c>
      <c r="BD93" s="58">
        <v>1626.3</v>
      </c>
      <c r="BE93" s="58">
        <v>871.07</v>
      </c>
      <c r="BF93" s="58">
        <v>755.23</v>
      </c>
      <c r="BG93" s="58">
        <v>317.17500000000001</v>
      </c>
      <c r="BH93" s="58">
        <v>173.78299999999999</v>
      </c>
      <c r="BI93" s="58">
        <v>143.392</v>
      </c>
      <c r="BJ93" s="58">
        <v>119.727</v>
      </c>
      <c r="BK93" s="58">
        <v>86.052000000000007</v>
      </c>
      <c r="BL93" s="58">
        <v>33.674999999999997</v>
      </c>
      <c r="BM93" s="58">
        <v>78.39</v>
      </c>
      <c r="BN93" s="58">
        <v>55.389000000000003</v>
      </c>
      <c r="BO93" s="58">
        <v>23.001000000000001</v>
      </c>
      <c r="BP93" s="58">
        <v>41.335999999999999</v>
      </c>
      <c r="BQ93" s="58">
        <v>30.663</v>
      </c>
      <c r="BR93" s="58">
        <v>10.673999999999999</v>
      </c>
      <c r="BS93" s="58">
        <v>197.44800000000001</v>
      </c>
      <c r="BT93" s="58">
        <v>87.730999999999995</v>
      </c>
      <c r="BU93" s="58">
        <v>109.718</v>
      </c>
      <c r="BV93" s="58">
        <v>1456.1389999999999</v>
      </c>
      <c r="BW93" s="58">
        <v>773.37400000000002</v>
      </c>
      <c r="BX93" s="58">
        <v>682.76499999999999</v>
      </c>
      <c r="BY93" s="58">
        <v>533.89099999999996</v>
      </c>
      <c r="BZ93" s="58">
        <v>385.20100000000002</v>
      </c>
      <c r="CA93" s="58">
        <v>148.691</v>
      </c>
      <c r="CB93" s="58">
        <v>922.24800000000005</v>
      </c>
      <c r="CC93" s="58">
        <v>388.173</v>
      </c>
      <c r="CD93" s="58">
        <v>534.07500000000005</v>
      </c>
      <c r="CE93" s="58">
        <v>623.06700000000001</v>
      </c>
      <c r="CF93" s="58">
        <v>448.82799999999997</v>
      </c>
      <c r="CG93" s="58">
        <v>174.238</v>
      </c>
      <c r="CH93" s="58">
        <v>1003.234</v>
      </c>
      <c r="CI93" s="58">
        <v>422.24200000000002</v>
      </c>
      <c r="CJ93" s="58">
        <v>580.99199999999996</v>
      </c>
      <c r="CK93" s="58">
        <v>1000.638</v>
      </c>
      <c r="CL93" s="58">
        <v>443.56200000000001</v>
      </c>
      <c r="CM93" s="58">
        <v>557.07600000000002</v>
      </c>
      <c r="CN93" s="58">
        <v>1933.3219999999999</v>
      </c>
      <c r="CO93" s="58">
        <v>953.447</v>
      </c>
      <c r="CP93" s="58">
        <v>979.875</v>
      </c>
      <c r="CQ93" s="58">
        <v>791.47199999999998</v>
      </c>
      <c r="CR93" s="58">
        <v>459.61</v>
      </c>
      <c r="CS93" s="58">
        <v>331.86099999999999</v>
      </c>
      <c r="CT93" s="58">
        <v>1141.8499999999999</v>
      </c>
      <c r="CU93" s="58">
        <v>493.83600000000001</v>
      </c>
      <c r="CV93" s="58">
        <v>648.01400000000001</v>
      </c>
      <c r="CW93" s="58">
        <v>444.05900000000003</v>
      </c>
      <c r="CX93" s="58">
        <v>233.57499999999999</v>
      </c>
      <c r="CY93" s="58">
        <v>210.483</v>
      </c>
      <c r="CZ93" s="58">
        <v>86.840999999999994</v>
      </c>
      <c r="DA93" s="58">
        <v>43.859000000000002</v>
      </c>
      <c r="DB93" s="58">
        <v>42.981999999999999</v>
      </c>
      <c r="DC93" s="58">
        <v>14.563000000000001</v>
      </c>
      <c r="DD93" s="58">
        <v>11.102</v>
      </c>
      <c r="DE93" s="58">
        <v>3.4609999999999999</v>
      </c>
      <c r="DF93" s="58">
        <v>12.747</v>
      </c>
      <c r="DG93" s="58">
        <v>9.9570000000000007</v>
      </c>
      <c r="DH93" s="58">
        <v>2.79</v>
      </c>
      <c r="DI93" s="58">
        <v>1.8160000000000001</v>
      </c>
      <c r="DJ93" s="58">
        <v>1.145</v>
      </c>
      <c r="DK93" s="58">
        <v>0.67100000000000004</v>
      </c>
      <c r="DL93" s="58">
        <v>72.278000000000006</v>
      </c>
      <c r="DM93" s="58">
        <v>32.756999999999998</v>
      </c>
      <c r="DN93" s="58">
        <v>39.521000000000001</v>
      </c>
      <c r="DO93" s="58">
        <v>401.88600000000002</v>
      </c>
      <c r="DP93" s="58">
        <v>210.84700000000001</v>
      </c>
      <c r="DQ93" s="58">
        <v>191.03899999999999</v>
      </c>
      <c r="DR93" s="58">
        <v>84.111000000000004</v>
      </c>
      <c r="DS93" s="58">
        <v>58.84</v>
      </c>
      <c r="DT93" s="58">
        <v>25.271000000000001</v>
      </c>
      <c r="DU93" s="58">
        <v>317.77499999999998</v>
      </c>
      <c r="DV93" s="58">
        <v>152.00700000000001</v>
      </c>
      <c r="DW93" s="58">
        <v>165.768</v>
      </c>
      <c r="DX93" s="58">
        <v>95.34</v>
      </c>
      <c r="DY93" s="58">
        <v>67.010999999999996</v>
      </c>
      <c r="DZ93" s="58">
        <v>28.329000000000001</v>
      </c>
      <c r="EA93" s="58">
        <v>348.71899999999999</v>
      </c>
      <c r="EB93" s="58">
        <v>166.56399999999999</v>
      </c>
      <c r="EC93" s="58">
        <v>182.155</v>
      </c>
      <c r="ED93" s="58">
        <v>330.52199999999999</v>
      </c>
      <c r="EE93" s="58">
        <v>161.964</v>
      </c>
      <c r="EF93" s="58">
        <v>168.55799999999999</v>
      </c>
      <c r="EG93" s="58">
        <v>717.18200000000002</v>
      </c>
      <c r="EH93" s="58">
        <v>332.69299999999998</v>
      </c>
      <c r="EI93" s="58">
        <v>384.48899999999998</v>
      </c>
      <c r="EJ93" s="58">
        <v>151.31700000000001</v>
      </c>
      <c r="EK93" s="58">
        <v>98.486999999999995</v>
      </c>
      <c r="EL93" s="58">
        <v>52.83</v>
      </c>
      <c r="EM93" s="58">
        <v>565.86400000000003</v>
      </c>
      <c r="EN93" s="58">
        <v>234.20599999999999</v>
      </c>
      <c r="EO93" s="58">
        <v>331.65800000000002</v>
      </c>
      <c r="EP93" s="58">
        <v>186.76900000000001</v>
      </c>
      <c r="EQ93" s="58">
        <v>94.41</v>
      </c>
      <c r="ER93" s="58">
        <v>92.358000000000004</v>
      </c>
      <c r="ES93" s="58">
        <v>43.165999999999997</v>
      </c>
      <c r="ET93" s="58">
        <v>22.760999999999999</v>
      </c>
      <c r="EU93" s="58">
        <v>20.405000000000001</v>
      </c>
      <c r="EV93" s="58">
        <v>2.7709999999999999</v>
      </c>
      <c r="EW93" s="58">
        <v>2.7709999999999999</v>
      </c>
      <c r="EX93" s="58">
        <v>0</v>
      </c>
      <c r="EY93" s="58">
        <v>2.403</v>
      </c>
      <c r="EZ93" s="58">
        <v>2.403</v>
      </c>
      <c r="FA93" s="58">
        <v>0</v>
      </c>
      <c r="FB93" s="58">
        <v>0.36799999999999999</v>
      </c>
      <c r="FC93" s="58">
        <v>0.36799999999999999</v>
      </c>
      <c r="FD93" s="58">
        <v>0</v>
      </c>
      <c r="FE93" s="58">
        <v>40.393999999999998</v>
      </c>
      <c r="FF93" s="58">
        <v>19.989999999999998</v>
      </c>
      <c r="FG93" s="58">
        <v>20.405000000000001</v>
      </c>
      <c r="FH93" s="58">
        <v>164.535</v>
      </c>
      <c r="FI93" s="58">
        <v>83.102999999999994</v>
      </c>
      <c r="FJ93" s="58">
        <v>81.432000000000002</v>
      </c>
      <c r="FK93" s="58">
        <v>14.741</v>
      </c>
      <c r="FL93" s="58">
        <v>13.007999999999999</v>
      </c>
      <c r="FM93" s="58">
        <v>1.7330000000000001</v>
      </c>
      <c r="FN93" s="58">
        <v>149.79400000000001</v>
      </c>
      <c r="FO93" s="58">
        <v>70.096000000000004</v>
      </c>
      <c r="FP93" s="58">
        <v>79.698999999999998</v>
      </c>
      <c r="FQ93" s="58">
        <v>16.959</v>
      </c>
      <c r="FR93" s="58">
        <v>15.226000000000001</v>
      </c>
      <c r="FS93" s="58">
        <v>1.7330000000000001</v>
      </c>
      <c r="FT93" s="58">
        <v>169.81</v>
      </c>
      <c r="FU93" s="58">
        <v>79.183999999999997</v>
      </c>
      <c r="FV93" s="58">
        <v>90.625</v>
      </c>
      <c r="FW93" s="58">
        <v>152.19800000000001</v>
      </c>
      <c r="FX93" s="58">
        <v>72.498999999999995</v>
      </c>
      <c r="FY93" s="58">
        <v>79.698999999999998</v>
      </c>
      <c r="FZ93" s="58">
        <v>1216.1400000000001</v>
      </c>
      <c r="GA93" s="58">
        <v>620.75400000000002</v>
      </c>
      <c r="GB93" s="58">
        <v>595.38699999999994</v>
      </c>
      <c r="GC93" s="58">
        <v>640.154</v>
      </c>
      <c r="GD93" s="58">
        <v>361.12299999999999</v>
      </c>
      <c r="GE93" s="58">
        <v>279.03100000000001</v>
      </c>
      <c r="GF93" s="58">
        <v>575.98599999999999</v>
      </c>
      <c r="GG93" s="58">
        <v>259.63099999999997</v>
      </c>
      <c r="GH93" s="58">
        <v>316.35500000000002</v>
      </c>
      <c r="GI93" s="58">
        <v>257.29000000000002</v>
      </c>
      <c r="GJ93" s="58">
        <v>139.16499999999999</v>
      </c>
      <c r="GK93" s="58">
        <v>118.125</v>
      </c>
      <c r="GL93" s="58">
        <v>43.676000000000002</v>
      </c>
      <c r="GM93" s="58">
        <v>21.097999999999999</v>
      </c>
      <c r="GN93" s="58">
        <v>22.577000000000002</v>
      </c>
      <c r="GO93" s="58">
        <v>11.792</v>
      </c>
      <c r="GP93" s="58">
        <v>8.3309999999999995</v>
      </c>
      <c r="GQ93" s="58">
        <v>3.4609999999999999</v>
      </c>
      <c r="GR93" s="58">
        <v>10.343999999999999</v>
      </c>
      <c r="GS93" s="58">
        <v>7.5540000000000003</v>
      </c>
      <c r="GT93" s="58">
        <v>2.79</v>
      </c>
      <c r="GU93" s="58">
        <v>1.448</v>
      </c>
      <c r="GV93" s="58">
        <v>0.77700000000000002</v>
      </c>
      <c r="GW93" s="58">
        <v>0.67100000000000004</v>
      </c>
      <c r="GX93" s="58">
        <v>31.884</v>
      </c>
      <c r="GY93" s="58">
        <v>12.768000000000001</v>
      </c>
      <c r="GZ93" s="58">
        <v>19.116</v>
      </c>
      <c r="HA93" s="58">
        <v>237.351</v>
      </c>
      <c r="HB93" s="58">
        <v>127.744</v>
      </c>
      <c r="HC93" s="58">
        <v>109.607</v>
      </c>
      <c r="HD93" s="58">
        <v>69.37</v>
      </c>
      <c r="HE93" s="58">
        <v>45.832000000000001</v>
      </c>
      <c r="HF93" s="58">
        <v>23.538</v>
      </c>
      <c r="HG93" s="58">
        <v>167.98099999999999</v>
      </c>
      <c r="HH93" s="58">
        <v>81.912000000000006</v>
      </c>
      <c r="HI93" s="58">
        <v>86.069000000000003</v>
      </c>
      <c r="HJ93" s="58">
        <v>78.381</v>
      </c>
      <c r="HK93" s="58">
        <v>51.784999999999997</v>
      </c>
      <c r="HL93" s="58">
        <v>26.594999999999999</v>
      </c>
      <c r="HM93" s="58">
        <v>178.90899999999999</v>
      </c>
      <c r="HN93" s="58">
        <v>87.38</v>
      </c>
      <c r="HO93" s="58">
        <v>91.528999999999996</v>
      </c>
      <c r="HP93" s="58">
        <v>178.32400000000001</v>
      </c>
      <c r="HQ93" s="58">
        <v>89.465000000000003</v>
      </c>
      <c r="HR93" s="58">
        <v>88.858999999999995</v>
      </c>
      <c r="HS93" s="58">
        <v>3073.252</v>
      </c>
      <c r="HT93" s="58">
        <v>1626.4929999999999</v>
      </c>
      <c r="HU93" s="58">
        <v>1446.759</v>
      </c>
      <c r="HV93" s="58">
        <v>2331.6280000000002</v>
      </c>
      <c r="HW93" s="58">
        <v>1379.354</v>
      </c>
      <c r="HX93" s="58">
        <v>952.274</v>
      </c>
      <c r="HY93" s="58">
        <v>741.62400000000002</v>
      </c>
      <c r="HZ93" s="58">
        <v>247.13900000000001</v>
      </c>
      <c r="IA93" s="58">
        <v>494.48500000000001</v>
      </c>
      <c r="IB93" s="58">
        <v>376.36500000000001</v>
      </c>
      <c r="IC93" s="58">
        <v>220.15600000000001</v>
      </c>
      <c r="ID93" s="58">
        <v>156.208</v>
      </c>
      <c r="IE93" s="58">
        <v>57.582999999999998</v>
      </c>
      <c r="IF93" s="58">
        <v>31.03</v>
      </c>
      <c r="IG93" s="58">
        <v>26.553000000000001</v>
      </c>
      <c r="IH93" s="58">
        <v>26.228999999999999</v>
      </c>
      <c r="II93" s="58">
        <v>17.056000000000001</v>
      </c>
      <c r="IJ93" s="58">
        <v>9.1739999999999995</v>
      </c>
      <c r="IK93" s="58">
        <v>15.596</v>
      </c>
      <c r="IL93" s="58">
        <v>10.978999999999999</v>
      </c>
      <c r="IM93" s="58">
        <v>4.6180000000000003</v>
      </c>
      <c r="IN93" s="58">
        <v>10.632999999999999</v>
      </c>
      <c r="IO93" s="58">
        <v>6.077</v>
      </c>
      <c r="IP93" s="58">
        <v>4.556</v>
      </c>
      <c r="IQ93" s="58">
        <v>31.353000000000002</v>
      </c>
    </row>
    <row r="94" spans="1:251">
      <c r="A94" s="5">
        <v>44348</v>
      </c>
      <c r="B94" s="58">
        <v>13183.963</v>
      </c>
      <c r="C94" s="58">
        <v>6914.5789999999997</v>
      </c>
      <c r="D94" s="58">
        <v>6269.384</v>
      </c>
      <c r="E94" s="58">
        <v>8997.0650000000005</v>
      </c>
      <c r="F94" s="58">
        <v>5563.7659999999996</v>
      </c>
      <c r="G94" s="58">
        <v>3433.299</v>
      </c>
      <c r="H94" s="58">
        <v>4186.8980000000001</v>
      </c>
      <c r="I94" s="58">
        <v>1350.8140000000001</v>
      </c>
      <c r="J94" s="58">
        <v>2836.085</v>
      </c>
      <c r="K94" s="58">
        <v>1861.77</v>
      </c>
      <c r="L94" s="58">
        <v>1008.977</v>
      </c>
      <c r="M94" s="58">
        <v>852.79200000000003</v>
      </c>
      <c r="N94" s="58">
        <v>519.03099999999995</v>
      </c>
      <c r="O94" s="58">
        <v>281.67599999999999</v>
      </c>
      <c r="P94" s="58">
        <v>237.35499999999999</v>
      </c>
      <c r="Q94" s="58">
        <v>224.41399999999999</v>
      </c>
      <c r="R94" s="58">
        <v>153.18</v>
      </c>
      <c r="S94" s="58">
        <v>71.233999999999995</v>
      </c>
      <c r="T94" s="58">
        <v>145.523</v>
      </c>
      <c r="U94" s="58">
        <v>89.623000000000005</v>
      </c>
      <c r="V94" s="58">
        <v>55.899000000000001</v>
      </c>
      <c r="W94" s="58">
        <v>78.891999999999996</v>
      </c>
      <c r="X94" s="58">
        <v>63.557000000000002</v>
      </c>
      <c r="Y94" s="58">
        <v>15.334</v>
      </c>
      <c r="Z94" s="58">
        <v>294.61700000000002</v>
      </c>
      <c r="AA94" s="58">
        <v>128.495</v>
      </c>
      <c r="AB94" s="58">
        <v>166.12200000000001</v>
      </c>
      <c r="AC94" s="58">
        <v>1519.1679999999999</v>
      </c>
      <c r="AD94" s="58">
        <v>825.28499999999997</v>
      </c>
      <c r="AE94" s="58">
        <v>693.88300000000004</v>
      </c>
      <c r="AF94" s="58">
        <v>572.33900000000006</v>
      </c>
      <c r="AG94" s="58">
        <v>419.93799999999999</v>
      </c>
      <c r="AH94" s="58">
        <v>152.40199999999999</v>
      </c>
      <c r="AI94" s="58">
        <v>946.82899999999995</v>
      </c>
      <c r="AJ94" s="58">
        <v>405.34800000000001</v>
      </c>
      <c r="AK94" s="58">
        <v>541.48099999999999</v>
      </c>
      <c r="AL94" s="58">
        <v>752.6</v>
      </c>
      <c r="AM94" s="58">
        <v>538.78800000000001</v>
      </c>
      <c r="AN94" s="58">
        <v>213.81200000000001</v>
      </c>
      <c r="AO94" s="58">
        <v>1109.17</v>
      </c>
      <c r="AP94" s="58">
        <v>470.19</v>
      </c>
      <c r="AQ94" s="58">
        <v>638.98</v>
      </c>
      <c r="AR94" s="58">
        <v>1092.3520000000001</v>
      </c>
      <c r="AS94" s="58">
        <v>494.971</v>
      </c>
      <c r="AT94" s="58">
        <v>597.38099999999997</v>
      </c>
      <c r="AU94" s="58">
        <v>12546.468000000001</v>
      </c>
      <c r="AV94" s="58">
        <v>6523.2849999999999</v>
      </c>
      <c r="AW94" s="58">
        <v>6023.183</v>
      </c>
      <c r="AX94" s="58">
        <v>8701.8950000000004</v>
      </c>
      <c r="AY94" s="58">
        <v>5351.7719999999999</v>
      </c>
      <c r="AZ94" s="58">
        <v>3350.1219999999998</v>
      </c>
      <c r="BA94" s="58">
        <v>3844.5729999999999</v>
      </c>
      <c r="BB94" s="58">
        <v>1171.5129999999999</v>
      </c>
      <c r="BC94" s="58">
        <v>2673.06</v>
      </c>
      <c r="BD94" s="58">
        <v>1796.7360000000001</v>
      </c>
      <c r="BE94" s="58">
        <v>963.33299999999997</v>
      </c>
      <c r="BF94" s="58">
        <v>833.40300000000002</v>
      </c>
      <c r="BG94" s="58">
        <v>487.63</v>
      </c>
      <c r="BH94" s="58">
        <v>258.56900000000002</v>
      </c>
      <c r="BI94" s="58">
        <v>229.06100000000001</v>
      </c>
      <c r="BJ94" s="58">
        <v>214.93899999999999</v>
      </c>
      <c r="BK94" s="58">
        <v>145.06899999999999</v>
      </c>
      <c r="BL94" s="58">
        <v>69.87</v>
      </c>
      <c r="BM94" s="58">
        <v>139.142</v>
      </c>
      <c r="BN94" s="58">
        <v>84.606999999999999</v>
      </c>
      <c r="BO94" s="58">
        <v>54.534999999999997</v>
      </c>
      <c r="BP94" s="58">
        <v>75.796999999999997</v>
      </c>
      <c r="BQ94" s="58">
        <v>60.463000000000001</v>
      </c>
      <c r="BR94" s="58">
        <v>15.334</v>
      </c>
      <c r="BS94" s="58">
        <v>272.69099999999997</v>
      </c>
      <c r="BT94" s="58">
        <v>113.499</v>
      </c>
      <c r="BU94" s="58">
        <v>159.191</v>
      </c>
      <c r="BV94" s="58">
        <v>1478.057</v>
      </c>
      <c r="BW94" s="58">
        <v>796.76900000000001</v>
      </c>
      <c r="BX94" s="58">
        <v>681.28800000000001</v>
      </c>
      <c r="BY94" s="58">
        <v>561.06600000000003</v>
      </c>
      <c r="BZ94" s="58">
        <v>410.31599999999997</v>
      </c>
      <c r="CA94" s="58">
        <v>150.75</v>
      </c>
      <c r="CB94" s="58">
        <v>916.99099999999999</v>
      </c>
      <c r="CC94" s="58">
        <v>386.452</v>
      </c>
      <c r="CD94" s="58">
        <v>530.53899999999999</v>
      </c>
      <c r="CE94" s="58">
        <v>734.58199999999999</v>
      </c>
      <c r="CF94" s="58">
        <v>523.41700000000003</v>
      </c>
      <c r="CG94" s="58">
        <v>211.16499999999999</v>
      </c>
      <c r="CH94" s="58">
        <v>1062.153</v>
      </c>
      <c r="CI94" s="58">
        <v>439.916</v>
      </c>
      <c r="CJ94" s="58">
        <v>622.23800000000006</v>
      </c>
      <c r="CK94" s="58">
        <v>1056.133</v>
      </c>
      <c r="CL94" s="58">
        <v>471.05900000000003</v>
      </c>
      <c r="CM94" s="58">
        <v>585.07399999999996</v>
      </c>
      <c r="CN94" s="58">
        <v>1925.5070000000001</v>
      </c>
      <c r="CO94" s="58">
        <v>958.97799999999995</v>
      </c>
      <c r="CP94" s="58">
        <v>966.529</v>
      </c>
      <c r="CQ94" s="58">
        <v>809.80799999999999</v>
      </c>
      <c r="CR94" s="58">
        <v>468.85199999999998</v>
      </c>
      <c r="CS94" s="58">
        <v>340.95600000000002</v>
      </c>
      <c r="CT94" s="58">
        <v>1115.6990000000001</v>
      </c>
      <c r="CU94" s="58">
        <v>490.12599999999998</v>
      </c>
      <c r="CV94" s="58">
        <v>625.57299999999998</v>
      </c>
      <c r="CW94" s="58">
        <v>470.44200000000001</v>
      </c>
      <c r="CX94" s="58">
        <v>241.88499999999999</v>
      </c>
      <c r="CY94" s="58">
        <v>228.55699999999999</v>
      </c>
      <c r="CZ94" s="58">
        <v>130.78700000000001</v>
      </c>
      <c r="DA94" s="58">
        <v>62.817</v>
      </c>
      <c r="DB94" s="58">
        <v>67.971000000000004</v>
      </c>
      <c r="DC94" s="58">
        <v>23.097000000000001</v>
      </c>
      <c r="DD94" s="58">
        <v>10.38</v>
      </c>
      <c r="DE94" s="58">
        <v>12.717000000000001</v>
      </c>
      <c r="DF94" s="58">
        <v>18.146999999999998</v>
      </c>
      <c r="DG94" s="58">
        <v>6.9080000000000004</v>
      </c>
      <c r="DH94" s="58">
        <v>11.239000000000001</v>
      </c>
      <c r="DI94" s="58">
        <v>4.95</v>
      </c>
      <c r="DJ94" s="58">
        <v>3.472</v>
      </c>
      <c r="DK94" s="58">
        <v>1.478</v>
      </c>
      <c r="DL94" s="58">
        <v>107.691</v>
      </c>
      <c r="DM94" s="58">
        <v>52.436999999999998</v>
      </c>
      <c r="DN94" s="58">
        <v>55.253999999999998</v>
      </c>
      <c r="DO94" s="58">
        <v>392.95400000000001</v>
      </c>
      <c r="DP94" s="58">
        <v>208.97399999999999</v>
      </c>
      <c r="DQ94" s="58">
        <v>183.98</v>
      </c>
      <c r="DR94" s="58">
        <v>74.213999999999999</v>
      </c>
      <c r="DS94" s="58">
        <v>51.351999999999997</v>
      </c>
      <c r="DT94" s="58">
        <v>22.861999999999998</v>
      </c>
      <c r="DU94" s="58">
        <v>318.74</v>
      </c>
      <c r="DV94" s="58">
        <v>157.62200000000001</v>
      </c>
      <c r="DW94" s="58">
        <v>161.119</v>
      </c>
      <c r="DX94" s="58">
        <v>92.903999999999996</v>
      </c>
      <c r="DY94" s="58">
        <v>59.956000000000003</v>
      </c>
      <c r="DZ94" s="58">
        <v>32.948999999999998</v>
      </c>
      <c r="EA94" s="58">
        <v>377.53699999999998</v>
      </c>
      <c r="EB94" s="58">
        <v>181.929</v>
      </c>
      <c r="EC94" s="58">
        <v>195.608</v>
      </c>
      <c r="ED94" s="58">
        <v>336.887</v>
      </c>
      <c r="EE94" s="58">
        <v>164.529</v>
      </c>
      <c r="EF94" s="58">
        <v>172.358</v>
      </c>
      <c r="EG94" s="58">
        <v>697.12300000000005</v>
      </c>
      <c r="EH94" s="58">
        <v>329.21499999999997</v>
      </c>
      <c r="EI94" s="58">
        <v>367.90800000000002</v>
      </c>
      <c r="EJ94" s="58">
        <v>146.566</v>
      </c>
      <c r="EK94" s="58">
        <v>89.153000000000006</v>
      </c>
      <c r="EL94" s="58">
        <v>57.412999999999997</v>
      </c>
      <c r="EM94" s="58">
        <v>550.55700000000002</v>
      </c>
      <c r="EN94" s="58">
        <v>240.06299999999999</v>
      </c>
      <c r="EO94" s="58">
        <v>310.495</v>
      </c>
      <c r="EP94" s="58">
        <v>203.49199999999999</v>
      </c>
      <c r="EQ94" s="58">
        <v>100.83499999999999</v>
      </c>
      <c r="ER94" s="58">
        <v>102.658</v>
      </c>
      <c r="ES94" s="58">
        <v>55.279000000000003</v>
      </c>
      <c r="ET94" s="58">
        <v>29.613</v>
      </c>
      <c r="EU94" s="58">
        <v>25.666</v>
      </c>
      <c r="EV94" s="58">
        <v>3.7989999999999999</v>
      </c>
      <c r="EW94" s="58">
        <v>2.3109999999999999</v>
      </c>
      <c r="EX94" s="58">
        <v>1.4890000000000001</v>
      </c>
      <c r="EY94" s="58">
        <v>2.3029999999999999</v>
      </c>
      <c r="EZ94" s="58">
        <v>1.615</v>
      </c>
      <c r="FA94" s="58">
        <v>0.68799999999999994</v>
      </c>
      <c r="FB94" s="58">
        <v>1.496</v>
      </c>
      <c r="FC94" s="58">
        <v>0.69599999999999995</v>
      </c>
      <c r="FD94" s="58">
        <v>0.8</v>
      </c>
      <c r="FE94" s="58">
        <v>51.48</v>
      </c>
      <c r="FF94" s="58">
        <v>27.302</v>
      </c>
      <c r="FG94" s="58">
        <v>24.177</v>
      </c>
      <c r="FH94" s="58">
        <v>171.58699999999999</v>
      </c>
      <c r="FI94" s="58">
        <v>85.856999999999999</v>
      </c>
      <c r="FJ94" s="58">
        <v>85.73</v>
      </c>
      <c r="FK94" s="58">
        <v>16.515999999999998</v>
      </c>
      <c r="FL94" s="58">
        <v>11.301</v>
      </c>
      <c r="FM94" s="58">
        <v>5.2149999999999999</v>
      </c>
      <c r="FN94" s="58">
        <v>155.071</v>
      </c>
      <c r="FO94" s="58">
        <v>74.557000000000002</v>
      </c>
      <c r="FP94" s="58">
        <v>80.515000000000001</v>
      </c>
      <c r="FQ94" s="58">
        <v>19.876000000000001</v>
      </c>
      <c r="FR94" s="58">
        <v>13.173</v>
      </c>
      <c r="FS94" s="58">
        <v>6.7039999999999997</v>
      </c>
      <c r="FT94" s="58">
        <v>183.61600000000001</v>
      </c>
      <c r="FU94" s="58">
        <v>87.662000000000006</v>
      </c>
      <c r="FV94" s="58">
        <v>95.953999999999994</v>
      </c>
      <c r="FW94" s="58">
        <v>157.374</v>
      </c>
      <c r="FX94" s="58">
        <v>76.171000000000006</v>
      </c>
      <c r="FY94" s="58">
        <v>81.203000000000003</v>
      </c>
      <c r="FZ94" s="58">
        <v>1228.384</v>
      </c>
      <c r="GA94" s="58">
        <v>629.76300000000003</v>
      </c>
      <c r="GB94" s="58">
        <v>598.62099999999998</v>
      </c>
      <c r="GC94" s="58">
        <v>663.24199999999996</v>
      </c>
      <c r="GD94" s="58">
        <v>379.69900000000001</v>
      </c>
      <c r="GE94" s="58">
        <v>283.54300000000001</v>
      </c>
      <c r="GF94" s="58">
        <v>565.14200000000005</v>
      </c>
      <c r="GG94" s="58">
        <v>250.06399999999999</v>
      </c>
      <c r="GH94" s="58">
        <v>315.07799999999997</v>
      </c>
      <c r="GI94" s="58">
        <v>266.94900000000001</v>
      </c>
      <c r="GJ94" s="58">
        <v>141.05099999999999</v>
      </c>
      <c r="GK94" s="58">
        <v>125.899</v>
      </c>
      <c r="GL94" s="58">
        <v>75.507999999999996</v>
      </c>
      <c r="GM94" s="58">
        <v>33.204000000000001</v>
      </c>
      <c r="GN94" s="58">
        <v>42.304000000000002</v>
      </c>
      <c r="GO94" s="58">
        <v>19.297000000000001</v>
      </c>
      <c r="GP94" s="58">
        <v>8.07</v>
      </c>
      <c r="GQ94" s="58">
        <v>11.228</v>
      </c>
      <c r="GR94" s="58">
        <v>15.843999999999999</v>
      </c>
      <c r="GS94" s="58">
        <v>5.2930000000000001</v>
      </c>
      <c r="GT94" s="58">
        <v>10.551</v>
      </c>
      <c r="GU94" s="58">
        <v>3.4540000000000002</v>
      </c>
      <c r="GV94" s="58">
        <v>2.7759999999999998</v>
      </c>
      <c r="GW94" s="58">
        <v>0.67700000000000005</v>
      </c>
      <c r="GX94" s="58">
        <v>56.210999999999999</v>
      </c>
      <c r="GY94" s="58">
        <v>25.134</v>
      </c>
      <c r="GZ94" s="58">
        <v>31.077000000000002</v>
      </c>
      <c r="HA94" s="58">
        <v>221.36699999999999</v>
      </c>
      <c r="HB94" s="58">
        <v>123.116</v>
      </c>
      <c r="HC94" s="58">
        <v>98.251000000000005</v>
      </c>
      <c r="HD94" s="58">
        <v>57.698</v>
      </c>
      <c r="HE94" s="58">
        <v>40.052</v>
      </c>
      <c r="HF94" s="58">
        <v>17.646999999999998</v>
      </c>
      <c r="HG94" s="58">
        <v>163.66900000000001</v>
      </c>
      <c r="HH94" s="58">
        <v>83.064999999999998</v>
      </c>
      <c r="HI94" s="58">
        <v>80.603999999999999</v>
      </c>
      <c r="HJ94" s="58">
        <v>73.028000000000006</v>
      </c>
      <c r="HK94" s="58">
        <v>46.783000000000001</v>
      </c>
      <c r="HL94" s="58">
        <v>26.245000000000001</v>
      </c>
      <c r="HM94" s="58">
        <v>193.92099999999999</v>
      </c>
      <c r="HN94" s="58">
        <v>94.268000000000001</v>
      </c>
      <c r="HO94" s="58">
        <v>99.653999999999996</v>
      </c>
      <c r="HP94" s="58">
        <v>179.51300000000001</v>
      </c>
      <c r="HQ94" s="58">
        <v>88.358000000000004</v>
      </c>
      <c r="HR94" s="58">
        <v>91.153999999999996</v>
      </c>
      <c r="HS94" s="58">
        <v>3062.8969999999999</v>
      </c>
      <c r="HT94" s="58">
        <v>1615.2619999999999</v>
      </c>
      <c r="HU94" s="58">
        <v>1447.635</v>
      </c>
      <c r="HV94" s="58">
        <v>2333.1280000000002</v>
      </c>
      <c r="HW94" s="58">
        <v>1377.5640000000001</v>
      </c>
      <c r="HX94" s="58">
        <v>955.56399999999996</v>
      </c>
      <c r="HY94" s="58">
        <v>729.76900000000001</v>
      </c>
      <c r="HZ94" s="58">
        <v>237.69800000000001</v>
      </c>
      <c r="IA94" s="58">
        <v>492.07100000000003</v>
      </c>
      <c r="IB94" s="58">
        <v>440.33199999999999</v>
      </c>
      <c r="IC94" s="58">
        <v>251.92</v>
      </c>
      <c r="ID94" s="58">
        <v>188.41200000000001</v>
      </c>
      <c r="IE94" s="58">
        <v>100.372</v>
      </c>
      <c r="IF94" s="58">
        <v>55.68</v>
      </c>
      <c r="IG94" s="58">
        <v>44.692</v>
      </c>
      <c r="IH94" s="58">
        <v>60.030999999999999</v>
      </c>
      <c r="II94" s="58">
        <v>40.015000000000001</v>
      </c>
      <c r="IJ94" s="58">
        <v>20.015999999999998</v>
      </c>
      <c r="IK94" s="58">
        <v>38.506999999999998</v>
      </c>
      <c r="IL94" s="58">
        <v>21.262</v>
      </c>
      <c r="IM94" s="58">
        <v>17.245000000000001</v>
      </c>
      <c r="IN94" s="58">
        <v>21.524000000000001</v>
      </c>
      <c r="IO94" s="58">
        <v>18.753</v>
      </c>
      <c r="IP94" s="58">
        <v>2.7709999999999999</v>
      </c>
      <c r="IQ94" s="58">
        <v>40.341000000000001</v>
      </c>
    </row>
    <row r="95" spans="1:251">
      <c r="A95" s="5">
        <v>44378</v>
      </c>
      <c r="B95" s="58">
        <v>13160.862999999999</v>
      </c>
      <c r="C95" s="58">
        <v>6919.3670000000002</v>
      </c>
      <c r="D95" s="58">
        <v>6241.4960000000001</v>
      </c>
      <c r="E95" s="58">
        <v>9033.1450000000004</v>
      </c>
      <c r="F95" s="58">
        <v>5583.3220000000001</v>
      </c>
      <c r="G95" s="58">
        <v>3449.8229999999999</v>
      </c>
      <c r="H95" s="58">
        <v>4127.7179999999998</v>
      </c>
      <c r="I95" s="58">
        <v>1336.0450000000001</v>
      </c>
      <c r="J95" s="58">
        <v>2791.6729999999998</v>
      </c>
      <c r="K95" s="58">
        <v>1966.9280000000001</v>
      </c>
      <c r="L95" s="58">
        <v>1049.175</v>
      </c>
      <c r="M95" s="58">
        <v>917.75300000000004</v>
      </c>
      <c r="N95" s="58">
        <v>644.99</v>
      </c>
      <c r="O95" s="58">
        <v>350.30399999999997</v>
      </c>
      <c r="P95" s="58">
        <v>294.68599999999998</v>
      </c>
      <c r="Q95" s="58">
        <v>278.62400000000002</v>
      </c>
      <c r="R95" s="58">
        <v>189.29300000000001</v>
      </c>
      <c r="S95" s="58">
        <v>89.331000000000003</v>
      </c>
      <c r="T95" s="58">
        <v>195.517</v>
      </c>
      <c r="U95" s="58">
        <v>129.46299999999999</v>
      </c>
      <c r="V95" s="58">
        <v>66.055000000000007</v>
      </c>
      <c r="W95" s="58">
        <v>83.105999999999995</v>
      </c>
      <c r="X95" s="58">
        <v>59.831000000000003</v>
      </c>
      <c r="Y95" s="58">
        <v>23.276</v>
      </c>
      <c r="Z95" s="58">
        <v>366.36599999999999</v>
      </c>
      <c r="AA95" s="58">
        <v>161.01</v>
      </c>
      <c r="AB95" s="58">
        <v>205.35599999999999</v>
      </c>
      <c r="AC95" s="58">
        <v>1553.4179999999999</v>
      </c>
      <c r="AD95" s="58">
        <v>832.68299999999999</v>
      </c>
      <c r="AE95" s="58">
        <v>720.73500000000001</v>
      </c>
      <c r="AF95" s="58">
        <v>605.64300000000003</v>
      </c>
      <c r="AG95" s="58">
        <v>444.98200000000003</v>
      </c>
      <c r="AH95" s="58">
        <v>160.661</v>
      </c>
      <c r="AI95" s="58">
        <v>947.774</v>
      </c>
      <c r="AJ95" s="58">
        <v>387.70100000000002</v>
      </c>
      <c r="AK95" s="58">
        <v>560.07399999999996</v>
      </c>
      <c r="AL95" s="58">
        <v>822.54300000000001</v>
      </c>
      <c r="AM95" s="58">
        <v>586.93200000000002</v>
      </c>
      <c r="AN95" s="58">
        <v>235.61099999999999</v>
      </c>
      <c r="AO95" s="58">
        <v>1144.385</v>
      </c>
      <c r="AP95" s="58">
        <v>462.24299999999999</v>
      </c>
      <c r="AQ95" s="58">
        <v>682.14200000000005</v>
      </c>
      <c r="AR95" s="58">
        <v>1143.2919999999999</v>
      </c>
      <c r="AS95" s="58">
        <v>517.16300000000001</v>
      </c>
      <c r="AT95" s="58">
        <v>626.12800000000004</v>
      </c>
      <c r="AU95" s="58">
        <v>12526.289000000001</v>
      </c>
      <c r="AV95" s="58">
        <v>6527.0870000000004</v>
      </c>
      <c r="AW95" s="58">
        <v>5999.201</v>
      </c>
      <c r="AX95" s="58">
        <v>8731.6730000000007</v>
      </c>
      <c r="AY95" s="58">
        <v>5366.826</v>
      </c>
      <c r="AZ95" s="58">
        <v>3364.8470000000002</v>
      </c>
      <c r="BA95" s="58">
        <v>3794.6149999999998</v>
      </c>
      <c r="BB95" s="58">
        <v>1160.261</v>
      </c>
      <c r="BC95" s="58">
        <v>2634.3539999999998</v>
      </c>
      <c r="BD95" s="58">
        <v>1891.4770000000001</v>
      </c>
      <c r="BE95" s="58">
        <v>998.399</v>
      </c>
      <c r="BF95" s="58">
        <v>893.07799999999997</v>
      </c>
      <c r="BG95" s="58">
        <v>602.82100000000003</v>
      </c>
      <c r="BH95" s="58">
        <v>321.697</v>
      </c>
      <c r="BI95" s="58">
        <v>281.12400000000002</v>
      </c>
      <c r="BJ95" s="58">
        <v>266.71899999999999</v>
      </c>
      <c r="BK95" s="58">
        <v>179.459</v>
      </c>
      <c r="BL95" s="58">
        <v>87.259</v>
      </c>
      <c r="BM95" s="58">
        <v>188.029</v>
      </c>
      <c r="BN95" s="58">
        <v>122.998</v>
      </c>
      <c r="BO95" s="58">
        <v>65.03</v>
      </c>
      <c r="BP95" s="58">
        <v>78.69</v>
      </c>
      <c r="BQ95" s="58">
        <v>56.460999999999999</v>
      </c>
      <c r="BR95" s="58">
        <v>22.228999999999999</v>
      </c>
      <c r="BS95" s="58">
        <v>336.10199999999998</v>
      </c>
      <c r="BT95" s="58">
        <v>142.23699999999999</v>
      </c>
      <c r="BU95" s="58">
        <v>193.86500000000001</v>
      </c>
      <c r="BV95" s="58">
        <v>1512.7760000000001</v>
      </c>
      <c r="BW95" s="58">
        <v>804.53800000000001</v>
      </c>
      <c r="BX95" s="58">
        <v>708.23800000000006</v>
      </c>
      <c r="BY95" s="58">
        <v>595.80200000000002</v>
      </c>
      <c r="BZ95" s="58">
        <v>435.71199999999999</v>
      </c>
      <c r="CA95" s="58">
        <v>160.09</v>
      </c>
      <c r="CB95" s="58">
        <v>916.97400000000005</v>
      </c>
      <c r="CC95" s="58">
        <v>368.82600000000002</v>
      </c>
      <c r="CD95" s="58">
        <v>548.14800000000002</v>
      </c>
      <c r="CE95" s="58">
        <v>802.19500000000005</v>
      </c>
      <c r="CF95" s="58">
        <v>569.22699999999998</v>
      </c>
      <c r="CG95" s="58">
        <v>232.96799999999999</v>
      </c>
      <c r="CH95" s="58">
        <v>1089.2819999999999</v>
      </c>
      <c r="CI95" s="58">
        <v>429.17200000000003</v>
      </c>
      <c r="CJ95" s="58">
        <v>660.11</v>
      </c>
      <c r="CK95" s="58">
        <v>1105.0029999999999</v>
      </c>
      <c r="CL95" s="58">
        <v>491.82400000000001</v>
      </c>
      <c r="CM95" s="58">
        <v>613.178</v>
      </c>
      <c r="CN95" s="58">
        <v>1924.7660000000001</v>
      </c>
      <c r="CO95" s="58">
        <v>962.57600000000002</v>
      </c>
      <c r="CP95" s="58">
        <v>962.19</v>
      </c>
      <c r="CQ95" s="58">
        <v>826.81299999999999</v>
      </c>
      <c r="CR95" s="58">
        <v>487.02800000000002</v>
      </c>
      <c r="CS95" s="58">
        <v>339.78500000000003</v>
      </c>
      <c r="CT95" s="58">
        <v>1097.953</v>
      </c>
      <c r="CU95" s="58">
        <v>475.548</v>
      </c>
      <c r="CV95" s="58">
        <v>622.40499999999997</v>
      </c>
      <c r="CW95" s="58">
        <v>511.21699999999998</v>
      </c>
      <c r="CX95" s="58">
        <v>253.84399999999999</v>
      </c>
      <c r="CY95" s="58">
        <v>257.37299999999999</v>
      </c>
      <c r="CZ95" s="58">
        <v>159.625</v>
      </c>
      <c r="DA95" s="58">
        <v>80.754000000000005</v>
      </c>
      <c r="DB95" s="58">
        <v>78.870999999999995</v>
      </c>
      <c r="DC95" s="58">
        <v>31.792999999999999</v>
      </c>
      <c r="DD95" s="58">
        <v>17.834</v>
      </c>
      <c r="DE95" s="58">
        <v>13.959</v>
      </c>
      <c r="DF95" s="58">
        <v>22.777000000000001</v>
      </c>
      <c r="DG95" s="58">
        <v>11.369</v>
      </c>
      <c r="DH95" s="58">
        <v>11.407</v>
      </c>
      <c r="DI95" s="58">
        <v>9.016</v>
      </c>
      <c r="DJ95" s="58">
        <v>6.4640000000000004</v>
      </c>
      <c r="DK95" s="58">
        <v>2.552</v>
      </c>
      <c r="DL95" s="58">
        <v>127.833</v>
      </c>
      <c r="DM95" s="58">
        <v>62.92</v>
      </c>
      <c r="DN95" s="58">
        <v>64.912000000000006</v>
      </c>
      <c r="DO95" s="58">
        <v>424.98500000000001</v>
      </c>
      <c r="DP95" s="58">
        <v>213.49299999999999</v>
      </c>
      <c r="DQ95" s="58">
        <v>211.49199999999999</v>
      </c>
      <c r="DR95" s="58">
        <v>84.85</v>
      </c>
      <c r="DS95" s="58">
        <v>55.676000000000002</v>
      </c>
      <c r="DT95" s="58">
        <v>29.173999999999999</v>
      </c>
      <c r="DU95" s="58">
        <v>340.13499999999999</v>
      </c>
      <c r="DV95" s="58">
        <v>157.81700000000001</v>
      </c>
      <c r="DW95" s="58">
        <v>182.31800000000001</v>
      </c>
      <c r="DX95" s="58">
        <v>108.119</v>
      </c>
      <c r="DY95" s="58">
        <v>68.102999999999994</v>
      </c>
      <c r="DZ95" s="58">
        <v>40.015999999999998</v>
      </c>
      <c r="EA95" s="58">
        <v>403.09800000000001</v>
      </c>
      <c r="EB95" s="58">
        <v>185.74100000000001</v>
      </c>
      <c r="EC95" s="58">
        <v>217.357</v>
      </c>
      <c r="ED95" s="58">
        <v>362.91199999999998</v>
      </c>
      <c r="EE95" s="58">
        <v>169.18600000000001</v>
      </c>
      <c r="EF95" s="58">
        <v>193.726</v>
      </c>
      <c r="EG95" s="58">
        <v>701.78899999999999</v>
      </c>
      <c r="EH95" s="58">
        <v>334.98500000000001</v>
      </c>
      <c r="EI95" s="58">
        <v>366.80399999999997</v>
      </c>
      <c r="EJ95" s="58">
        <v>141.59299999999999</v>
      </c>
      <c r="EK95" s="58">
        <v>94.828000000000003</v>
      </c>
      <c r="EL95" s="58">
        <v>46.764000000000003</v>
      </c>
      <c r="EM95" s="58">
        <v>560.19600000000003</v>
      </c>
      <c r="EN95" s="58">
        <v>240.15600000000001</v>
      </c>
      <c r="EO95" s="58">
        <v>320.04000000000002</v>
      </c>
      <c r="EP95" s="58">
        <v>223.904</v>
      </c>
      <c r="EQ95" s="58">
        <v>104.476</v>
      </c>
      <c r="ER95" s="58">
        <v>119.428</v>
      </c>
      <c r="ES95" s="58">
        <v>75.793999999999997</v>
      </c>
      <c r="ET95" s="58">
        <v>38.662999999999997</v>
      </c>
      <c r="EU95" s="58">
        <v>37.131</v>
      </c>
      <c r="EV95" s="58">
        <v>4.5</v>
      </c>
      <c r="EW95" s="58">
        <v>1.835</v>
      </c>
      <c r="EX95" s="58">
        <v>2.6659999999999999</v>
      </c>
      <c r="EY95" s="58">
        <v>4.3529999999999998</v>
      </c>
      <c r="EZ95" s="58">
        <v>1.835</v>
      </c>
      <c r="FA95" s="58">
        <v>2.5179999999999998</v>
      </c>
      <c r="FB95" s="58">
        <v>0.14799999999999999</v>
      </c>
      <c r="FC95" s="58">
        <v>0</v>
      </c>
      <c r="FD95" s="58">
        <v>0.14799999999999999</v>
      </c>
      <c r="FE95" s="58">
        <v>71.293000000000006</v>
      </c>
      <c r="FF95" s="58">
        <v>36.828000000000003</v>
      </c>
      <c r="FG95" s="58">
        <v>34.465000000000003</v>
      </c>
      <c r="FH95" s="58">
        <v>183.66800000000001</v>
      </c>
      <c r="FI95" s="58">
        <v>87.734999999999999</v>
      </c>
      <c r="FJ95" s="58">
        <v>95.933000000000007</v>
      </c>
      <c r="FK95" s="58">
        <v>16.372</v>
      </c>
      <c r="FL95" s="58">
        <v>11.382</v>
      </c>
      <c r="FM95" s="58">
        <v>4.99</v>
      </c>
      <c r="FN95" s="58">
        <v>167.29499999999999</v>
      </c>
      <c r="FO95" s="58">
        <v>76.352999999999994</v>
      </c>
      <c r="FP95" s="58">
        <v>90.941999999999993</v>
      </c>
      <c r="FQ95" s="58">
        <v>20.388999999999999</v>
      </c>
      <c r="FR95" s="58">
        <v>13.217000000000001</v>
      </c>
      <c r="FS95" s="58">
        <v>7.1719999999999997</v>
      </c>
      <c r="FT95" s="58">
        <v>203.51499999999999</v>
      </c>
      <c r="FU95" s="58">
        <v>91.259</v>
      </c>
      <c r="FV95" s="58">
        <v>112.255</v>
      </c>
      <c r="FW95" s="58">
        <v>171.648</v>
      </c>
      <c r="FX95" s="58">
        <v>78.188000000000002</v>
      </c>
      <c r="FY95" s="58">
        <v>93.46</v>
      </c>
      <c r="FZ95" s="58">
        <v>1222.9770000000001</v>
      </c>
      <c r="GA95" s="58">
        <v>627.59199999999998</v>
      </c>
      <c r="GB95" s="58">
        <v>595.38499999999999</v>
      </c>
      <c r="GC95" s="58">
        <v>685.22</v>
      </c>
      <c r="GD95" s="58">
        <v>392.2</v>
      </c>
      <c r="GE95" s="58">
        <v>293.02</v>
      </c>
      <c r="GF95" s="58">
        <v>537.75599999999997</v>
      </c>
      <c r="GG95" s="58">
        <v>235.392</v>
      </c>
      <c r="GH95" s="58">
        <v>302.36500000000001</v>
      </c>
      <c r="GI95" s="58">
        <v>287.31299999999999</v>
      </c>
      <c r="GJ95" s="58">
        <v>149.36799999999999</v>
      </c>
      <c r="GK95" s="58">
        <v>137.94499999999999</v>
      </c>
      <c r="GL95" s="58">
        <v>83.831999999999994</v>
      </c>
      <c r="GM95" s="58">
        <v>42.091000000000001</v>
      </c>
      <c r="GN95" s="58">
        <v>41.74</v>
      </c>
      <c r="GO95" s="58">
        <v>27.292000000000002</v>
      </c>
      <c r="GP95" s="58">
        <v>15.999000000000001</v>
      </c>
      <c r="GQ95" s="58">
        <v>11.292999999999999</v>
      </c>
      <c r="GR95" s="58">
        <v>18.423999999999999</v>
      </c>
      <c r="GS95" s="58">
        <v>9.5340000000000007</v>
      </c>
      <c r="GT95" s="58">
        <v>8.8889999999999993</v>
      </c>
      <c r="GU95" s="58">
        <v>8.8680000000000003</v>
      </c>
      <c r="GV95" s="58">
        <v>6.4640000000000004</v>
      </c>
      <c r="GW95" s="58">
        <v>2.4039999999999999</v>
      </c>
      <c r="GX95" s="58">
        <v>56.539000000000001</v>
      </c>
      <c r="GY95" s="58">
        <v>26.091999999999999</v>
      </c>
      <c r="GZ95" s="58">
        <v>30.446999999999999</v>
      </c>
      <c r="HA95" s="58">
        <v>241.31700000000001</v>
      </c>
      <c r="HB95" s="58">
        <v>125.758</v>
      </c>
      <c r="HC95" s="58">
        <v>115.559</v>
      </c>
      <c r="HD95" s="58">
        <v>68.477000000000004</v>
      </c>
      <c r="HE95" s="58">
        <v>44.293999999999997</v>
      </c>
      <c r="HF95" s="58">
        <v>24.184000000000001</v>
      </c>
      <c r="HG95" s="58">
        <v>172.84</v>
      </c>
      <c r="HH95" s="58">
        <v>81.463999999999999</v>
      </c>
      <c r="HI95" s="58">
        <v>91.376000000000005</v>
      </c>
      <c r="HJ95" s="58">
        <v>87.728999999999999</v>
      </c>
      <c r="HK95" s="58">
        <v>54.886000000000003</v>
      </c>
      <c r="HL95" s="58">
        <v>32.843000000000004</v>
      </c>
      <c r="HM95" s="58">
        <v>199.583</v>
      </c>
      <c r="HN95" s="58">
        <v>94.481999999999999</v>
      </c>
      <c r="HO95" s="58">
        <v>105.102</v>
      </c>
      <c r="HP95" s="58">
        <v>191.26400000000001</v>
      </c>
      <c r="HQ95" s="58">
        <v>90.998999999999995</v>
      </c>
      <c r="HR95" s="58">
        <v>100.265</v>
      </c>
      <c r="HS95" s="58">
        <v>3048.1869999999999</v>
      </c>
      <c r="HT95" s="58">
        <v>1613.942</v>
      </c>
      <c r="HU95" s="58">
        <v>1434.2439999999999</v>
      </c>
      <c r="HV95" s="58">
        <v>2333.067</v>
      </c>
      <c r="HW95" s="58">
        <v>1383.808</v>
      </c>
      <c r="HX95" s="58">
        <v>949.25900000000001</v>
      </c>
      <c r="HY95" s="58">
        <v>715.11900000000003</v>
      </c>
      <c r="HZ95" s="58">
        <v>230.13399999999999</v>
      </c>
      <c r="IA95" s="58">
        <v>484.98500000000001</v>
      </c>
      <c r="IB95" s="58">
        <v>470.93400000000003</v>
      </c>
      <c r="IC95" s="58">
        <v>273.60899999999998</v>
      </c>
      <c r="ID95" s="58">
        <v>197.32499999999999</v>
      </c>
      <c r="IE95" s="58">
        <v>143.77600000000001</v>
      </c>
      <c r="IF95" s="58">
        <v>79.251999999999995</v>
      </c>
      <c r="IG95" s="58">
        <v>64.525000000000006</v>
      </c>
      <c r="IH95" s="58">
        <v>79.668000000000006</v>
      </c>
      <c r="II95" s="58">
        <v>50.866</v>
      </c>
      <c r="IJ95" s="58">
        <v>28.802</v>
      </c>
      <c r="IK95" s="58">
        <v>55.804000000000002</v>
      </c>
      <c r="IL95" s="58">
        <v>34.426000000000002</v>
      </c>
      <c r="IM95" s="58">
        <v>21.378</v>
      </c>
      <c r="IN95" s="58">
        <v>23.864000000000001</v>
      </c>
      <c r="IO95" s="58">
        <v>16.440000000000001</v>
      </c>
      <c r="IP95" s="58">
        <v>7.4240000000000004</v>
      </c>
      <c r="IQ95" s="58">
        <v>64.108000000000004</v>
      </c>
    </row>
    <row r="96" spans="1:251">
      <c r="A96" s="5">
        <v>44409</v>
      </c>
      <c r="B96" s="58">
        <v>12952.18</v>
      </c>
      <c r="C96" s="58">
        <v>6809.2049999999999</v>
      </c>
      <c r="D96" s="58">
        <v>6142.9750000000004</v>
      </c>
      <c r="E96" s="58">
        <v>8874.6569999999992</v>
      </c>
      <c r="F96" s="58">
        <v>5497.616</v>
      </c>
      <c r="G96" s="58">
        <v>3377.0410000000002</v>
      </c>
      <c r="H96" s="58">
        <v>4077.5230000000001</v>
      </c>
      <c r="I96" s="58">
        <v>1311.5889999999999</v>
      </c>
      <c r="J96" s="58">
        <v>2765.9340000000002</v>
      </c>
      <c r="K96" s="58">
        <v>2029.202</v>
      </c>
      <c r="L96" s="58">
        <v>1096.83</v>
      </c>
      <c r="M96" s="58">
        <v>932.37300000000005</v>
      </c>
      <c r="N96" s="58">
        <v>833.85500000000002</v>
      </c>
      <c r="O96" s="58">
        <v>451.12</v>
      </c>
      <c r="P96" s="58">
        <v>382.73500000000001</v>
      </c>
      <c r="Q96" s="58">
        <v>419.79700000000003</v>
      </c>
      <c r="R96" s="58">
        <v>289.435</v>
      </c>
      <c r="S96" s="58">
        <v>130.36199999999999</v>
      </c>
      <c r="T96" s="58">
        <v>322.88</v>
      </c>
      <c r="U96" s="58">
        <v>216.869</v>
      </c>
      <c r="V96" s="58">
        <v>106.012</v>
      </c>
      <c r="W96" s="58">
        <v>96.917000000000002</v>
      </c>
      <c r="X96" s="58">
        <v>72.566999999999993</v>
      </c>
      <c r="Y96" s="58">
        <v>24.35</v>
      </c>
      <c r="Z96" s="58">
        <v>414.05799999999999</v>
      </c>
      <c r="AA96" s="58">
        <v>161.684</v>
      </c>
      <c r="AB96" s="58">
        <v>252.37299999999999</v>
      </c>
      <c r="AC96" s="58">
        <v>1445.8320000000001</v>
      </c>
      <c r="AD96" s="58">
        <v>772.66099999999994</v>
      </c>
      <c r="AE96" s="58">
        <v>673.17100000000005</v>
      </c>
      <c r="AF96" s="58">
        <v>535.28899999999999</v>
      </c>
      <c r="AG96" s="58">
        <v>399.959</v>
      </c>
      <c r="AH96" s="58">
        <v>135.33000000000001</v>
      </c>
      <c r="AI96" s="58">
        <v>910.54300000000001</v>
      </c>
      <c r="AJ96" s="58">
        <v>372.702</v>
      </c>
      <c r="AK96" s="58">
        <v>537.84100000000001</v>
      </c>
      <c r="AL96" s="58">
        <v>879.72400000000005</v>
      </c>
      <c r="AM96" s="58">
        <v>638.57899999999995</v>
      </c>
      <c r="AN96" s="58">
        <v>241.14400000000001</v>
      </c>
      <c r="AO96" s="58">
        <v>1149.4780000000001</v>
      </c>
      <c r="AP96" s="58">
        <v>458.25</v>
      </c>
      <c r="AQ96" s="58">
        <v>691.22799999999995</v>
      </c>
      <c r="AR96" s="58">
        <v>1233.423</v>
      </c>
      <c r="AS96" s="58">
        <v>589.57100000000003</v>
      </c>
      <c r="AT96" s="58">
        <v>643.85299999999995</v>
      </c>
      <c r="AU96" s="58">
        <v>12323.208000000001</v>
      </c>
      <c r="AV96" s="58">
        <v>6425.6379999999999</v>
      </c>
      <c r="AW96" s="58">
        <v>5897.5690000000004</v>
      </c>
      <c r="AX96" s="58">
        <v>8583.7029999999995</v>
      </c>
      <c r="AY96" s="58">
        <v>5285.3230000000003</v>
      </c>
      <c r="AZ96" s="58">
        <v>3298.38</v>
      </c>
      <c r="BA96" s="58">
        <v>3739.5039999999999</v>
      </c>
      <c r="BB96" s="58">
        <v>1140.3150000000001</v>
      </c>
      <c r="BC96" s="58">
        <v>2599.1889999999999</v>
      </c>
      <c r="BD96" s="58">
        <v>1945.664</v>
      </c>
      <c r="BE96" s="58">
        <v>1044.162</v>
      </c>
      <c r="BF96" s="58">
        <v>901.50199999999995</v>
      </c>
      <c r="BG96" s="58">
        <v>783.84299999999996</v>
      </c>
      <c r="BH96" s="58">
        <v>419.93200000000002</v>
      </c>
      <c r="BI96" s="58">
        <v>363.91</v>
      </c>
      <c r="BJ96" s="58">
        <v>403.91199999999998</v>
      </c>
      <c r="BK96" s="58">
        <v>275.45600000000002</v>
      </c>
      <c r="BL96" s="58">
        <v>128.45500000000001</v>
      </c>
      <c r="BM96" s="58">
        <v>311.22899999999998</v>
      </c>
      <c r="BN96" s="58">
        <v>206.75399999999999</v>
      </c>
      <c r="BO96" s="58">
        <v>104.476</v>
      </c>
      <c r="BP96" s="58">
        <v>92.682000000000002</v>
      </c>
      <c r="BQ96" s="58">
        <v>68.703000000000003</v>
      </c>
      <c r="BR96" s="58">
        <v>23.98</v>
      </c>
      <c r="BS96" s="58">
        <v>379.93099999999998</v>
      </c>
      <c r="BT96" s="58">
        <v>144.476</v>
      </c>
      <c r="BU96" s="58">
        <v>235.45500000000001</v>
      </c>
      <c r="BV96" s="58">
        <v>1403.6379999999999</v>
      </c>
      <c r="BW96" s="58">
        <v>746.03499999999997</v>
      </c>
      <c r="BX96" s="58">
        <v>657.60299999999995</v>
      </c>
      <c r="BY96" s="58">
        <v>524.63400000000001</v>
      </c>
      <c r="BZ96" s="58">
        <v>389.745</v>
      </c>
      <c r="CA96" s="58">
        <v>134.88900000000001</v>
      </c>
      <c r="CB96" s="58">
        <v>879.00400000000002</v>
      </c>
      <c r="CC96" s="58">
        <v>356.29</v>
      </c>
      <c r="CD96" s="58">
        <v>522.71299999999997</v>
      </c>
      <c r="CE96" s="58">
        <v>855.52</v>
      </c>
      <c r="CF96" s="58">
        <v>616.72299999999996</v>
      </c>
      <c r="CG96" s="58">
        <v>238.797</v>
      </c>
      <c r="CH96" s="58">
        <v>1090.144</v>
      </c>
      <c r="CI96" s="58">
        <v>427.43900000000002</v>
      </c>
      <c r="CJ96" s="58">
        <v>662.70500000000004</v>
      </c>
      <c r="CK96" s="58">
        <v>1190.2329999999999</v>
      </c>
      <c r="CL96" s="58">
        <v>563.04399999999998</v>
      </c>
      <c r="CM96" s="58">
        <v>627.18899999999996</v>
      </c>
      <c r="CN96" s="58">
        <v>1815.413</v>
      </c>
      <c r="CO96" s="58">
        <v>916.11400000000003</v>
      </c>
      <c r="CP96" s="58">
        <v>899.29899999999998</v>
      </c>
      <c r="CQ96" s="58">
        <v>775.58500000000004</v>
      </c>
      <c r="CR96" s="58">
        <v>462.82299999999998</v>
      </c>
      <c r="CS96" s="58">
        <v>312.762</v>
      </c>
      <c r="CT96" s="58">
        <v>1039.828</v>
      </c>
      <c r="CU96" s="58">
        <v>453.291</v>
      </c>
      <c r="CV96" s="58">
        <v>586.53700000000003</v>
      </c>
      <c r="CW96" s="58">
        <v>488.89299999999997</v>
      </c>
      <c r="CX96" s="58">
        <v>238.51</v>
      </c>
      <c r="CY96" s="58">
        <v>250.38300000000001</v>
      </c>
      <c r="CZ96" s="58">
        <v>185.66900000000001</v>
      </c>
      <c r="DA96" s="58">
        <v>83.072999999999993</v>
      </c>
      <c r="DB96" s="58">
        <v>102.596</v>
      </c>
      <c r="DC96" s="58">
        <v>42.072000000000003</v>
      </c>
      <c r="DD96" s="58">
        <v>25.565000000000001</v>
      </c>
      <c r="DE96" s="58">
        <v>16.507000000000001</v>
      </c>
      <c r="DF96" s="58">
        <v>36.097000000000001</v>
      </c>
      <c r="DG96" s="58">
        <v>22.184000000000001</v>
      </c>
      <c r="DH96" s="58">
        <v>13.913</v>
      </c>
      <c r="DI96" s="58">
        <v>5.9749999999999996</v>
      </c>
      <c r="DJ96" s="58">
        <v>3.3809999999999998</v>
      </c>
      <c r="DK96" s="58">
        <v>2.5939999999999999</v>
      </c>
      <c r="DL96" s="58">
        <v>143.59700000000001</v>
      </c>
      <c r="DM96" s="58">
        <v>57.508000000000003</v>
      </c>
      <c r="DN96" s="58">
        <v>86.088999999999999</v>
      </c>
      <c r="DO96" s="58">
        <v>370.959</v>
      </c>
      <c r="DP96" s="58">
        <v>186.083</v>
      </c>
      <c r="DQ96" s="58">
        <v>184.876</v>
      </c>
      <c r="DR96" s="58">
        <v>72.251000000000005</v>
      </c>
      <c r="DS96" s="58">
        <v>51.366</v>
      </c>
      <c r="DT96" s="58">
        <v>20.885000000000002</v>
      </c>
      <c r="DU96" s="58">
        <v>298.70800000000003</v>
      </c>
      <c r="DV96" s="58">
        <v>134.71799999999999</v>
      </c>
      <c r="DW96" s="58">
        <v>163.99</v>
      </c>
      <c r="DX96" s="58">
        <v>107.203</v>
      </c>
      <c r="DY96" s="58">
        <v>73.504999999999995</v>
      </c>
      <c r="DZ96" s="58">
        <v>33.698</v>
      </c>
      <c r="EA96" s="58">
        <v>381.69</v>
      </c>
      <c r="EB96" s="58">
        <v>165.005</v>
      </c>
      <c r="EC96" s="58">
        <v>216.685</v>
      </c>
      <c r="ED96" s="58">
        <v>334.80399999999997</v>
      </c>
      <c r="EE96" s="58">
        <v>156.90100000000001</v>
      </c>
      <c r="EF96" s="58">
        <v>177.90299999999999</v>
      </c>
      <c r="EG96" s="58">
        <v>651.66700000000003</v>
      </c>
      <c r="EH96" s="58">
        <v>308.65699999999998</v>
      </c>
      <c r="EI96" s="58">
        <v>343.01</v>
      </c>
      <c r="EJ96" s="58">
        <v>140.35</v>
      </c>
      <c r="EK96" s="58">
        <v>95.474999999999994</v>
      </c>
      <c r="EL96" s="58">
        <v>44.875999999999998</v>
      </c>
      <c r="EM96" s="58">
        <v>511.31700000000001</v>
      </c>
      <c r="EN96" s="58">
        <v>213.18199999999999</v>
      </c>
      <c r="EO96" s="58">
        <v>298.13400000000001</v>
      </c>
      <c r="EP96" s="58">
        <v>205.059</v>
      </c>
      <c r="EQ96" s="58">
        <v>96.536000000000001</v>
      </c>
      <c r="ER96" s="58">
        <v>108.523</v>
      </c>
      <c r="ES96" s="58">
        <v>77.319999999999993</v>
      </c>
      <c r="ET96" s="58">
        <v>35.64</v>
      </c>
      <c r="EU96" s="58">
        <v>41.68</v>
      </c>
      <c r="EV96" s="58">
        <v>4.1390000000000002</v>
      </c>
      <c r="EW96" s="58">
        <v>3.472</v>
      </c>
      <c r="EX96" s="58">
        <v>0.66600000000000004</v>
      </c>
      <c r="EY96" s="58">
        <v>3.419</v>
      </c>
      <c r="EZ96" s="58">
        <v>2.7530000000000001</v>
      </c>
      <c r="FA96" s="58">
        <v>0.66600000000000004</v>
      </c>
      <c r="FB96" s="58">
        <v>0.71899999999999997</v>
      </c>
      <c r="FC96" s="58">
        <v>0.71899999999999997</v>
      </c>
      <c r="FD96" s="58">
        <v>0</v>
      </c>
      <c r="FE96" s="58">
        <v>73.180999999999997</v>
      </c>
      <c r="FF96" s="58">
        <v>32.167999999999999</v>
      </c>
      <c r="FG96" s="58">
        <v>41.014000000000003</v>
      </c>
      <c r="FH96" s="58">
        <v>162.148</v>
      </c>
      <c r="FI96" s="58">
        <v>78.177999999999997</v>
      </c>
      <c r="FJ96" s="58">
        <v>83.97</v>
      </c>
      <c r="FK96" s="58">
        <v>11.491</v>
      </c>
      <c r="FL96" s="58">
        <v>10.579000000000001</v>
      </c>
      <c r="FM96" s="58">
        <v>0.91200000000000003</v>
      </c>
      <c r="FN96" s="58">
        <v>150.65700000000001</v>
      </c>
      <c r="FO96" s="58">
        <v>67.599000000000004</v>
      </c>
      <c r="FP96" s="58">
        <v>83.058000000000007</v>
      </c>
      <c r="FQ96" s="58">
        <v>15.314</v>
      </c>
      <c r="FR96" s="58">
        <v>13.853999999999999</v>
      </c>
      <c r="FS96" s="58">
        <v>1.46</v>
      </c>
      <c r="FT96" s="58">
        <v>189.745</v>
      </c>
      <c r="FU96" s="58">
        <v>82.683000000000007</v>
      </c>
      <c r="FV96" s="58">
        <v>107.063</v>
      </c>
      <c r="FW96" s="58">
        <v>154.07599999999999</v>
      </c>
      <c r="FX96" s="58">
        <v>70.350999999999999</v>
      </c>
      <c r="FY96" s="58">
        <v>83.724999999999994</v>
      </c>
      <c r="FZ96" s="58">
        <v>1163.7460000000001</v>
      </c>
      <c r="GA96" s="58">
        <v>607.45699999999999</v>
      </c>
      <c r="GB96" s="58">
        <v>556.28899999999999</v>
      </c>
      <c r="GC96" s="58">
        <v>635.23500000000001</v>
      </c>
      <c r="GD96" s="58">
        <v>367.34800000000001</v>
      </c>
      <c r="GE96" s="58">
        <v>267.88600000000002</v>
      </c>
      <c r="GF96" s="58">
        <v>528.51099999999997</v>
      </c>
      <c r="GG96" s="58">
        <v>240.10900000000001</v>
      </c>
      <c r="GH96" s="58">
        <v>288.40199999999999</v>
      </c>
      <c r="GI96" s="58">
        <v>283.834</v>
      </c>
      <c r="GJ96" s="58">
        <v>141.97399999999999</v>
      </c>
      <c r="GK96" s="58">
        <v>141.86000000000001</v>
      </c>
      <c r="GL96" s="58">
        <v>108.349</v>
      </c>
      <c r="GM96" s="58">
        <v>47.433</v>
      </c>
      <c r="GN96" s="58">
        <v>60.915999999999997</v>
      </c>
      <c r="GO96" s="58">
        <v>37.933</v>
      </c>
      <c r="GP96" s="58">
        <v>22.093</v>
      </c>
      <c r="GQ96" s="58">
        <v>15.84</v>
      </c>
      <c r="GR96" s="58">
        <v>32.677</v>
      </c>
      <c r="GS96" s="58">
        <v>19.431000000000001</v>
      </c>
      <c r="GT96" s="58">
        <v>13.246</v>
      </c>
      <c r="GU96" s="58">
        <v>5.2560000000000002</v>
      </c>
      <c r="GV96" s="58">
        <v>2.6619999999999999</v>
      </c>
      <c r="GW96" s="58">
        <v>2.5939999999999999</v>
      </c>
      <c r="GX96" s="58">
        <v>70.415999999999997</v>
      </c>
      <c r="GY96" s="58">
        <v>25.34</v>
      </c>
      <c r="GZ96" s="58">
        <v>45.075000000000003</v>
      </c>
      <c r="HA96" s="58">
        <v>208.81100000000001</v>
      </c>
      <c r="HB96" s="58">
        <v>107.90600000000001</v>
      </c>
      <c r="HC96" s="58">
        <v>100.905</v>
      </c>
      <c r="HD96" s="58">
        <v>60.76</v>
      </c>
      <c r="HE96" s="58">
        <v>40.786999999999999</v>
      </c>
      <c r="HF96" s="58">
        <v>19.972999999999999</v>
      </c>
      <c r="HG96" s="58">
        <v>148.05099999999999</v>
      </c>
      <c r="HH96" s="58">
        <v>67.119</v>
      </c>
      <c r="HI96" s="58">
        <v>80.932000000000002</v>
      </c>
      <c r="HJ96" s="58">
        <v>91.89</v>
      </c>
      <c r="HK96" s="58">
        <v>59.651000000000003</v>
      </c>
      <c r="HL96" s="58">
        <v>32.238</v>
      </c>
      <c r="HM96" s="58">
        <v>191.94499999999999</v>
      </c>
      <c r="HN96" s="58">
        <v>82.322000000000003</v>
      </c>
      <c r="HO96" s="58">
        <v>109.622</v>
      </c>
      <c r="HP96" s="58">
        <v>180.72800000000001</v>
      </c>
      <c r="HQ96" s="58">
        <v>86.55</v>
      </c>
      <c r="HR96" s="58">
        <v>94.177999999999997</v>
      </c>
      <c r="HS96" s="58">
        <v>3010.4839999999999</v>
      </c>
      <c r="HT96" s="58">
        <v>1579.6130000000001</v>
      </c>
      <c r="HU96" s="58">
        <v>1430.8710000000001</v>
      </c>
      <c r="HV96" s="58">
        <v>2283.4969999999998</v>
      </c>
      <c r="HW96" s="58">
        <v>1352.0630000000001</v>
      </c>
      <c r="HX96" s="58">
        <v>931.43399999999997</v>
      </c>
      <c r="HY96" s="58">
        <v>726.98699999999997</v>
      </c>
      <c r="HZ96" s="58">
        <v>227.55</v>
      </c>
      <c r="IA96" s="58">
        <v>499.43700000000001</v>
      </c>
      <c r="IB96" s="58">
        <v>498.17599999999999</v>
      </c>
      <c r="IC96" s="58">
        <v>283.983</v>
      </c>
      <c r="ID96" s="58">
        <v>214.19300000000001</v>
      </c>
      <c r="IE96" s="58">
        <v>196.78700000000001</v>
      </c>
      <c r="IF96" s="58">
        <v>106.794</v>
      </c>
      <c r="IG96" s="58">
        <v>89.992999999999995</v>
      </c>
      <c r="IH96" s="58">
        <v>119.10899999999999</v>
      </c>
      <c r="II96" s="58">
        <v>78.599000000000004</v>
      </c>
      <c r="IJ96" s="58">
        <v>40.51</v>
      </c>
      <c r="IK96" s="58">
        <v>94.658000000000001</v>
      </c>
      <c r="IL96" s="58">
        <v>59.398000000000003</v>
      </c>
      <c r="IM96" s="58">
        <v>35.26</v>
      </c>
      <c r="IN96" s="58">
        <v>24.451000000000001</v>
      </c>
      <c r="IO96" s="58">
        <v>19.201000000000001</v>
      </c>
      <c r="IP96" s="58">
        <v>5.25</v>
      </c>
      <c r="IQ96" s="58">
        <v>77.677000000000007</v>
      </c>
    </row>
    <row r="97" spans="1:251">
      <c r="A97" s="5">
        <v>44440</v>
      </c>
      <c r="B97" s="58">
        <v>12855.049000000001</v>
      </c>
      <c r="C97" s="58">
        <v>6777.6170000000002</v>
      </c>
      <c r="D97" s="58">
        <v>6077.4319999999998</v>
      </c>
      <c r="E97" s="58">
        <v>8930.3909999999996</v>
      </c>
      <c r="F97" s="58">
        <v>5508.1409999999996</v>
      </c>
      <c r="G97" s="58">
        <v>3422.25</v>
      </c>
      <c r="H97" s="58">
        <v>3924.6579999999999</v>
      </c>
      <c r="I97" s="58">
        <v>1269.4760000000001</v>
      </c>
      <c r="J97" s="58">
        <v>2655.1819999999998</v>
      </c>
      <c r="K97" s="58">
        <v>1973.268</v>
      </c>
      <c r="L97" s="58">
        <v>1062.136</v>
      </c>
      <c r="M97" s="58">
        <v>911.13099999999997</v>
      </c>
      <c r="N97" s="58">
        <v>827.16899999999998</v>
      </c>
      <c r="O97" s="58">
        <v>445.53899999999999</v>
      </c>
      <c r="P97" s="58">
        <v>381.62900000000002</v>
      </c>
      <c r="Q97" s="58">
        <v>435.92899999999997</v>
      </c>
      <c r="R97" s="58">
        <v>291.32799999999997</v>
      </c>
      <c r="S97" s="58">
        <v>144.601</v>
      </c>
      <c r="T97" s="58">
        <v>331.54199999999997</v>
      </c>
      <c r="U97" s="58">
        <v>208.55199999999999</v>
      </c>
      <c r="V97" s="58">
        <v>122.989</v>
      </c>
      <c r="W97" s="58">
        <v>104.38800000000001</v>
      </c>
      <c r="X97" s="58">
        <v>82.775999999999996</v>
      </c>
      <c r="Y97" s="58">
        <v>21.611999999999998</v>
      </c>
      <c r="Z97" s="58">
        <v>391.23899999999998</v>
      </c>
      <c r="AA97" s="58">
        <v>154.21100000000001</v>
      </c>
      <c r="AB97" s="58">
        <v>237.02799999999999</v>
      </c>
      <c r="AC97" s="58">
        <v>1372.2180000000001</v>
      </c>
      <c r="AD97" s="58">
        <v>749.58299999999997</v>
      </c>
      <c r="AE97" s="58">
        <v>622.63499999999999</v>
      </c>
      <c r="AF97" s="58">
        <v>516.15099999999995</v>
      </c>
      <c r="AG97" s="58">
        <v>384.48099999999999</v>
      </c>
      <c r="AH97" s="58">
        <v>131.66999999999999</v>
      </c>
      <c r="AI97" s="58">
        <v>856.06600000000003</v>
      </c>
      <c r="AJ97" s="58">
        <v>365.10199999999998</v>
      </c>
      <c r="AK97" s="58">
        <v>490.96499999999997</v>
      </c>
      <c r="AL97" s="58">
        <v>882.09199999999998</v>
      </c>
      <c r="AM97" s="58">
        <v>621.97400000000005</v>
      </c>
      <c r="AN97" s="58">
        <v>260.11799999999999</v>
      </c>
      <c r="AO97" s="58">
        <v>1091.1759999999999</v>
      </c>
      <c r="AP97" s="58">
        <v>440.16199999999998</v>
      </c>
      <c r="AQ97" s="58">
        <v>651.01400000000001</v>
      </c>
      <c r="AR97" s="58">
        <v>1187.6079999999999</v>
      </c>
      <c r="AS97" s="58">
        <v>573.654</v>
      </c>
      <c r="AT97" s="58">
        <v>613.95399999999995</v>
      </c>
      <c r="AU97" s="58">
        <v>12220.18</v>
      </c>
      <c r="AV97" s="58">
        <v>6390.9639999999999</v>
      </c>
      <c r="AW97" s="58">
        <v>5829.2160000000003</v>
      </c>
      <c r="AX97" s="58">
        <v>8632.4089999999997</v>
      </c>
      <c r="AY97" s="58">
        <v>5291.6660000000002</v>
      </c>
      <c r="AZ97" s="58">
        <v>3340.7420000000002</v>
      </c>
      <c r="BA97" s="58">
        <v>3587.7710000000002</v>
      </c>
      <c r="BB97" s="58">
        <v>1099.297</v>
      </c>
      <c r="BC97" s="58">
        <v>2488.4740000000002</v>
      </c>
      <c r="BD97" s="58">
        <v>1882.1310000000001</v>
      </c>
      <c r="BE97" s="58">
        <v>1002.69</v>
      </c>
      <c r="BF97" s="58">
        <v>879.44100000000003</v>
      </c>
      <c r="BG97" s="58">
        <v>764.13599999999997</v>
      </c>
      <c r="BH97" s="58">
        <v>405.40300000000002</v>
      </c>
      <c r="BI97" s="58">
        <v>358.73200000000003</v>
      </c>
      <c r="BJ97" s="58">
        <v>415.12400000000002</v>
      </c>
      <c r="BK97" s="58">
        <v>273.98099999999999</v>
      </c>
      <c r="BL97" s="58">
        <v>141.143</v>
      </c>
      <c r="BM97" s="58">
        <v>314.79399999999998</v>
      </c>
      <c r="BN97" s="58">
        <v>194.755</v>
      </c>
      <c r="BO97" s="58">
        <v>120.04</v>
      </c>
      <c r="BP97" s="58">
        <v>100.33</v>
      </c>
      <c r="BQ97" s="58">
        <v>79.225999999999999</v>
      </c>
      <c r="BR97" s="58">
        <v>21.103999999999999</v>
      </c>
      <c r="BS97" s="58">
        <v>349.012</v>
      </c>
      <c r="BT97" s="58">
        <v>131.423</v>
      </c>
      <c r="BU97" s="58">
        <v>217.589</v>
      </c>
      <c r="BV97" s="58">
        <v>1331.912</v>
      </c>
      <c r="BW97" s="58">
        <v>720.93399999999997</v>
      </c>
      <c r="BX97" s="58">
        <v>610.97699999999998</v>
      </c>
      <c r="BY97" s="58">
        <v>504.517</v>
      </c>
      <c r="BZ97" s="58">
        <v>374.92099999999999</v>
      </c>
      <c r="CA97" s="58">
        <v>129.59700000000001</v>
      </c>
      <c r="CB97" s="58">
        <v>827.39400000000001</v>
      </c>
      <c r="CC97" s="58">
        <v>346.01400000000001</v>
      </c>
      <c r="CD97" s="58">
        <v>481.38</v>
      </c>
      <c r="CE97" s="58">
        <v>853.33100000000002</v>
      </c>
      <c r="CF97" s="58">
        <v>598.23699999999997</v>
      </c>
      <c r="CG97" s="58">
        <v>255.095</v>
      </c>
      <c r="CH97" s="58">
        <v>1028.8</v>
      </c>
      <c r="CI97" s="58">
        <v>404.45299999999997</v>
      </c>
      <c r="CJ97" s="58">
        <v>624.346</v>
      </c>
      <c r="CK97" s="58">
        <v>1142.1880000000001</v>
      </c>
      <c r="CL97" s="58">
        <v>540.76800000000003</v>
      </c>
      <c r="CM97" s="58">
        <v>601.41999999999996</v>
      </c>
      <c r="CN97" s="58">
        <v>1757.357</v>
      </c>
      <c r="CO97" s="58">
        <v>902.726</v>
      </c>
      <c r="CP97" s="58">
        <v>854.63099999999997</v>
      </c>
      <c r="CQ97" s="58">
        <v>782.29399999999998</v>
      </c>
      <c r="CR97" s="58">
        <v>473.08100000000002</v>
      </c>
      <c r="CS97" s="58">
        <v>309.214</v>
      </c>
      <c r="CT97" s="58">
        <v>975.06299999999999</v>
      </c>
      <c r="CU97" s="58">
        <v>429.64600000000002</v>
      </c>
      <c r="CV97" s="58">
        <v>545.41700000000003</v>
      </c>
      <c r="CW97" s="58">
        <v>462.02300000000002</v>
      </c>
      <c r="CX97" s="58">
        <v>230.303</v>
      </c>
      <c r="CY97" s="58">
        <v>231.72</v>
      </c>
      <c r="CZ97" s="58">
        <v>153.08699999999999</v>
      </c>
      <c r="DA97" s="58">
        <v>74.364000000000004</v>
      </c>
      <c r="DB97" s="58">
        <v>78.722999999999999</v>
      </c>
      <c r="DC97" s="58">
        <v>40.78</v>
      </c>
      <c r="DD97" s="58">
        <v>22.78</v>
      </c>
      <c r="DE97" s="58">
        <v>18</v>
      </c>
      <c r="DF97" s="58">
        <v>35.97</v>
      </c>
      <c r="DG97" s="58">
        <v>18.318000000000001</v>
      </c>
      <c r="DH97" s="58">
        <v>17.652999999999999</v>
      </c>
      <c r="DI97" s="58">
        <v>4.8090000000000002</v>
      </c>
      <c r="DJ97" s="58">
        <v>4.4619999999999997</v>
      </c>
      <c r="DK97" s="58">
        <v>0.34699999999999998</v>
      </c>
      <c r="DL97" s="58">
        <v>112.307</v>
      </c>
      <c r="DM97" s="58">
        <v>51.585000000000001</v>
      </c>
      <c r="DN97" s="58">
        <v>60.722000000000001</v>
      </c>
      <c r="DO97" s="58">
        <v>367.03500000000003</v>
      </c>
      <c r="DP97" s="58">
        <v>187.16399999999999</v>
      </c>
      <c r="DQ97" s="58">
        <v>179.87</v>
      </c>
      <c r="DR97" s="58">
        <v>67.873000000000005</v>
      </c>
      <c r="DS97" s="58">
        <v>47.399000000000001</v>
      </c>
      <c r="DT97" s="58">
        <v>20.474</v>
      </c>
      <c r="DU97" s="58">
        <v>299.16199999999998</v>
      </c>
      <c r="DV97" s="58">
        <v>139.76599999999999</v>
      </c>
      <c r="DW97" s="58">
        <v>159.39699999999999</v>
      </c>
      <c r="DX97" s="58">
        <v>101.77200000000001</v>
      </c>
      <c r="DY97" s="58">
        <v>67.222999999999999</v>
      </c>
      <c r="DZ97" s="58">
        <v>34.549999999999997</v>
      </c>
      <c r="EA97" s="58">
        <v>360.25099999999998</v>
      </c>
      <c r="EB97" s="58">
        <v>163.08099999999999</v>
      </c>
      <c r="EC97" s="58">
        <v>197.17</v>
      </c>
      <c r="ED97" s="58">
        <v>335.13299999999998</v>
      </c>
      <c r="EE97" s="58">
        <v>158.083</v>
      </c>
      <c r="EF97" s="58">
        <v>177.04900000000001</v>
      </c>
      <c r="EG97" s="58">
        <v>630.76900000000001</v>
      </c>
      <c r="EH97" s="58">
        <v>309.49099999999999</v>
      </c>
      <c r="EI97" s="58">
        <v>321.27800000000002</v>
      </c>
      <c r="EJ97" s="58">
        <v>146.15899999999999</v>
      </c>
      <c r="EK97" s="58">
        <v>103.604</v>
      </c>
      <c r="EL97" s="58">
        <v>42.555</v>
      </c>
      <c r="EM97" s="58">
        <v>484.61</v>
      </c>
      <c r="EN97" s="58">
        <v>205.887</v>
      </c>
      <c r="EO97" s="58">
        <v>278.72300000000001</v>
      </c>
      <c r="EP97" s="58">
        <v>197.465</v>
      </c>
      <c r="EQ97" s="58">
        <v>95.097999999999999</v>
      </c>
      <c r="ER97" s="58">
        <v>102.367</v>
      </c>
      <c r="ES97" s="58">
        <v>63.819000000000003</v>
      </c>
      <c r="ET97" s="58">
        <v>33.021000000000001</v>
      </c>
      <c r="EU97" s="58">
        <v>30.797000000000001</v>
      </c>
      <c r="EV97" s="58">
        <v>6.0060000000000002</v>
      </c>
      <c r="EW97" s="58">
        <v>3.1819999999999999</v>
      </c>
      <c r="EX97" s="58">
        <v>2.823</v>
      </c>
      <c r="EY97" s="58">
        <v>6.0060000000000002</v>
      </c>
      <c r="EZ97" s="58">
        <v>3.1819999999999999</v>
      </c>
      <c r="FA97" s="58">
        <v>2.823</v>
      </c>
      <c r="FB97" s="58">
        <v>0</v>
      </c>
      <c r="FC97" s="58">
        <v>0</v>
      </c>
      <c r="FD97" s="58">
        <v>0</v>
      </c>
      <c r="FE97" s="58">
        <v>57.813000000000002</v>
      </c>
      <c r="FF97" s="58">
        <v>29.838999999999999</v>
      </c>
      <c r="FG97" s="58">
        <v>27.974</v>
      </c>
      <c r="FH97" s="58">
        <v>162.845</v>
      </c>
      <c r="FI97" s="58">
        <v>79.864999999999995</v>
      </c>
      <c r="FJ97" s="58">
        <v>82.978999999999999</v>
      </c>
      <c r="FK97" s="58">
        <v>11.802</v>
      </c>
      <c r="FL97" s="58">
        <v>8.0109999999999992</v>
      </c>
      <c r="FM97" s="58">
        <v>3.7919999999999998</v>
      </c>
      <c r="FN97" s="58">
        <v>151.042</v>
      </c>
      <c r="FO97" s="58">
        <v>71.855000000000004</v>
      </c>
      <c r="FP97" s="58">
        <v>79.186999999999998</v>
      </c>
      <c r="FQ97" s="58">
        <v>17.033000000000001</v>
      </c>
      <c r="FR97" s="58">
        <v>11.193</v>
      </c>
      <c r="FS97" s="58">
        <v>5.84</v>
      </c>
      <c r="FT97" s="58">
        <v>180.43199999999999</v>
      </c>
      <c r="FU97" s="58">
        <v>83.905000000000001</v>
      </c>
      <c r="FV97" s="58">
        <v>96.527000000000001</v>
      </c>
      <c r="FW97" s="58">
        <v>157.048</v>
      </c>
      <c r="FX97" s="58">
        <v>75.037000000000006</v>
      </c>
      <c r="FY97" s="58">
        <v>82.010999999999996</v>
      </c>
      <c r="FZ97" s="58">
        <v>1126.588</v>
      </c>
      <c r="GA97" s="58">
        <v>593.23500000000001</v>
      </c>
      <c r="GB97" s="58">
        <v>533.35299999999995</v>
      </c>
      <c r="GC97" s="58">
        <v>636.13599999999997</v>
      </c>
      <c r="GD97" s="58">
        <v>369.476</v>
      </c>
      <c r="GE97" s="58">
        <v>266.65899999999999</v>
      </c>
      <c r="GF97" s="58">
        <v>490.45299999999997</v>
      </c>
      <c r="GG97" s="58">
        <v>223.75899999999999</v>
      </c>
      <c r="GH97" s="58">
        <v>266.69400000000002</v>
      </c>
      <c r="GI97" s="58">
        <v>264.55799999999999</v>
      </c>
      <c r="GJ97" s="58">
        <v>135.20500000000001</v>
      </c>
      <c r="GK97" s="58">
        <v>129.35300000000001</v>
      </c>
      <c r="GL97" s="58">
        <v>89.268000000000001</v>
      </c>
      <c r="GM97" s="58">
        <v>41.343000000000004</v>
      </c>
      <c r="GN97" s="58">
        <v>47.924999999999997</v>
      </c>
      <c r="GO97" s="58">
        <v>34.774000000000001</v>
      </c>
      <c r="GP97" s="58">
        <v>19.597000000000001</v>
      </c>
      <c r="GQ97" s="58">
        <v>15.177</v>
      </c>
      <c r="GR97" s="58">
        <v>29.965</v>
      </c>
      <c r="GS97" s="58">
        <v>15.135</v>
      </c>
      <c r="GT97" s="58">
        <v>14.829000000000001</v>
      </c>
      <c r="GU97" s="58">
        <v>4.8090000000000002</v>
      </c>
      <c r="GV97" s="58">
        <v>4.4619999999999997</v>
      </c>
      <c r="GW97" s="58">
        <v>0.34699999999999998</v>
      </c>
      <c r="GX97" s="58">
        <v>54.494</v>
      </c>
      <c r="GY97" s="58">
        <v>21.745999999999999</v>
      </c>
      <c r="GZ97" s="58">
        <v>32.749000000000002</v>
      </c>
      <c r="HA97" s="58">
        <v>204.19</v>
      </c>
      <c r="HB97" s="58">
        <v>107.29900000000001</v>
      </c>
      <c r="HC97" s="58">
        <v>96.891000000000005</v>
      </c>
      <c r="HD97" s="58">
        <v>56.07</v>
      </c>
      <c r="HE97" s="58">
        <v>39.387999999999998</v>
      </c>
      <c r="HF97" s="58">
        <v>16.681999999999999</v>
      </c>
      <c r="HG97" s="58">
        <v>148.12</v>
      </c>
      <c r="HH97" s="58">
        <v>67.911000000000001</v>
      </c>
      <c r="HI97" s="58">
        <v>80.209000000000003</v>
      </c>
      <c r="HJ97" s="58">
        <v>84.74</v>
      </c>
      <c r="HK97" s="58">
        <v>56.03</v>
      </c>
      <c r="HL97" s="58">
        <v>28.71</v>
      </c>
      <c r="HM97" s="58">
        <v>179.81800000000001</v>
      </c>
      <c r="HN97" s="58">
        <v>79.176000000000002</v>
      </c>
      <c r="HO97" s="58">
        <v>100.643</v>
      </c>
      <c r="HP97" s="58">
        <v>178.084</v>
      </c>
      <c r="HQ97" s="58">
        <v>83.046000000000006</v>
      </c>
      <c r="HR97" s="58">
        <v>95.039000000000001</v>
      </c>
      <c r="HS97" s="58">
        <v>2967.6350000000002</v>
      </c>
      <c r="HT97" s="58">
        <v>1560.0540000000001</v>
      </c>
      <c r="HU97" s="58">
        <v>1407.5809999999999</v>
      </c>
      <c r="HV97" s="58">
        <v>2268.73</v>
      </c>
      <c r="HW97" s="58">
        <v>1336.329</v>
      </c>
      <c r="HX97" s="58">
        <v>932.40099999999995</v>
      </c>
      <c r="HY97" s="58">
        <v>698.90499999999997</v>
      </c>
      <c r="HZ97" s="58">
        <v>223.72499999999999</v>
      </c>
      <c r="IA97" s="58">
        <v>475.18</v>
      </c>
      <c r="IB97" s="58">
        <v>471.43299999999999</v>
      </c>
      <c r="IC97" s="58">
        <v>271.137</v>
      </c>
      <c r="ID97" s="58">
        <v>200.29599999999999</v>
      </c>
      <c r="IE97" s="58">
        <v>195.31899999999999</v>
      </c>
      <c r="IF97" s="58">
        <v>114.87</v>
      </c>
      <c r="IG97" s="58">
        <v>80.448999999999998</v>
      </c>
      <c r="IH97" s="58">
        <v>127.858</v>
      </c>
      <c r="II97" s="58">
        <v>87.292000000000002</v>
      </c>
      <c r="IJ97" s="58">
        <v>40.566000000000003</v>
      </c>
      <c r="IK97" s="58">
        <v>100.3</v>
      </c>
      <c r="IL97" s="58">
        <v>67.096999999999994</v>
      </c>
      <c r="IM97" s="58">
        <v>33.203000000000003</v>
      </c>
      <c r="IN97" s="58">
        <v>27.558</v>
      </c>
      <c r="IO97" s="58">
        <v>20.195</v>
      </c>
      <c r="IP97" s="58">
        <v>7.3630000000000004</v>
      </c>
      <c r="IQ97" s="58">
        <v>67.460999999999999</v>
      </c>
    </row>
    <row r="98" spans="1:251">
      <c r="A98" s="5">
        <v>44470</v>
      </c>
      <c r="B98" s="58">
        <v>12812.727999999999</v>
      </c>
      <c r="C98" s="58">
        <v>6767.6120000000001</v>
      </c>
      <c r="D98" s="58">
        <v>6045.116</v>
      </c>
      <c r="E98" s="58">
        <v>8891.0059999999994</v>
      </c>
      <c r="F98" s="58">
        <v>5497.69</v>
      </c>
      <c r="G98" s="58">
        <v>3393.3159999999998</v>
      </c>
      <c r="H98" s="58">
        <v>3921.7220000000002</v>
      </c>
      <c r="I98" s="58">
        <v>1269.922</v>
      </c>
      <c r="J98" s="58">
        <v>2651.8</v>
      </c>
      <c r="K98" s="58">
        <v>1960.5029999999999</v>
      </c>
      <c r="L98" s="58">
        <v>1075.384</v>
      </c>
      <c r="M98" s="58">
        <v>885.11900000000003</v>
      </c>
      <c r="N98" s="58">
        <v>764.46199999999999</v>
      </c>
      <c r="O98" s="58">
        <v>446.58</v>
      </c>
      <c r="P98" s="58">
        <v>317.88200000000001</v>
      </c>
      <c r="Q98" s="58">
        <v>426.827</v>
      </c>
      <c r="R98" s="58">
        <v>305.79899999999998</v>
      </c>
      <c r="S98" s="58">
        <v>121.02800000000001</v>
      </c>
      <c r="T98" s="58">
        <v>342.96100000000001</v>
      </c>
      <c r="U98" s="58">
        <v>240.024</v>
      </c>
      <c r="V98" s="58">
        <v>102.93600000000001</v>
      </c>
      <c r="W98" s="58">
        <v>83.866</v>
      </c>
      <c r="X98" s="58">
        <v>65.775000000000006</v>
      </c>
      <c r="Y98" s="58">
        <v>18.091000000000001</v>
      </c>
      <c r="Z98" s="58">
        <v>337.63499999999999</v>
      </c>
      <c r="AA98" s="58">
        <v>140.78</v>
      </c>
      <c r="AB98" s="58">
        <v>196.85499999999999</v>
      </c>
      <c r="AC98" s="58">
        <v>1401.623</v>
      </c>
      <c r="AD98" s="58">
        <v>740.93200000000002</v>
      </c>
      <c r="AE98" s="58">
        <v>660.69</v>
      </c>
      <c r="AF98" s="58">
        <v>528.89400000000001</v>
      </c>
      <c r="AG98" s="58">
        <v>382.23399999999998</v>
      </c>
      <c r="AH98" s="58">
        <v>146.66</v>
      </c>
      <c r="AI98" s="58">
        <v>872.72900000000004</v>
      </c>
      <c r="AJ98" s="58">
        <v>358.69900000000001</v>
      </c>
      <c r="AK98" s="58">
        <v>514.03</v>
      </c>
      <c r="AL98" s="58">
        <v>891.03</v>
      </c>
      <c r="AM98" s="58">
        <v>638.26300000000003</v>
      </c>
      <c r="AN98" s="58">
        <v>252.76599999999999</v>
      </c>
      <c r="AO98" s="58">
        <v>1069.4739999999999</v>
      </c>
      <c r="AP98" s="58">
        <v>437.12099999999998</v>
      </c>
      <c r="AQ98" s="58">
        <v>632.35299999999995</v>
      </c>
      <c r="AR98" s="58">
        <v>1215.69</v>
      </c>
      <c r="AS98" s="58">
        <v>598.72299999999996</v>
      </c>
      <c r="AT98" s="58">
        <v>616.96699999999998</v>
      </c>
      <c r="AU98" s="58">
        <v>12189.916999999999</v>
      </c>
      <c r="AV98" s="58">
        <v>6386.5370000000003</v>
      </c>
      <c r="AW98" s="58">
        <v>5803.3789999999999</v>
      </c>
      <c r="AX98" s="58">
        <v>8602.9539999999997</v>
      </c>
      <c r="AY98" s="58">
        <v>5293.29</v>
      </c>
      <c r="AZ98" s="58">
        <v>3309.6640000000002</v>
      </c>
      <c r="BA98" s="58">
        <v>3586.9630000000002</v>
      </c>
      <c r="BB98" s="58">
        <v>1093.2470000000001</v>
      </c>
      <c r="BC98" s="58">
        <v>2493.7159999999999</v>
      </c>
      <c r="BD98" s="58">
        <v>1872.3979999999999</v>
      </c>
      <c r="BE98" s="58">
        <v>1016.39</v>
      </c>
      <c r="BF98" s="58">
        <v>856.00800000000004</v>
      </c>
      <c r="BG98" s="58">
        <v>708.47299999999996</v>
      </c>
      <c r="BH98" s="58">
        <v>407.37599999999998</v>
      </c>
      <c r="BI98" s="58">
        <v>301.09699999999998</v>
      </c>
      <c r="BJ98" s="58">
        <v>400.71699999999998</v>
      </c>
      <c r="BK98" s="58">
        <v>283.62200000000001</v>
      </c>
      <c r="BL98" s="58">
        <v>117.095</v>
      </c>
      <c r="BM98" s="58">
        <v>323.517</v>
      </c>
      <c r="BN98" s="58">
        <v>223.566</v>
      </c>
      <c r="BO98" s="58">
        <v>99.95</v>
      </c>
      <c r="BP98" s="58">
        <v>77.200999999999993</v>
      </c>
      <c r="BQ98" s="58">
        <v>60.055999999999997</v>
      </c>
      <c r="BR98" s="58">
        <v>17.145</v>
      </c>
      <c r="BS98" s="58">
        <v>307.75599999999997</v>
      </c>
      <c r="BT98" s="58">
        <v>123.754</v>
      </c>
      <c r="BU98" s="58">
        <v>184.00200000000001</v>
      </c>
      <c r="BV98" s="58">
        <v>1358.548</v>
      </c>
      <c r="BW98" s="58">
        <v>714.43200000000002</v>
      </c>
      <c r="BX98" s="58">
        <v>644.11599999999999</v>
      </c>
      <c r="BY98" s="58">
        <v>516.52700000000004</v>
      </c>
      <c r="BZ98" s="58">
        <v>372.13400000000001</v>
      </c>
      <c r="CA98" s="58">
        <v>144.39400000000001</v>
      </c>
      <c r="CB98" s="58">
        <v>842.02099999999996</v>
      </c>
      <c r="CC98" s="58">
        <v>342.298</v>
      </c>
      <c r="CD98" s="58">
        <v>499.72199999999998</v>
      </c>
      <c r="CE98" s="58">
        <v>857.54200000000003</v>
      </c>
      <c r="CF98" s="58">
        <v>609.51</v>
      </c>
      <c r="CG98" s="58">
        <v>248.03200000000001</v>
      </c>
      <c r="CH98" s="58">
        <v>1014.857</v>
      </c>
      <c r="CI98" s="58">
        <v>406.88</v>
      </c>
      <c r="CJ98" s="58">
        <v>607.976</v>
      </c>
      <c r="CK98" s="58">
        <v>1165.537</v>
      </c>
      <c r="CL98" s="58">
        <v>565.86400000000003</v>
      </c>
      <c r="CM98" s="58">
        <v>599.673</v>
      </c>
      <c r="CN98" s="58">
        <v>1760.3009999999999</v>
      </c>
      <c r="CO98" s="58">
        <v>888.30100000000004</v>
      </c>
      <c r="CP98" s="58">
        <v>871.99900000000002</v>
      </c>
      <c r="CQ98" s="58">
        <v>786.94299999999998</v>
      </c>
      <c r="CR98" s="58">
        <v>474.25799999999998</v>
      </c>
      <c r="CS98" s="58">
        <v>312.685</v>
      </c>
      <c r="CT98" s="58">
        <v>973.35699999999997</v>
      </c>
      <c r="CU98" s="58">
        <v>414.04300000000001</v>
      </c>
      <c r="CV98" s="58">
        <v>559.31399999999996</v>
      </c>
      <c r="CW98" s="58">
        <v>461.34199999999998</v>
      </c>
      <c r="CX98" s="58">
        <v>229.465</v>
      </c>
      <c r="CY98" s="58">
        <v>231.876</v>
      </c>
      <c r="CZ98" s="58">
        <v>142.52000000000001</v>
      </c>
      <c r="DA98" s="58">
        <v>74.135999999999996</v>
      </c>
      <c r="DB98" s="58">
        <v>68.384</v>
      </c>
      <c r="DC98" s="58">
        <v>42.078000000000003</v>
      </c>
      <c r="DD98" s="58">
        <v>30.497</v>
      </c>
      <c r="DE98" s="58">
        <v>11.58</v>
      </c>
      <c r="DF98" s="58">
        <v>38.807000000000002</v>
      </c>
      <c r="DG98" s="58">
        <v>28.042000000000002</v>
      </c>
      <c r="DH98" s="58">
        <v>10.765000000000001</v>
      </c>
      <c r="DI98" s="58">
        <v>3.27</v>
      </c>
      <c r="DJ98" s="58">
        <v>2.4550000000000001</v>
      </c>
      <c r="DK98" s="58">
        <v>0.81499999999999995</v>
      </c>
      <c r="DL98" s="58">
        <v>100.44199999999999</v>
      </c>
      <c r="DM98" s="58">
        <v>43.637999999999998</v>
      </c>
      <c r="DN98" s="58">
        <v>56.804000000000002</v>
      </c>
      <c r="DO98" s="58">
        <v>368.06</v>
      </c>
      <c r="DP98" s="58">
        <v>179.32900000000001</v>
      </c>
      <c r="DQ98" s="58">
        <v>188.73099999999999</v>
      </c>
      <c r="DR98" s="58">
        <v>73.040000000000006</v>
      </c>
      <c r="DS98" s="58">
        <v>50.029000000000003</v>
      </c>
      <c r="DT98" s="58">
        <v>23.012</v>
      </c>
      <c r="DU98" s="58">
        <v>295.01900000000001</v>
      </c>
      <c r="DV98" s="58">
        <v>129.30000000000001</v>
      </c>
      <c r="DW98" s="58">
        <v>165.71899999999999</v>
      </c>
      <c r="DX98" s="58">
        <v>108.607</v>
      </c>
      <c r="DY98" s="58">
        <v>76.05</v>
      </c>
      <c r="DZ98" s="58">
        <v>32.557000000000002</v>
      </c>
      <c r="EA98" s="58">
        <v>352.73500000000001</v>
      </c>
      <c r="EB98" s="58">
        <v>153.41499999999999</v>
      </c>
      <c r="EC98" s="58">
        <v>199.31899999999999</v>
      </c>
      <c r="ED98" s="58">
        <v>333.827</v>
      </c>
      <c r="EE98" s="58">
        <v>157.34200000000001</v>
      </c>
      <c r="EF98" s="58">
        <v>176.48400000000001</v>
      </c>
      <c r="EG98" s="58">
        <v>646.29600000000005</v>
      </c>
      <c r="EH98" s="58">
        <v>307.89999999999998</v>
      </c>
      <c r="EI98" s="58">
        <v>338.39600000000002</v>
      </c>
      <c r="EJ98" s="58">
        <v>153.453</v>
      </c>
      <c r="EK98" s="58">
        <v>99.843999999999994</v>
      </c>
      <c r="EL98" s="58">
        <v>53.609000000000002</v>
      </c>
      <c r="EM98" s="58">
        <v>492.84199999999998</v>
      </c>
      <c r="EN98" s="58">
        <v>208.05600000000001</v>
      </c>
      <c r="EO98" s="58">
        <v>284.78699999999998</v>
      </c>
      <c r="EP98" s="58">
        <v>207.709</v>
      </c>
      <c r="EQ98" s="58">
        <v>97.736000000000004</v>
      </c>
      <c r="ER98" s="58">
        <v>109.974</v>
      </c>
      <c r="ES98" s="58">
        <v>58.44</v>
      </c>
      <c r="ET98" s="58">
        <v>27.414999999999999</v>
      </c>
      <c r="EU98" s="58">
        <v>31.024000000000001</v>
      </c>
      <c r="EV98" s="58">
        <v>12.69</v>
      </c>
      <c r="EW98" s="58">
        <v>9.7669999999999995</v>
      </c>
      <c r="EX98" s="58">
        <v>2.923</v>
      </c>
      <c r="EY98" s="58">
        <v>11.193</v>
      </c>
      <c r="EZ98" s="58">
        <v>8.6690000000000005</v>
      </c>
      <c r="FA98" s="58">
        <v>2.5230000000000001</v>
      </c>
      <c r="FB98" s="58">
        <v>1.4970000000000001</v>
      </c>
      <c r="FC98" s="58">
        <v>1.097</v>
      </c>
      <c r="FD98" s="58">
        <v>0.4</v>
      </c>
      <c r="FE98" s="58">
        <v>45.75</v>
      </c>
      <c r="FF98" s="58">
        <v>17.649000000000001</v>
      </c>
      <c r="FG98" s="58">
        <v>28.102</v>
      </c>
      <c r="FH98" s="58">
        <v>171.39699999999999</v>
      </c>
      <c r="FI98" s="58">
        <v>80.227999999999994</v>
      </c>
      <c r="FJ98" s="58">
        <v>91.168999999999997</v>
      </c>
      <c r="FK98" s="58">
        <v>19.905999999999999</v>
      </c>
      <c r="FL98" s="58">
        <v>13.984</v>
      </c>
      <c r="FM98" s="58">
        <v>5.9219999999999997</v>
      </c>
      <c r="FN98" s="58">
        <v>151.49100000000001</v>
      </c>
      <c r="FO98" s="58">
        <v>66.244</v>
      </c>
      <c r="FP98" s="58">
        <v>85.247</v>
      </c>
      <c r="FQ98" s="58">
        <v>30.087</v>
      </c>
      <c r="FR98" s="58">
        <v>22.155000000000001</v>
      </c>
      <c r="FS98" s="58">
        <v>7.9320000000000004</v>
      </c>
      <c r="FT98" s="58">
        <v>177.62200000000001</v>
      </c>
      <c r="FU98" s="58">
        <v>75.581000000000003</v>
      </c>
      <c r="FV98" s="58">
        <v>102.041</v>
      </c>
      <c r="FW98" s="58">
        <v>162.684</v>
      </c>
      <c r="FX98" s="58">
        <v>74.912999999999997</v>
      </c>
      <c r="FY98" s="58">
        <v>87.771000000000001</v>
      </c>
      <c r="FZ98" s="58">
        <v>1114.0050000000001</v>
      </c>
      <c r="GA98" s="58">
        <v>580.40099999999995</v>
      </c>
      <c r="GB98" s="58">
        <v>533.60299999999995</v>
      </c>
      <c r="GC98" s="58">
        <v>633.49</v>
      </c>
      <c r="GD98" s="58">
        <v>374.41399999999999</v>
      </c>
      <c r="GE98" s="58">
        <v>259.07600000000002</v>
      </c>
      <c r="GF98" s="58">
        <v>480.51499999999999</v>
      </c>
      <c r="GG98" s="58">
        <v>205.98699999999999</v>
      </c>
      <c r="GH98" s="58">
        <v>274.52699999999999</v>
      </c>
      <c r="GI98" s="58">
        <v>253.63200000000001</v>
      </c>
      <c r="GJ98" s="58">
        <v>131.72999999999999</v>
      </c>
      <c r="GK98" s="58">
        <v>121.90300000000001</v>
      </c>
      <c r="GL98" s="58">
        <v>84.08</v>
      </c>
      <c r="GM98" s="58">
        <v>46.720999999999997</v>
      </c>
      <c r="GN98" s="58">
        <v>37.359000000000002</v>
      </c>
      <c r="GO98" s="58">
        <v>29.388000000000002</v>
      </c>
      <c r="GP98" s="58">
        <v>20.731000000000002</v>
      </c>
      <c r="GQ98" s="58">
        <v>8.657</v>
      </c>
      <c r="GR98" s="58">
        <v>27.614999999999998</v>
      </c>
      <c r="GS98" s="58">
        <v>19.373000000000001</v>
      </c>
      <c r="GT98" s="58">
        <v>8.2420000000000009</v>
      </c>
      <c r="GU98" s="58">
        <v>1.7729999999999999</v>
      </c>
      <c r="GV98" s="58">
        <v>1.3580000000000001</v>
      </c>
      <c r="GW98" s="58">
        <v>0.41599999999999998</v>
      </c>
      <c r="GX98" s="58">
        <v>54.692</v>
      </c>
      <c r="GY98" s="58">
        <v>25.99</v>
      </c>
      <c r="GZ98" s="58">
        <v>28.702000000000002</v>
      </c>
      <c r="HA98" s="58">
        <v>196.66300000000001</v>
      </c>
      <c r="HB98" s="58">
        <v>99.100999999999999</v>
      </c>
      <c r="HC98" s="58">
        <v>97.561999999999998</v>
      </c>
      <c r="HD98" s="58">
        <v>53.134</v>
      </c>
      <c r="HE98" s="58">
        <v>36.045000000000002</v>
      </c>
      <c r="HF98" s="58">
        <v>17.09</v>
      </c>
      <c r="HG98" s="58">
        <v>143.52799999999999</v>
      </c>
      <c r="HH98" s="58">
        <v>63.055999999999997</v>
      </c>
      <c r="HI98" s="58">
        <v>80.471999999999994</v>
      </c>
      <c r="HJ98" s="58">
        <v>78.52</v>
      </c>
      <c r="HK98" s="58">
        <v>53.895000000000003</v>
      </c>
      <c r="HL98" s="58">
        <v>24.625</v>
      </c>
      <c r="HM98" s="58">
        <v>175.113</v>
      </c>
      <c r="HN98" s="58">
        <v>77.834000000000003</v>
      </c>
      <c r="HO98" s="58">
        <v>97.278000000000006</v>
      </c>
      <c r="HP98" s="58">
        <v>171.143</v>
      </c>
      <c r="HQ98" s="58">
        <v>82.429000000000002</v>
      </c>
      <c r="HR98" s="58">
        <v>88.712999999999994</v>
      </c>
      <c r="HS98" s="58">
        <v>2938.422</v>
      </c>
      <c r="HT98" s="58">
        <v>1562.662</v>
      </c>
      <c r="HU98" s="58">
        <v>1375.759</v>
      </c>
      <c r="HV98" s="58">
        <v>2256.4470000000001</v>
      </c>
      <c r="HW98" s="58">
        <v>1336.3530000000001</v>
      </c>
      <c r="HX98" s="58">
        <v>920.09400000000005</v>
      </c>
      <c r="HY98" s="58">
        <v>681.97400000000005</v>
      </c>
      <c r="HZ98" s="58">
        <v>226.309</v>
      </c>
      <c r="IA98" s="58">
        <v>455.66500000000002</v>
      </c>
      <c r="IB98" s="58">
        <v>464.6</v>
      </c>
      <c r="IC98" s="58">
        <v>278.45100000000002</v>
      </c>
      <c r="ID98" s="58">
        <v>186.148</v>
      </c>
      <c r="IE98" s="58">
        <v>175.76400000000001</v>
      </c>
      <c r="IF98" s="58">
        <v>106.292</v>
      </c>
      <c r="IG98" s="58">
        <v>69.471999999999994</v>
      </c>
      <c r="IH98" s="58">
        <v>121.542</v>
      </c>
      <c r="II98" s="58">
        <v>84.004000000000005</v>
      </c>
      <c r="IJ98" s="58">
        <v>37.536999999999999</v>
      </c>
      <c r="IK98" s="58">
        <v>104.337</v>
      </c>
      <c r="IL98" s="58">
        <v>71.073999999999998</v>
      </c>
      <c r="IM98" s="58">
        <v>33.262999999999998</v>
      </c>
      <c r="IN98" s="58">
        <v>17.204000000000001</v>
      </c>
      <c r="IO98" s="58">
        <v>12.93</v>
      </c>
      <c r="IP98" s="58">
        <v>4.274</v>
      </c>
      <c r="IQ98" s="58">
        <v>54.222000000000001</v>
      </c>
    </row>
    <row r="99" spans="1:251">
      <c r="A99" s="5">
        <v>44501</v>
      </c>
      <c r="B99" s="58">
        <v>13248.837</v>
      </c>
      <c r="C99" s="58">
        <v>6943.3630000000003</v>
      </c>
      <c r="D99" s="58">
        <v>6305.473</v>
      </c>
      <c r="E99" s="58">
        <v>9095.2860000000001</v>
      </c>
      <c r="F99" s="58">
        <v>5612.7049999999999</v>
      </c>
      <c r="G99" s="58">
        <v>3482.58</v>
      </c>
      <c r="H99" s="58">
        <v>4153.5510000000004</v>
      </c>
      <c r="I99" s="58">
        <v>1330.6579999999999</v>
      </c>
      <c r="J99" s="58">
        <v>2822.893</v>
      </c>
      <c r="K99" s="58">
        <v>1693.6030000000001</v>
      </c>
      <c r="L99" s="58">
        <v>892.40499999999997</v>
      </c>
      <c r="M99" s="58">
        <v>801.19799999999998</v>
      </c>
      <c r="N99" s="58">
        <v>418.613</v>
      </c>
      <c r="O99" s="58">
        <v>235.702</v>
      </c>
      <c r="P99" s="58">
        <v>182.911</v>
      </c>
      <c r="Q99" s="58">
        <v>181.333</v>
      </c>
      <c r="R99" s="58">
        <v>130.52199999999999</v>
      </c>
      <c r="S99" s="58">
        <v>50.811999999999998</v>
      </c>
      <c r="T99" s="58">
        <v>131.078</v>
      </c>
      <c r="U99" s="58">
        <v>92.653000000000006</v>
      </c>
      <c r="V99" s="58">
        <v>38.426000000000002</v>
      </c>
      <c r="W99" s="58">
        <v>50.255000000000003</v>
      </c>
      <c r="X99" s="58">
        <v>37.869</v>
      </c>
      <c r="Y99" s="58">
        <v>12.385999999999999</v>
      </c>
      <c r="Z99" s="58">
        <v>237.28</v>
      </c>
      <c r="AA99" s="58">
        <v>105.18</v>
      </c>
      <c r="AB99" s="58">
        <v>132.1</v>
      </c>
      <c r="AC99" s="58">
        <v>1429.3810000000001</v>
      </c>
      <c r="AD99" s="58">
        <v>741.62599999999998</v>
      </c>
      <c r="AE99" s="58">
        <v>687.755</v>
      </c>
      <c r="AF99" s="58">
        <v>526.00300000000004</v>
      </c>
      <c r="AG99" s="58">
        <v>378.25700000000001</v>
      </c>
      <c r="AH99" s="58">
        <v>147.74600000000001</v>
      </c>
      <c r="AI99" s="58">
        <v>903.37800000000004</v>
      </c>
      <c r="AJ99" s="58">
        <v>363.36900000000003</v>
      </c>
      <c r="AK99" s="58">
        <v>540.00900000000001</v>
      </c>
      <c r="AL99" s="58">
        <v>666.41099999999994</v>
      </c>
      <c r="AM99" s="58">
        <v>476.36099999999999</v>
      </c>
      <c r="AN99" s="58">
        <v>190.05099999999999</v>
      </c>
      <c r="AO99" s="58">
        <v>1027.192</v>
      </c>
      <c r="AP99" s="58">
        <v>416.04500000000002</v>
      </c>
      <c r="AQ99" s="58">
        <v>611.14700000000005</v>
      </c>
      <c r="AR99" s="58">
        <v>1034.4570000000001</v>
      </c>
      <c r="AS99" s="58">
        <v>456.02199999999999</v>
      </c>
      <c r="AT99" s="58">
        <v>578.43499999999995</v>
      </c>
      <c r="AU99" s="58">
        <v>12594.343999999999</v>
      </c>
      <c r="AV99" s="58">
        <v>6549.5690000000004</v>
      </c>
      <c r="AW99" s="58">
        <v>6044.7749999999996</v>
      </c>
      <c r="AX99" s="58">
        <v>8797.3719999999994</v>
      </c>
      <c r="AY99" s="58">
        <v>5401.0219999999999</v>
      </c>
      <c r="AZ99" s="58">
        <v>3396.35</v>
      </c>
      <c r="BA99" s="58">
        <v>3796.971</v>
      </c>
      <c r="BB99" s="58">
        <v>1148.547</v>
      </c>
      <c r="BC99" s="58">
        <v>2648.424</v>
      </c>
      <c r="BD99" s="58">
        <v>1625.306</v>
      </c>
      <c r="BE99" s="58">
        <v>849.68899999999996</v>
      </c>
      <c r="BF99" s="58">
        <v>775.61699999999996</v>
      </c>
      <c r="BG99" s="58">
        <v>379.70800000000003</v>
      </c>
      <c r="BH99" s="58">
        <v>210.50200000000001</v>
      </c>
      <c r="BI99" s="58">
        <v>169.20599999999999</v>
      </c>
      <c r="BJ99" s="58">
        <v>169.74700000000001</v>
      </c>
      <c r="BK99" s="58">
        <v>120.839</v>
      </c>
      <c r="BL99" s="58">
        <v>48.908000000000001</v>
      </c>
      <c r="BM99" s="58">
        <v>121.407</v>
      </c>
      <c r="BN99" s="58">
        <v>84.884</v>
      </c>
      <c r="BO99" s="58">
        <v>36.521999999999998</v>
      </c>
      <c r="BP99" s="58">
        <v>48.341000000000001</v>
      </c>
      <c r="BQ99" s="58">
        <v>35.954999999999998</v>
      </c>
      <c r="BR99" s="58">
        <v>12.385999999999999</v>
      </c>
      <c r="BS99" s="58">
        <v>209.96100000000001</v>
      </c>
      <c r="BT99" s="58">
        <v>89.662999999999997</v>
      </c>
      <c r="BU99" s="58">
        <v>120.297</v>
      </c>
      <c r="BV99" s="58">
        <v>1393.075</v>
      </c>
      <c r="BW99" s="58">
        <v>720.255</v>
      </c>
      <c r="BX99" s="58">
        <v>672.81899999999996</v>
      </c>
      <c r="BY99" s="58">
        <v>515.99599999999998</v>
      </c>
      <c r="BZ99" s="58">
        <v>369.16899999999998</v>
      </c>
      <c r="CA99" s="58">
        <v>146.827</v>
      </c>
      <c r="CB99" s="58">
        <v>877.07899999999995</v>
      </c>
      <c r="CC99" s="58">
        <v>351.08699999999999</v>
      </c>
      <c r="CD99" s="58">
        <v>525.99199999999996</v>
      </c>
      <c r="CE99" s="58">
        <v>646.72</v>
      </c>
      <c r="CF99" s="58">
        <v>459.00900000000001</v>
      </c>
      <c r="CG99" s="58">
        <v>187.71100000000001</v>
      </c>
      <c r="CH99" s="58">
        <v>978.58600000000001</v>
      </c>
      <c r="CI99" s="58">
        <v>390.68</v>
      </c>
      <c r="CJ99" s="58">
        <v>587.90599999999995</v>
      </c>
      <c r="CK99" s="58">
        <v>998.48599999999999</v>
      </c>
      <c r="CL99" s="58">
        <v>435.971</v>
      </c>
      <c r="CM99" s="58">
        <v>562.51499999999999</v>
      </c>
      <c r="CN99" s="58">
        <v>1894.502</v>
      </c>
      <c r="CO99" s="58">
        <v>954.64800000000002</v>
      </c>
      <c r="CP99" s="58">
        <v>939.85400000000004</v>
      </c>
      <c r="CQ99" s="58">
        <v>833.322</v>
      </c>
      <c r="CR99" s="58">
        <v>491.39400000000001</v>
      </c>
      <c r="CS99" s="58">
        <v>341.928</v>
      </c>
      <c r="CT99" s="58">
        <v>1061.18</v>
      </c>
      <c r="CU99" s="58">
        <v>463.25400000000002</v>
      </c>
      <c r="CV99" s="58">
        <v>597.92600000000004</v>
      </c>
      <c r="CW99" s="58">
        <v>453.286</v>
      </c>
      <c r="CX99" s="58">
        <v>223.755</v>
      </c>
      <c r="CY99" s="58">
        <v>229.53100000000001</v>
      </c>
      <c r="CZ99" s="58">
        <v>82.156999999999996</v>
      </c>
      <c r="DA99" s="58">
        <v>39.868000000000002</v>
      </c>
      <c r="DB99" s="58">
        <v>42.289000000000001</v>
      </c>
      <c r="DC99" s="58">
        <v>17.434000000000001</v>
      </c>
      <c r="DD99" s="58">
        <v>9.8309999999999995</v>
      </c>
      <c r="DE99" s="58">
        <v>7.6029999999999998</v>
      </c>
      <c r="DF99" s="58">
        <v>14.882</v>
      </c>
      <c r="DG99" s="58">
        <v>8.6069999999999993</v>
      </c>
      <c r="DH99" s="58">
        <v>6.2759999999999998</v>
      </c>
      <c r="DI99" s="58">
        <v>2.552</v>
      </c>
      <c r="DJ99" s="58">
        <v>1.2250000000000001</v>
      </c>
      <c r="DK99" s="58">
        <v>1.327</v>
      </c>
      <c r="DL99" s="58">
        <v>64.721999999999994</v>
      </c>
      <c r="DM99" s="58">
        <v>30.036999999999999</v>
      </c>
      <c r="DN99" s="58">
        <v>34.685000000000002</v>
      </c>
      <c r="DO99" s="58">
        <v>409.34</v>
      </c>
      <c r="DP99" s="58">
        <v>201.995</v>
      </c>
      <c r="DQ99" s="58">
        <v>207.345</v>
      </c>
      <c r="DR99" s="58">
        <v>71.997</v>
      </c>
      <c r="DS99" s="58">
        <v>45.335999999999999</v>
      </c>
      <c r="DT99" s="58">
        <v>26.661000000000001</v>
      </c>
      <c r="DU99" s="58">
        <v>337.34300000000002</v>
      </c>
      <c r="DV99" s="58">
        <v>156.65899999999999</v>
      </c>
      <c r="DW99" s="58">
        <v>180.684</v>
      </c>
      <c r="DX99" s="58">
        <v>84.799000000000007</v>
      </c>
      <c r="DY99" s="58">
        <v>52.323</v>
      </c>
      <c r="DZ99" s="58">
        <v>32.475999999999999</v>
      </c>
      <c r="EA99" s="58">
        <v>368.48700000000002</v>
      </c>
      <c r="EB99" s="58">
        <v>171.43299999999999</v>
      </c>
      <c r="EC99" s="58">
        <v>197.054</v>
      </c>
      <c r="ED99" s="58">
        <v>352.22500000000002</v>
      </c>
      <c r="EE99" s="58">
        <v>165.26599999999999</v>
      </c>
      <c r="EF99" s="58">
        <v>186.959</v>
      </c>
      <c r="EG99" s="58">
        <v>693.11400000000003</v>
      </c>
      <c r="EH99" s="58">
        <v>328.74900000000002</v>
      </c>
      <c r="EI99" s="58">
        <v>364.36500000000001</v>
      </c>
      <c r="EJ99" s="58">
        <v>148.34700000000001</v>
      </c>
      <c r="EK99" s="58">
        <v>95.055999999999997</v>
      </c>
      <c r="EL99" s="58">
        <v>53.290999999999997</v>
      </c>
      <c r="EM99" s="58">
        <v>544.76700000000005</v>
      </c>
      <c r="EN99" s="58">
        <v>233.69300000000001</v>
      </c>
      <c r="EO99" s="58">
        <v>311.07400000000001</v>
      </c>
      <c r="EP99" s="58">
        <v>206.63499999999999</v>
      </c>
      <c r="EQ99" s="58">
        <v>97.447000000000003</v>
      </c>
      <c r="ER99" s="58">
        <v>109.188</v>
      </c>
      <c r="ES99" s="58">
        <v>34.176000000000002</v>
      </c>
      <c r="ET99" s="58">
        <v>16.988</v>
      </c>
      <c r="EU99" s="58">
        <v>17.189</v>
      </c>
      <c r="EV99" s="58">
        <v>2.4529999999999998</v>
      </c>
      <c r="EW99" s="58">
        <v>0.82599999999999996</v>
      </c>
      <c r="EX99" s="58">
        <v>1.627</v>
      </c>
      <c r="EY99" s="58">
        <v>2.4529999999999998</v>
      </c>
      <c r="EZ99" s="58">
        <v>0.82599999999999996</v>
      </c>
      <c r="FA99" s="58">
        <v>1.627</v>
      </c>
      <c r="FB99" s="58">
        <v>0</v>
      </c>
      <c r="FC99" s="58">
        <v>0</v>
      </c>
      <c r="FD99" s="58">
        <v>0</v>
      </c>
      <c r="FE99" s="58">
        <v>31.724</v>
      </c>
      <c r="FF99" s="58">
        <v>16.161999999999999</v>
      </c>
      <c r="FG99" s="58">
        <v>15.561</v>
      </c>
      <c r="FH99" s="58">
        <v>193.708</v>
      </c>
      <c r="FI99" s="58">
        <v>91.668999999999997</v>
      </c>
      <c r="FJ99" s="58">
        <v>102.039</v>
      </c>
      <c r="FK99" s="58">
        <v>13.907999999999999</v>
      </c>
      <c r="FL99" s="58">
        <v>10.457000000000001</v>
      </c>
      <c r="FM99" s="58">
        <v>3.4510000000000001</v>
      </c>
      <c r="FN99" s="58">
        <v>179.8</v>
      </c>
      <c r="FO99" s="58">
        <v>81.212000000000003</v>
      </c>
      <c r="FP99" s="58">
        <v>98.587999999999994</v>
      </c>
      <c r="FQ99" s="58">
        <v>15.821</v>
      </c>
      <c r="FR99" s="58">
        <v>10.84</v>
      </c>
      <c r="FS99" s="58">
        <v>4.9809999999999999</v>
      </c>
      <c r="FT99" s="58">
        <v>190.81399999999999</v>
      </c>
      <c r="FU99" s="58">
        <v>86.606999999999999</v>
      </c>
      <c r="FV99" s="58">
        <v>104.20699999999999</v>
      </c>
      <c r="FW99" s="58">
        <v>182.25299999999999</v>
      </c>
      <c r="FX99" s="58">
        <v>82.037999999999997</v>
      </c>
      <c r="FY99" s="58">
        <v>100.215</v>
      </c>
      <c r="FZ99" s="58">
        <v>1201.3879999999999</v>
      </c>
      <c r="GA99" s="58">
        <v>625.899</v>
      </c>
      <c r="GB99" s="58">
        <v>575.48900000000003</v>
      </c>
      <c r="GC99" s="58">
        <v>684.97500000000002</v>
      </c>
      <c r="GD99" s="58">
        <v>396.33800000000002</v>
      </c>
      <c r="GE99" s="58">
        <v>288.637</v>
      </c>
      <c r="GF99" s="58">
        <v>516.41300000000001</v>
      </c>
      <c r="GG99" s="58">
        <v>229.56100000000001</v>
      </c>
      <c r="GH99" s="58">
        <v>286.85199999999998</v>
      </c>
      <c r="GI99" s="58">
        <v>246.65100000000001</v>
      </c>
      <c r="GJ99" s="58">
        <v>126.30800000000001</v>
      </c>
      <c r="GK99" s="58">
        <v>120.342</v>
      </c>
      <c r="GL99" s="58">
        <v>47.98</v>
      </c>
      <c r="GM99" s="58">
        <v>22.88</v>
      </c>
      <c r="GN99" s="58">
        <v>25.1</v>
      </c>
      <c r="GO99" s="58">
        <v>14.981999999999999</v>
      </c>
      <c r="GP99" s="58">
        <v>9.0060000000000002</v>
      </c>
      <c r="GQ99" s="58">
        <v>5.976</v>
      </c>
      <c r="GR99" s="58">
        <v>12.43</v>
      </c>
      <c r="GS99" s="58">
        <v>7.7809999999999997</v>
      </c>
      <c r="GT99" s="58">
        <v>4.649</v>
      </c>
      <c r="GU99" s="58">
        <v>2.552</v>
      </c>
      <c r="GV99" s="58">
        <v>1.2250000000000001</v>
      </c>
      <c r="GW99" s="58">
        <v>1.327</v>
      </c>
      <c r="GX99" s="58">
        <v>32.997999999999998</v>
      </c>
      <c r="GY99" s="58">
        <v>13.874000000000001</v>
      </c>
      <c r="GZ99" s="58">
        <v>19.123999999999999</v>
      </c>
      <c r="HA99" s="58">
        <v>215.63200000000001</v>
      </c>
      <c r="HB99" s="58">
        <v>110.32599999999999</v>
      </c>
      <c r="HC99" s="58">
        <v>105.306</v>
      </c>
      <c r="HD99" s="58">
        <v>58.09</v>
      </c>
      <c r="HE99" s="58">
        <v>34.878999999999998</v>
      </c>
      <c r="HF99" s="58">
        <v>23.21</v>
      </c>
      <c r="HG99" s="58">
        <v>157.542</v>
      </c>
      <c r="HH99" s="58">
        <v>75.447000000000003</v>
      </c>
      <c r="HI99" s="58">
        <v>82.096000000000004</v>
      </c>
      <c r="HJ99" s="58">
        <v>68.977000000000004</v>
      </c>
      <c r="HK99" s="58">
        <v>41.482999999999997</v>
      </c>
      <c r="HL99" s="58">
        <v>27.495000000000001</v>
      </c>
      <c r="HM99" s="58">
        <v>177.673</v>
      </c>
      <c r="HN99" s="58">
        <v>84.825999999999993</v>
      </c>
      <c r="HO99" s="58">
        <v>92.847999999999999</v>
      </c>
      <c r="HP99" s="58">
        <v>169.97200000000001</v>
      </c>
      <c r="HQ99" s="58">
        <v>83.227999999999994</v>
      </c>
      <c r="HR99" s="58">
        <v>86.744</v>
      </c>
      <c r="HS99" s="58">
        <v>3035.864</v>
      </c>
      <c r="HT99" s="58">
        <v>1597.146</v>
      </c>
      <c r="HU99" s="58">
        <v>1438.7180000000001</v>
      </c>
      <c r="HV99" s="58">
        <v>2312.819</v>
      </c>
      <c r="HW99" s="58">
        <v>1375.9839999999999</v>
      </c>
      <c r="HX99" s="58">
        <v>936.83500000000004</v>
      </c>
      <c r="HY99" s="58">
        <v>723.04499999999996</v>
      </c>
      <c r="HZ99" s="58">
        <v>221.16200000000001</v>
      </c>
      <c r="IA99" s="58">
        <v>501.88299999999998</v>
      </c>
      <c r="IB99" s="58">
        <v>370.65800000000002</v>
      </c>
      <c r="IC99" s="58">
        <v>215.286</v>
      </c>
      <c r="ID99" s="58">
        <v>155.37200000000001</v>
      </c>
      <c r="IE99" s="58">
        <v>81.759</v>
      </c>
      <c r="IF99" s="58">
        <v>47.334000000000003</v>
      </c>
      <c r="IG99" s="58">
        <v>34.424999999999997</v>
      </c>
      <c r="IH99" s="58">
        <v>40.08</v>
      </c>
      <c r="II99" s="58">
        <v>26.957999999999998</v>
      </c>
      <c r="IJ99" s="58">
        <v>13.122</v>
      </c>
      <c r="IK99" s="58">
        <v>28.981999999999999</v>
      </c>
      <c r="IL99" s="58">
        <v>19.454000000000001</v>
      </c>
      <c r="IM99" s="58">
        <v>9.5280000000000005</v>
      </c>
      <c r="IN99" s="58">
        <v>11.098000000000001</v>
      </c>
      <c r="IO99" s="58">
        <v>7.5039999999999996</v>
      </c>
      <c r="IP99" s="58">
        <v>3.5939999999999999</v>
      </c>
      <c r="IQ99" s="58">
        <v>41.679000000000002</v>
      </c>
    </row>
    <row r="100" spans="1:251">
      <c r="A100" s="5">
        <v>44531</v>
      </c>
      <c r="B100" s="58">
        <v>13402.366</v>
      </c>
      <c r="C100" s="58">
        <v>7029.3620000000001</v>
      </c>
      <c r="D100" s="58">
        <v>6373.0050000000001</v>
      </c>
      <c r="E100" s="58">
        <v>9267.8389999999999</v>
      </c>
      <c r="F100" s="58">
        <v>5703.1660000000002</v>
      </c>
      <c r="G100" s="58">
        <v>3564.6729999999998</v>
      </c>
      <c r="H100" s="58">
        <v>4134.527</v>
      </c>
      <c r="I100" s="58">
        <v>1326.1959999999999</v>
      </c>
      <c r="J100" s="58">
        <v>2808.3319999999999</v>
      </c>
      <c r="K100" s="58">
        <v>1613.415</v>
      </c>
      <c r="L100" s="58">
        <v>838.06</v>
      </c>
      <c r="M100" s="58">
        <v>775.35400000000004</v>
      </c>
      <c r="N100" s="58">
        <v>358.10700000000003</v>
      </c>
      <c r="O100" s="58">
        <v>189.37899999999999</v>
      </c>
      <c r="P100" s="58">
        <v>168.72800000000001</v>
      </c>
      <c r="Q100" s="58">
        <v>153.321</v>
      </c>
      <c r="R100" s="58">
        <v>106.458</v>
      </c>
      <c r="S100" s="58">
        <v>46.863999999999997</v>
      </c>
      <c r="T100" s="58">
        <v>90.587000000000003</v>
      </c>
      <c r="U100" s="58">
        <v>62.999000000000002</v>
      </c>
      <c r="V100" s="58">
        <v>27.588999999999999</v>
      </c>
      <c r="W100" s="58">
        <v>62.734000000000002</v>
      </c>
      <c r="X100" s="58">
        <v>43.459000000000003</v>
      </c>
      <c r="Y100" s="58">
        <v>19.274999999999999</v>
      </c>
      <c r="Z100" s="58">
        <v>204.786</v>
      </c>
      <c r="AA100" s="58">
        <v>82.921000000000006</v>
      </c>
      <c r="AB100" s="58">
        <v>121.864</v>
      </c>
      <c r="AC100" s="58">
        <v>1387.3240000000001</v>
      </c>
      <c r="AD100" s="58">
        <v>714.33100000000002</v>
      </c>
      <c r="AE100" s="58">
        <v>672.99300000000005</v>
      </c>
      <c r="AF100" s="58">
        <v>504.02100000000002</v>
      </c>
      <c r="AG100" s="58">
        <v>345.75799999999998</v>
      </c>
      <c r="AH100" s="58">
        <v>158.262</v>
      </c>
      <c r="AI100" s="58">
        <v>883.303</v>
      </c>
      <c r="AJ100" s="58">
        <v>368.572</v>
      </c>
      <c r="AK100" s="58">
        <v>514.73099999999999</v>
      </c>
      <c r="AL100" s="58">
        <v>622.71400000000006</v>
      </c>
      <c r="AM100" s="58">
        <v>429.22800000000001</v>
      </c>
      <c r="AN100" s="58">
        <v>193.48599999999999</v>
      </c>
      <c r="AO100" s="58">
        <v>990.70100000000002</v>
      </c>
      <c r="AP100" s="58">
        <v>408.83199999999999</v>
      </c>
      <c r="AQ100" s="58">
        <v>581.86800000000005</v>
      </c>
      <c r="AR100" s="58">
        <v>973.89099999999996</v>
      </c>
      <c r="AS100" s="58">
        <v>431.57100000000003</v>
      </c>
      <c r="AT100" s="58">
        <v>542.32000000000005</v>
      </c>
      <c r="AU100" s="58">
        <v>12743.623</v>
      </c>
      <c r="AV100" s="58">
        <v>6626.5240000000003</v>
      </c>
      <c r="AW100" s="58">
        <v>6117.1</v>
      </c>
      <c r="AX100" s="58">
        <v>8964.8340000000007</v>
      </c>
      <c r="AY100" s="58">
        <v>5485.7039999999997</v>
      </c>
      <c r="AZ100" s="58">
        <v>3479.13</v>
      </c>
      <c r="BA100" s="58">
        <v>3778.7890000000002</v>
      </c>
      <c r="BB100" s="58">
        <v>1140.819</v>
      </c>
      <c r="BC100" s="58">
        <v>2637.97</v>
      </c>
      <c r="BD100" s="58">
        <v>1550.452</v>
      </c>
      <c r="BE100" s="58">
        <v>799.39700000000005</v>
      </c>
      <c r="BF100" s="58">
        <v>751.05499999999995</v>
      </c>
      <c r="BG100" s="58">
        <v>328.65199999999999</v>
      </c>
      <c r="BH100" s="58">
        <v>169.762</v>
      </c>
      <c r="BI100" s="58">
        <v>158.88999999999999</v>
      </c>
      <c r="BJ100" s="58">
        <v>142.39699999999999</v>
      </c>
      <c r="BK100" s="58">
        <v>97.709000000000003</v>
      </c>
      <c r="BL100" s="58">
        <v>44.688000000000002</v>
      </c>
      <c r="BM100" s="58">
        <v>82.66</v>
      </c>
      <c r="BN100" s="58">
        <v>56.030999999999999</v>
      </c>
      <c r="BO100" s="58">
        <v>26.629000000000001</v>
      </c>
      <c r="BP100" s="58">
        <v>59.737000000000002</v>
      </c>
      <c r="BQ100" s="58">
        <v>41.677999999999997</v>
      </c>
      <c r="BR100" s="58">
        <v>18.059000000000001</v>
      </c>
      <c r="BS100" s="58">
        <v>186.255</v>
      </c>
      <c r="BT100" s="58">
        <v>72.052999999999997</v>
      </c>
      <c r="BU100" s="58">
        <v>114.202</v>
      </c>
      <c r="BV100" s="58">
        <v>1347.173</v>
      </c>
      <c r="BW100" s="58">
        <v>690.15899999999999</v>
      </c>
      <c r="BX100" s="58">
        <v>657.01400000000001</v>
      </c>
      <c r="BY100" s="58">
        <v>493.77300000000002</v>
      </c>
      <c r="BZ100" s="58">
        <v>338.68099999999998</v>
      </c>
      <c r="CA100" s="58">
        <v>155.09200000000001</v>
      </c>
      <c r="CB100" s="58">
        <v>853.399</v>
      </c>
      <c r="CC100" s="58">
        <v>351.47800000000001</v>
      </c>
      <c r="CD100" s="58">
        <v>501.92099999999999</v>
      </c>
      <c r="CE100" s="58">
        <v>603.51300000000003</v>
      </c>
      <c r="CF100" s="58">
        <v>415.05500000000001</v>
      </c>
      <c r="CG100" s="58">
        <v>188.458</v>
      </c>
      <c r="CH100" s="58">
        <v>946.93899999999996</v>
      </c>
      <c r="CI100" s="58">
        <v>384.34300000000002</v>
      </c>
      <c r="CJ100" s="58">
        <v>562.59699999999998</v>
      </c>
      <c r="CK100" s="58">
        <v>936.06</v>
      </c>
      <c r="CL100" s="58">
        <v>407.50900000000001</v>
      </c>
      <c r="CM100" s="58">
        <v>528.54999999999995</v>
      </c>
      <c r="CN100" s="58">
        <v>2016.354</v>
      </c>
      <c r="CO100" s="58">
        <v>1014.638</v>
      </c>
      <c r="CP100" s="58">
        <v>1001.716</v>
      </c>
      <c r="CQ100" s="58">
        <v>920.40800000000002</v>
      </c>
      <c r="CR100" s="58">
        <v>535.47299999999996</v>
      </c>
      <c r="CS100" s="58">
        <v>384.935</v>
      </c>
      <c r="CT100" s="58">
        <v>1095.9459999999999</v>
      </c>
      <c r="CU100" s="58">
        <v>479.16500000000002</v>
      </c>
      <c r="CV100" s="58">
        <v>616.78</v>
      </c>
      <c r="CW100" s="58">
        <v>478.96499999999997</v>
      </c>
      <c r="CX100" s="58">
        <v>234.40299999999999</v>
      </c>
      <c r="CY100" s="58">
        <v>244.56200000000001</v>
      </c>
      <c r="CZ100" s="58">
        <v>69.537000000000006</v>
      </c>
      <c r="DA100" s="58">
        <v>33.167000000000002</v>
      </c>
      <c r="DB100" s="58">
        <v>36.369</v>
      </c>
      <c r="DC100" s="58">
        <v>10.395</v>
      </c>
      <c r="DD100" s="58">
        <v>6.2889999999999997</v>
      </c>
      <c r="DE100" s="58">
        <v>4.1059999999999999</v>
      </c>
      <c r="DF100" s="58">
        <v>7.4820000000000002</v>
      </c>
      <c r="DG100" s="58">
        <v>4.5359999999999996</v>
      </c>
      <c r="DH100" s="58">
        <v>2.9460000000000002</v>
      </c>
      <c r="DI100" s="58">
        <v>2.9129999999999998</v>
      </c>
      <c r="DJ100" s="58">
        <v>1.7529999999999999</v>
      </c>
      <c r="DK100" s="58">
        <v>1.1599999999999999</v>
      </c>
      <c r="DL100" s="58">
        <v>59.140999999999998</v>
      </c>
      <c r="DM100" s="58">
        <v>26.878</v>
      </c>
      <c r="DN100" s="58">
        <v>32.262999999999998</v>
      </c>
      <c r="DO100" s="58">
        <v>445.86099999999999</v>
      </c>
      <c r="DP100" s="58">
        <v>217.45</v>
      </c>
      <c r="DQ100" s="58">
        <v>228.41</v>
      </c>
      <c r="DR100" s="58">
        <v>86.953999999999994</v>
      </c>
      <c r="DS100" s="58">
        <v>50.991</v>
      </c>
      <c r="DT100" s="58">
        <v>35.963000000000001</v>
      </c>
      <c r="DU100" s="58">
        <v>358.90699999999998</v>
      </c>
      <c r="DV100" s="58">
        <v>166.459</v>
      </c>
      <c r="DW100" s="58">
        <v>192.447</v>
      </c>
      <c r="DX100" s="58">
        <v>94.734999999999999</v>
      </c>
      <c r="DY100" s="58">
        <v>56.767000000000003</v>
      </c>
      <c r="DZ100" s="58">
        <v>37.966999999999999</v>
      </c>
      <c r="EA100" s="58">
        <v>384.23</v>
      </c>
      <c r="EB100" s="58">
        <v>177.63499999999999</v>
      </c>
      <c r="EC100" s="58">
        <v>206.595</v>
      </c>
      <c r="ED100" s="58">
        <v>366.38900000000001</v>
      </c>
      <c r="EE100" s="58">
        <v>170.995</v>
      </c>
      <c r="EF100" s="58">
        <v>195.393</v>
      </c>
      <c r="EG100" s="58">
        <v>777.13699999999994</v>
      </c>
      <c r="EH100" s="58">
        <v>376.59500000000003</v>
      </c>
      <c r="EI100" s="58">
        <v>400.54199999999997</v>
      </c>
      <c r="EJ100" s="58">
        <v>188.702</v>
      </c>
      <c r="EK100" s="58">
        <v>116.994</v>
      </c>
      <c r="EL100" s="58">
        <v>71.706999999999994</v>
      </c>
      <c r="EM100" s="58">
        <v>588.43499999999995</v>
      </c>
      <c r="EN100" s="58">
        <v>259.601</v>
      </c>
      <c r="EO100" s="58">
        <v>328.83499999999998</v>
      </c>
      <c r="EP100" s="58">
        <v>239.96199999999999</v>
      </c>
      <c r="EQ100" s="58">
        <v>114.22499999999999</v>
      </c>
      <c r="ER100" s="58">
        <v>125.73699999999999</v>
      </c>
      <c r="ES100" s="58">
        <v>31.434000000000001</v>
      </c>
      <c r="ET100" s="58">
        <v>13.593</v>
      </c>
      <c r="EU100" s="58">
        <v>17.84</v>
      </c>
      <c r="EV100" s="58">
        <v>3.19</v>
      </c>
      <c r="EW100" s="58">
        <v>1.923</v>
      </c>
      <c r="EX100" s="58">
        <v>1.268</v>
      </c>
      <c r="EY100" s="58">
        <v>3.1309999999999998</v>
      </c>
      <c r="EZ100" s="58">
        <v>1.923</v>
      </c>
      <c r="FA100" s="58">
        <v>1.208</v>
      </c>
      <c r="FB100" s="58">
        <v>0.06</v>
      </c>
      <c r="FC100" s="58">
        <v>0</v>
      </c>
      <c r="FD100" s="58">
        <v>0.06</v>
      </c>
      <c r="FE100" s="58">
        <v>28.242999999999999</v>
      </c>
      <c r="FF100" s="58">
        <v>11.670999999999999</v>
      </c>
      <c r="FG100" s="58">
        <v>16.573</v>
      </c>
      <c r="FH100" s="58">
        <v>225.971</v>
      </c>
      <c r="FI100" s="58">
        <v>108.221</v>
      </c>
      <c r="FJ100" s="58">
        <v>117.75</v>
      </c>
      <c r="FK100" s="58">
        <v>22.829000000000001</v>
      </c>
      <c r="FL100" s="58">
        <v>12.162000000000001</v>
      </c>
      <c r="FM100" s="58">
        <v>10.667</v>
      </c>
      <c r="FN100" s="58">
        <v>203.142</v>
      </c>
      <c r="FO100" s="58">
        <v>96.058999999999997</v>
      </c>
      <c r="FP100" s="58">
        <v>107.083</v>
      </c>
      <c r="FQ100" s="58">
        <v>25.437000000000001</v>
      </c>
      <c r="FR100" s="58">
        <v>14.085000000000001</v>
      </c>
      <c r="FS100" s="58">
        <v>11.352</v>
      </c>
      <c r="FT100" s="58">
        <v>214.52500000000001</v>
      </c>
      <c r="FU100" s="58">
        <v>100.14</v>
      </c>
      <c r="FV100" s="58">
        <v>114.38500000000001</v>
      </c>
      <c r="FW100" s="58">
        <v>206.273</v>
      </c>
      <c r="FX100" s="58">
        <v>97.980999999999995</v>
      </c>
      <c r="FY100" s="58">
        <v>108.292</v>
      </c>
      <c r="FZ100" s="58">
        <v>1239.2170000000001</v>
      </c>
      <c r="GA100" s="58">
        <v>638.04399999999998</v>
      </c>
      <c r="GB100" s="58">
        <v>601.17399999999998</v>
      </c>
      <c r="GC100" s="58">
        <v>731.70699999999999</v>
      </c>
      <c r="GD100" s="58">
        <v>418.47899999999998</v>
      </c>
      <c r="GE100" s="58">
        <v>313.22800000000001</v>
      </c>
      <c r="GF100" s="58">
        <v>507.51</v>
      </c>
      <c r="GG100" s="58">
        <v>219.565</v>
      </c>
      <c r="GH100" s="58">
        <v>287.94600000000003</v>
      </c>
      <c r="GI100" s="58">
        <v>239.00299999999999</v>
      </c>
      <c r="GJ100" s="58">
        <v>120.178</v>
      </c>
      <c r="GK100" s="58">
        <v>118.825</v>
      </c>
      <c r="GL100" s="58">
        <v>38.103000000000002</v>
      </c>
      <c r="GM100" s="58">
        <v>19.574000000000002</v>
      </c>
      <c r="GN100" s="58">
        <v>18.529</v>
      </c>
      <c r="GO100" s="58">
        <v>7.2050000000000001</v>
      </c>
      <c r="GP100" s="58">
        <v>4.3659999999999997</v>
      </c>
      <c r="GQ100" s="58">
        <v>2.8380000000000001</v>
      </c>
      <c r="GR100" s="58">
        <v>4.351</v>
      </c>
      <c r="GS100" s="58">
        <v>2.613</v>
      </c>
      <c r="GT100" s="58">
        <v>1.738</v>
      </c>
      <c r="GU100" s="58">
        <v>2.8540000000000001</v>
      </c>
      <c r="GV100" s="58">
        <v>1.7529999999999999</v>
      </c>
      <c r="GW100" s="58">
        <v>1.101</v>
      </c>
      <c r="GX100" s="58">
        <v>30.898</v>
      </c>
      <c r="GY100" s="58">
        <v>15.207000000000001</v>
      </c>
      <c r="GZ100" s="58">
        <v>15.691000000000001</v>
      </c>
      <c r="HA100" s="58">
        <v>219.89</v>
      </c>
      <c r="HB100" s="58">
        <v>109.23</v>
      </c>
      <c r="HC100" s="58">
        <v>110.66</v>
      </c>
      <c r="HD100" s="58">
        <v>64.125</v>
      </c>
      <c r="HE100" s="58">
        <v>38.829000000000001</v>
      </c>
      <c r="HF100" s="58">
        <v>25.295999999999999</v>
      </c>
      <c r="HG100" s="58">
        <v>155.76499999999999</v>
      </c>
      <c r="HH100" s="58">
        <v>70.400999999999996</v>
      </c>
      <c r="HI100" s="58">
        <v>85.364000000000004</v>
      </c>
      <c r="HJ100" s="58">
        <v>69.298000000000002</v>
      </c>
      <c r="HK100" s="58">
        <v>42.683</v>
      </c>
      <c r="HL100" s="58">
        <v>26.614999999999998</v>
      </c>
      <c r="HM100" s="58">
        <v>169.70500000000001</v>
      </c>
      <c r="HN100" s="58">
        <v>77.495000000000005</v>
      </c>
      <c r="HO100" s="58">
        <v>92.21</v>
      </c>
      <c r="HP100" s="58">
        <v>160.11600000000001</v>
      </c>
      <c r="HQ100" s="58">
        <v>73.013999999999996</v>
      </c>
      <c r="HR100" s="58">
        <v>87.102000000000004</v>
      </c>
      <c r="HS100" s="58">
        <v>3051.0450000000001</v>
      </c>
      <c r="HT100" s="58">
        <v>1602.76</v>
      </c>
      <c r="HU100" s="58">
        <v>1448.2850000000001</v>
      </c>
      <c r="HV100" s="58">
        <v>2358.817</v>
      </c>
      <c r="HW100" s="58">
        <v>1388.7840000000001</v>
      </c>
      <c r="HX100" s="58">
        <v>970.03300000000002</v>
      </c>
      <c r="HY100" s="58">
        <v>692.22799999999995</v>
      </c>
      <c r="HZ100" s="58">
        <v>213.976</v>
      </c>
      <c r="IA100" s="58">
        <v>478.25200000000001</v>
      </c>
      <c r="IB100" s="58">
        <v>348.59300000000002</v>
      </c>
      <c r="IC100" s="58">
        <v>198.583</v>
      </c>
      <c r="ID100" s="58">
        <v>150.011</v>
      </c>
      <c r="IE100" s="58">
        <v>71.173000000000002</v>
      </c>
      <c r="IF100" s="58">
        <v>39.021999999999998</v>
      </c>
      <c r="IG100" s="58">
        <v>32.151000000000003</v>
      </c>
      <c r="IH100" s="58">
        <v>41.29</v>
      </c>
      <c r="II100" s="58">
        <v>26.864000000000001</v>
      </c>
      <c r="IJ100" s="58">
        <v>14.426</v>
      </c>
      <c r="IK100" s="58">
        <v>23.753</v>
      </c>
      <c r="IL100" s="58">
        <v>15.394</v>
      </c>
      <c r="IM100" s="58">
        <v>8.359</v>
      </c>
      <c r="IN100" s="58">
        <v>17.536999999999999</v>
      </c>
      <c r="IO100" s="58">
        <v>11.468999999999999</v>
      </c>
      <c r="IP100" s="58">
        <v>6.0670000000000002</v>
      </c>
      <c r="IQ100" s="58">
        <v>29.882999999999999</v>
      </c>
    </row>
    <row r="101" spans="1:251">
      <c r="A101" s="5">
        <v>44562</v>
      </c>
      <c r="B101" s="58">
        <v>13116.853999999999</v>
      </c>
      <c r="C101" s="58">
        <v>6858.482</v>
      </c>
      <c r="D101" s="58">
        <v>6258.3720000000003</v>
      </c>
      <c r="E101" s="58">
        <v>9073.643</v>
      </c>
      <c r="F101" s="58">
        <v>5587.259</v>
      </c>
      <c r="G101" s="58">
        <v>3486.384</v>
      </c>
      <c r="H101" s="58">
        <v>4043.2109999999998</v>
      </c>
      <c r="I101" s="58">
        <v>1271.2239999999999</v>
      </c>
      <c r="J101" s="58">
        <v>2771.9879999999998</v>
      </c>
      <c r="K101" s="58">
        <v>1597.4069999999999</v>
      </c>
      <c r="L101" s="58">
        <v>824.29300000000001</v>
      </c>
      <c r="M101" s="58">
        <v>773.11400000000003</v>
      </c>
      <c r="N101" s="58">
        <v>398.56200000000001</v>
      </c>
      <c r="O101" s="58">
        <v>217.416</v>
      </c>
      <c r="P101" s="58">
        <v>181.14500000000001</v>
      </c>
      <c r="Q101" s="58">
        <v>163.316</v>
      </c>
      <c r="R101" s="58">
        <v>120.29900000000001</v>
      </c>
      <c r="S101" s="58">
        <v>43.017000000000003</v>
      </c>
      <c r="T101" s="58">
        <v>110.28</v>
      </c>
      <c r="U101" s="58">
        <v>79.566000000000003</v>
      </c>
      <c r="V101" s="58">
        <v>30.715</v>
      </c>
      <c r="W101" s="58">
        <v>53.036000000000001</v>
      </c>
      <c r="X101" s="58">
        <v>40.732999999999997</v>
      </c>
      <c r="Y101" s="58">
        <v>12.303000000000001</v>
      </c>
      <c r="Z101" s="58">
        <v>235.245</v>
      </c>
      <c r="AA101" s="58">
        <v>97.117000000000004</v>
      </c>
      <c r="AB101" s="58">
        <v>138.12799999999999</v>
      </c>
      <c r="AC101" s="58">
        <v>1335.5820000000001</v>
      </c>
      <c r="AD101" s="58">
        <v>678.71900000000005</v>
      </c>
      <c r="AE101" s="58">
        <v>656.86300000000006</v>
      </c>
      <c r="AF101" s="58">
        <v>499.00599999999997</v>
      </c>
      <c r="AG101" s="58">
        <v>347.28100000000001</v>
      </c>
      <c r="AH101" s="58">
        <v>151.72499999999999</v>
      </c>
      <c r="AI101" s="58">
        <v>836.577</v>
      </c>
      <c r="AJ101" s="58">
        <v>331.43799999999999</v>
      </c>
      <c r="AK101" s="58">
        <v>505.13900000000001</v>
      </c>
      <c r="AL101" s="58">
        <v>634.87300000000005</v>
      </c>
      <c r="AM101" s="58">
        <v>446.63400000000001</v>
      </c>
      <c r="AN101" s="58">
        <v>188.238</v>
      </c>
      <c r="AO101" s="58">
        <v>962.53399999999999</v>
      </c>
      <c r="AP101" s="58">
        <v>377.65899999999999</v>
      </c>
      <c r="AQ101" s="58">
        <v>584.87599999999998</v>
      </c>
      <c r="AR101" s="58">
        <v>946.85699999999997</v>
      </c>
      <c r="AS101" s="58">
        <v>411.00400000000002</v>
      </c>
      <c r="AT101" s="58">
        <v>535.85299999999995</v>
      </c>
      <c r="AU101" s="58">
        <v>12505.716</v>
      </c>
      <c r="AV101" s="58">
        <v>6487.2759999999998</v>
      </c>
      <c r="AW101" s="58">
        <v>6018.44</v>
      </c>
      <c r="AX101" s="58">
        <v>8798.8709999999992</v>
      </c>
      <c r="AY101" s="58">
        <v>5391.1189999999997</v>
      </c>
      <c r="AZ101" s="58">
        <v>3407.752</v>
      </c>
      <c r="BA101" s="58">
        <v>3706.8449999999998</v>
      </c>
      <c r="BB101" s="58">
        <v>1096.1559999999999</v>
      </c>
      <c r="BC101" s="58">
        <v>2610.6889999999999</v>
      </c>
      <c r="BD101" s="58">
        <v>1540.8689999999999</v>
      </c>
      <c r="BE101" s="58">
        <v>791.10299999999995</v>
      </c>
      <c r="BF101" s="58">
        <v>749.76599999999996</v>
      </c>
      <c r="BG101" s="58">
        <v>368.76299999999998</v>
      </c>
      <c r="BH101" s="58">
        <v>199.44499999999999</v>
      </c>
      <c r="BI101" s="58">
        <v>169.31800000000001</v>
      </c>
      <c r="BJ101" s="58">
        <v>155.66499999999999</v>
      </c>
      <c r="BK101" s="58">
        <v>113.312</v>
      </c>
      <c r="BL101" s="58">
        <v>42.353000000000002</v>
      </c>
      <c r="BM101" s="58">
        <v>102.999</v>
      </c>
      <c r="BN101" s="58">
        <v>72.578000000000003</v>
      </c>
      <c r="BO101" s="58">
        <v>30.42</v>
      </c>
      <c r="BP101" s="58">
        <v>52.665999999999997</v>
      </c>
      <c r="BQ101" s="58">
        <v>40.732999999999997</v>
      </c>
      <c r="BR101" s="58">
        <v>11.933</v>
      </c>
      <c r="BS101" s="58">
        <v>213.09800000000001</v>
      </c>
      <c r="BT101" s="58">
        <v>86.132999999999996</v>
      </c>
      <c r="BU101" s="58">
        <v>126.965</v>
      </c>
      <c r="BV101" s="58">
        <v>1305.5239999999999</v>
      </c>
      <c r="BW101" s="58">
        <v>661.32299999999998</v>
      </c>
      <c r="BX101" s="58">
        <v>644.20100000000002</v>
      </c>
      <c r="BY101" s="58">
        <v>493.83300000000003</v>
      </c>
      <c r="BZ101" s="58">
        <v>343.59199999999998</v>
      </c>
      <c r="CA101" s="58">
        <v>150.24199999999999</v>
      </c>
      <c r="CB101" s="58">
        <v>811.69100000000003</v>
      </c>
      <c r="CC101" s="58">
        <v>317.73099999999999</v>
      </c>
      <c r="CD101" s="58">
        <v>493.959</v>
      </c>
      <c r="CE101" s="58">
        <v>622.09500000000003</v>
      </c>
      <c r="CF101" s="58">
        <v>436.00400000000002</v>
      </c>
      <c r="CG101" s="58">
        <v>186.09100000000001</v>
      </c>
      <c r="CH101" s="58">
        <v>918.774</v>
      </c>
      <c r="CI101" s="58">
        <v>355.09899999999999</v>
      </c>
      <c r="CJ101" s="58">
        <v>563.67499999999995</v>
      </c>
      <c r="CK101" s="58">
        <v>914.68899999999996</v>
      </c>
      <c r="CL101" s="58">
        <v>390.31</v>
      </c>
      <c r="CM101" s="58">
        <v>524.38</v>
      </c>
      <c r="CN101" s="58">
        <v>1955.1769999999999</v>
      </c>
      <c r="CO101" s="58">
        <v>964.05600000000004</v>
      </c>
      <c r="CP101" s="58">
        <v>991.12099999999998</v>
      </c>
      <c r="CQ101" s="58">
        <v>900.69899999999996</v>
      </c>
      <c r="CR101" s="58">
        <v>523.66099999999994</v>
      </c>
      <c r="CS101" s="58">
        <v>377.03800000000001</v>
      </c>
      <c r="CT101" s="58">
        <v>1054.4780000000001</v>
      </c>
      <c r="CU101" s="58">
        <v>440.39499999999998</v>
      </c>
      <c r="CV101" s="58">
        <v>614.08299999999997</v>
      </c>
      <c r="CW101" s="58">
        <v>464.00799999999998</v>
      </c>
      <c r="CX101" s="58">
        <v>219.773</v>
      </c>
      <c r="CY101" s="58">
        <v>244.23500000000001</v>
      </c>
      <c r="CZ101" s="58">
        <v>90.188000000000002</v>
      </c>
      <c r="DA101" s="58">
        <v>44.015000000000001</v>
      </c>
      <c r="DB101" s="58">
        <v>46.173999999999999</v>
      </c>
      <c r="DC101" s="58">
        <v>21.672000000000001</v>
      </c>
      <c r="DD101" s="58">
        <v>14.183</v>
      </c>
      <c r="DE101" s="58">
        <v>7.4889999999999999</v>
      </c>
      <c r="DF101" s="58">
        <v>18.074000000000002</v>
      </c>
      <c r="DG101" s="58">
        <v>11.234999999999999</v>
      </c>
      <c r="DH101" s="58">
        <v>6.8390000000000004</v>
      </c>
      <c r="DI101" s="58">
        <v>3.597</v>
      </c>
      <c r="DJ101" s="58">
        <v>2.948</v>
      </c>
      <c r="DK101" s="58">
        <v>0.64900000000000002</v>
      </c>
      <c r="DL101" s="58">
        <v>68.516999999999996</v>
      </c>
      <c r="DM101" s="58">
        <v>29.832000000000001</v>
      </c>
      <c r="DN101" s="58">
        <v>38.685000000000002</v>
      </c>
      <c r="DO101" s="58">
        <v>418.78300000000002</v>
      </c>
      <c r="DP101" s="58">
        <v>195.648</v>
      </c>
      <c r="DQ101" s="58">
        <v>223.13499999999999</v>
      </c>
      <c r="DR101" s="58">
        <v>85.037999999999997</v>
      </c>
      <c r="DS101" s="58">
        <v>53.398000000000003</v>
      </c>
      <c r="DT101" s="58">
        <v>31.64</v>
      </c>
      <c r="DU101" s="58">
        <v>333.74599999999998</v>
      </c>
      <c r="DV101" s="58">
        <v>142.25</v>
      </c>
      <c r="DW101" s="58">
        <v>191.495</v>
      </c>
      <c r="DX101" s="58">
        <v>101.81699999999999</v>
      </c>
      <c r="DY101" s="58">
        <v>65.563999999999993</v>
      </c>
      <c r="DZ101" s="58">
        <v>36.253999999999998</v>
      </c>
      <c r="EA101" s="58">
        <v>362.19099999999997</v>
      </c>
      <c r="EB101" s="58">
        <v>154.209</v>
      </c>
      <c r="EC101" s="58">
        <v>207.982</v>
      </c>
      <c r="ED101" s="58">
        <v>351.82</v>
      </c>
      <c r="EE101" s="58">
        <v>153.48500000000001</v>
      </c>
      <c r="EF101" s="58">
        <v>198.33500000000001</v>
      </c>
      <c r="EG101" s="58">
        <v>759.10199999999998</v>
      </c>
      <c r="EH101" s="58">
        <v>354.887</v>
      </c>
      <c r="EI101" s="58">
        <v>404.21499999999997</v>
      </c>
      <c r="EJ101" s="58">
        <v>177.31100000000001</v>
      </c>
      <c r="EK101" s="58">
        <v>112.31100000000001</v>
      </c>
      <c r="EL101" s="58">
        <v>65</v>
      </c>
      <c r="EM101" s="58">
        <v>581.79100000000005</v>
      </c>
      <c r="EN101" s="58">
        <v>242.57599999999999</v>
      </c>
      <c r="EO101" s="58">
        <v>339.21499999999997</v>
      </c>
      <c r="EP101" s="58">
        <v>228.52</v>
      </c>
      <c r="EQ101" s="58">
        <v>99.888000000000005</v>
      </c>
      <c r="ER101" s="58">
        <v>128.63300000000001</v>
      </c>
      <c r="ES101" s="58">
        <v>41.985999999999997</v>
      </c>
      <c r="ET101" s="58">
        <v>19.184000000000001</v>
      </c>
      <c r="EU101" s="58">
        <v>22.802</v>
      </c>
      <c r="EV101" s="58">
        <v>4.4610000000000003</v>
      </c>
      <c r="EW101" s="58">
        <v>3.2050000000000001</v>
      </c>
      <c r="EX101" s="58">
        <v>1.256</v>
      </c>
      <c r="EY101" s="58">
        <v>3.4929999999999999</v>
      </c>
      <c r="EZ101" s="58">
        <v>2.887</v>
      </c>
      <c r="FA101" s="58">
        <v>0.60599999999999998</v>
      </c>
      <c r="FB101" s="58">
        <v>0.96699999999999997</v>
      </c>
      <c r="FC101" s="58">
        <v>0.318</v>
      </c>
      <c r="FD101" s="58">
        <v>0.64900000000000002</v>
      </c>
      <c r="FE101" s="58">
        <v>37.526000000000003</v>
      </c>
      <c r="FF101" s="58">
        <v>15.978999999999999</v>
      </c>
      <c r="FG101" s="58">
        <v>21.545999999999999</v>
      </c>
      <c r="FH101" s="58">
        <v>206.96100000000001</v>
      </c>
      <c r="FI101" s="58">
        <v>89.65</v>
      </c>
      <c r="FJ101" s="58">
        <v>117.31100000000001</v>
      </c>
      <c r="FK101" s="58">
        <v>17.161000000000001</v>
      </c>
      <c r="FL101" s="58">
        <v>12.179</v>
      </c>
      <c r="FM101" s="58">
        <v>4.9820000000000002</v>
      </c>
      <c r="FN101" s="58">
        <v>189.79900000000001</v>
      </c>
      <c r="FO101" s="58">
        <v>77.471000000000004</v>
      </c>
      <c r="FP101" s="58">
        <v>112.32899999999999</v>
      </c>
      <c r="FQ101" s="58">
        <v>20.972999999999999</v>
      </c>
      <c r="FR101" s="58">
        <v>15.384</v>
      </c>
      <c r="FS101" s="58">
        <v>5.5890000000000004</v>
      </c>
      <c r="FT101" s="58">
        <v>207.548</v>
      </c>
      <c r="FU101" s="58">
        <v>84.504000000000005</v>
      </c>
      <c r="FV101" s="58">
        <v>123.044</v>
      </c>
      <c r="FW101" s="58">
        <v>193.29300000000001</v>
      </c>
      <c r="FX101" s="58">
        <v>80.356999999999999</v>
      </c>
      <c r="FY101" s="58">
        <v>112.935</v>
      </c>
      <c r="FZ101" s="58">
        <v>1196.075</v>
      </c>
      <c r="GA101" s="58">
        <v>609.16899999999998</v>
      </c>
      <c r="GB101" s="58">
        <v>586.90599999999995</v>
      </c>
      <c r="GC101" s="58">
        <v>723.38800000000003</v>
      </c>
      <c r="GD101" s="58">
        <v>411.35</v>
      </c>
      <c r="GE101" s="58">
        <v>312.03800000000001</v>
      </c>
      <c r="GF101" s="58">
        <v>472.68700000000001</v>
      </c>
      <c r="GG101" s="58">
        <v>197.81899999999999</v>
      </c>
      <c r="GH101" s="58">
        <v>274.86900000000003</v>
      </c>
      <c r="GI101" s="58">
        <v>235.488</v>
      </c>
      <c r="GJ101" s="58">
        <v>119.88500000000001</v>
      </c>
      <c r="GK101" s="58">
        <v>115.60299999999999</v>
      </c>
      <c r="GL101" s="58">
        <v>48.201999999999998</v>
      </c>
      <c r="GM101" s="58">
        <v>24.831</v>
      </c>
      <c r="GN101" s="58">
        <v>23.372</v>
      </c>
      <c r="GO101" s="58">
        <v>17.210999999999999</v>
      </c>
      <c r="GP101" s="58">
        <v>10.978</v>
      </c>
      <c r="GQ101" s="58">
        <v>6.2329999999999997</v>
      </c>
      <c r="GR101" s="58">
        <v>14.581</v>
      </c>
      <c r="GS101" s="58">
        <v>8.3480000000000008</v>
      </c>
      <c r="GT101" s="58">
        <v>6.2329999999999997</v>
      </c>
      <c r="GU101" s="58">
        <v>2.63</v>
      </c>
      <c r="GV101" s="58">
        <v>2.63</v>
      </c>
      <c r="GW101" s="58">
        <v>0</v>
      </c>
      <c r="GX101" s="58">
        <v>30.991</v>
      </c>
      <c r="GY101" s="58">
        <v>13.852</v>
      </c>
      <c r="GZ101" s="58">
        <v>17.138999999999999</v>
      </c>
      <c r="HA101" s="58">
        <v>211.82300000000001</v>
      </c>
      <c r="HB101" s="58">
        <v>105.998</v>
      </c>
      <c r="HC101" s="58">
        <v>105.824</v>
      </c>
      <c r="HD101" s="58">
        <v>67.876000000000005</v>
      </c>
      <c r="HE101" s="58">
        <v>41.219000000000001</v>
      </c>
      <c r="HF101" s="58">
        <v>26.657</v>
      </c>
      <c r="HG101" s="58">
        <v>143.946</v>
      </c>
      <c r="HH101" s="58">
        <v>64.78</v>
      </c>
      <c r="HI101" s="58">
        <v>79.167000000000002</v>
      </c>
      <c r="HJ101" s="58">
        <v>80.843999999999994</v>
      </c>
      <c r="HK101" s="58">
        <v>50.18</v>
      </c>
      <c r="HL101" s="58">
        <v>30.664999999999999</v>
      </c>
      <c r="HM101" s="58">
        <v>154.643</v>
      </c>
      <c r="HN101" s="58">
        <v>69.706000000000003</v>
      </c>
      <c r="HO101" s="58">
        <v>84.938000000000002</v>
      </c>
      <c r="HP101" s="58">
        <v>158.52699999999999</v>
      </c>
      <c r="HQ101" s="58">
        <v>73.128</v>
      </c>
      <c r="HR101" s="58">
        <v>85.399000000000001</v>
      </c>
      <c r="HS101" s="58">
        <v>3005.4059999999999</v>
      </c>
      <c r="HT101" s="58">
        <v>1571.35</v>
      </c>
      <c r="HU101" s="58">
        <v>1434.0550000000001</v>
      </c>
      <c r="HV101" s="58">
        <v>2308.9389999999999</v>
      </c>
      <c r="HW101" s="58">
        <v>1357.508</v>
      </c>
      <c r="HX101" s="58">
        <v>951.43100000000004</v>
      </c>
      <c r="HY101" s="58">
        <v>696.46600000000001</v>
      </c>
      <c r="HZ101" s="58">
        <v>213.84200000000001</v>
      </c>
      <c r="IA101" s="58">
        <v>482.62400000000002</v>
      </c>
      <c r="IB101" s="58">
        <v>355.78300000000002</v>
      </c>
      <c r="IC101" s="58">
        <v>201.595</v>
      </c>
      <c r="ID101" s="58">
        <v>154.18700000000001</v>
      </c>
      <c r="IE101" s="58">
        <v>81.992000000000004</v>
      </c>
      <c r="IF101" s="58">
        <v>46.006</v>
      </c>
      <c r="IG101" s="58">
        <v>35.985999999999997</v>
      </c>
      <c r="IH101" s="58">
        <v>39.790999999999997</v>
      </c>
      <c r="II101" s="58">
        <v>28.963000000000001</v>
      </c>
      <c r="IJ101" s="58">
        <v>10.827999999999999</v>
      </c>
      <c r="IK101" s="58">
        <v>27.661999999999999</v>
      </c>
      <c r="IL101" s="58">
        <v>20.536000000000001</v>
      </c>
      <c r="IM101" s="58">
        <v>7.1260000000000003</v>
      </c>
      <c r="IN101" s="58">
        <v>12.128</v>
      </c>
      <c r="IO101" s="58">
        <v>8.4269999999999996</v>
      </c>
      <c r="IP101" s="58">
        <v>3.702</v>
      </c>
      <c r="IQ101" s="58">
        <v>42.201000000000001</v>
      </c>
    </row>
    <row r="102" spans="1:251">
      <c r="A102" s="5">
        <v>44593</v>
      </c>
      <c r="B102" s="58">
        <v>13437.653</v>
      </c>
      <c r="C102" s="58">
        <v>7011.6419999999998</v>
      </c>
      <c r="D102" s="58">
        <v>6426.01</v>
      </c>
      <c r="E102" s="58">
        <v>9343.2520000000004</v>
      </c>
      <c r="F102" s="58">
        <v>5735.4679999999998</v>
      </c>
      <c r="G102" s="58">
        <v>3607.7840000000001</v>
      </c>
      <c r="H102" s="58">
        <v>4094.4009999999998</v>
      </c>
      <c r="I102" s="58">
        <v>1276.174</v>
      </c>
      <c r="J102" s="58">
        <v>2818.2269999999999</v>
      </c>
      <c r="K102" s="58">
        <v>1570.816</v>
      </c>
      <c r="L102" s="58">
        <v>824.32799999999997</v>
      </c>
      <c r="M102" s="58">
        <v>746.48800000000006</v>
      </c>
      <c r="N102" s="58">
        <v>418.20400000000001</v>
      </c>
      <c r="O102" s="58">
        <v>232.63800000000001</v>
      </c>
      <c r="P102" s="58">
        <v>185.566</v>
      </c>
      <c r="Q102" s="58">
        <v>168.17500000000001</v>
      </c>
      <c r="R102" s="58">
        <v>124.782</v>
      </c>
      <c r="S102" s="58">
        <v>43.393000000000001</v>
      </c>
      <c r="T102" s="58">
        <v>98.323999999999998</v>
      </c>
      <c r="U102" s="58">
        <v>68.805999999999997</v>
      </c>
      <c r="V102" s="58">
        <v>29.518000000000001</v>
      </c>
      <c r="W102" s="58">
        <v>69.850999999999999</v>
      </c>
      <c r="X102" s="58">
        <v>55.975999999999999</v>
      </c>
      <c r="Y102" s="58">
        <v>13.874000000000001</v>
      </c>
      <c r="Z102" s="58">
        <v>250.029</v>
      </c>
      <c r="AA102" s="58">
        <v>107.85599999999999</v>
      </c>
      <c r="AB102" s="58">
        <v>142.17400000000001</v>
      </c>
      <c r="AC102" s="58">
        <v>1314.856</v>
      </c>
      <c r="AD102" s="58">
        <v>678.1</v>
      </c>
      <c r="AE102" s="58">
        <v>636.75599999999997</v>
      </c>
      <c r="AF102" s="58">
        <v>511.22500000000002</v>
      </c>
      <c r="AG102" s="58">
        <v>358.13900000000001</v>
      </c>
      <c r="AH102" s="58">
        <v>153.08600000000001</v>
      </c>
      <c r="AI102" s="58">
        <v>803.63199999999995</v>
      </c>
      <c r="AJ102" s="58">
        <v>319.96199999999999</v>
      </c>
      <c r="AK102" s="58">
        <v>483.67</v>
      </c>
      <c r="AL102" s="58">
        <v>639.29399999999998</v>
      </c>
      <c r="AM102" s="58">
        <v>453.61</v>
      </c>
      <c r="AN102" s="58">
        <v>185.684</v>
      </c>
      <c r="AO102" s="58">
        <v>931.52200000000005</v>
      </c>
      <c r="AP102" s="58">
        <v>370.71800000000002</v>
      </c>
      <c r="AQ102" s="58">
        <v>560.80399999999997</v>
      </c>
      <c r="AR102" s="58">
        <v>901.95600000000002</v>
      </c>
      <c r="AS102" s="58">
        <v>388.76799999999997</v>
      </c>
      <c r="AT102" s="58">
        <v>513.18799999999999</v>
      </c>
      <c r="AU102" s="58">
        <v>12789.177</v>
      </c>
      <c r="AV102" s="58">
        <v>6620.8540000000003</v>
      </c>
      <c r="AW102" s="58">
        <v>6168.3230000000003</v>
      </c>
      <c r="AX102" s="58">
        <v>9055.5930000000008</v>
      </c>
      <c r="AY102" s="58">
        <v>5532.3180000000002</v>
      </c>
      <c r="AZ102" s="58">
        <v>3523.2750000000001</v>
      </c>
      <c r="BA102" s="58">
        <v>3733.5839999999998</v>
      </c>
      <c r="BB102" s="58">
        <v>1088.5360000000001</v>
      </c>
      <c r="BC102" s="58">
        <v>2645.0479999999998</v>
      </c>
      <c r="BD102" s="58">
        <v>1520.2660000000001</v>
      </c>
      <c r="BE102" s="58">
        <v>794.41300000000001</v>
      </c>
      <c r="BF102" s="58">
        <v>725.85299999999995</v>
      </c>
      <c r="BG102" s="58">
        <v>385.90800000000002</v>
      </c>
      <c r="BH102" s="58">
        <v>215.995</v>
      </c>
      <c r="BI102" s="58">
        <v>169.91300000000001</v>
      </c>
      <c r="BJ102" s="58">
        <v>161.458</v>
      </c>
      <c r="BK102" s="58">
        <v>119.97199999999999</v>
      </c>
      <c r="BL102" s="58">
        <v>41.487000000000002</v>
      </c>
      <c r="BM102" s="58">
        <v>91.787999999999997</v>
      </c>
      <c r="BN102" s="58">
        <v>64.069000000000003</v>
      </c>
      <c r="BO102" s="58">
        <v>27.72</v>
      </c>
      <c r="BP102" s="58">
        <v>69.67</v>
      </c>
      <c r="BQ102" s="58">
        <v>55.902999999999999</v>
      </c>
      <c r="BR102" s="58">
        <v>13.766999999999999</v>
      </c>
      <c r="BS102" s="58">
        <v>224.44900000000001</v>
      </c>
      <c r="BT102" s="58">
        <v>96.024000000000001</v>
      </c>
      <c r="BU102" s="58">
        <v>128.42599999999999</v>
      </c>
      <c r="BV102" s="58">
        <v>1288.6880000000001</v>
      </c>
      <c r="BW102" s="58">
        <v>659.74800000000005</v>
      </c>
      <c r="BX102" s="58">
        <v>628.94000000000005</v>
      </c>
      <c r="BY102" s="58">
        <v>502.57400000000001</v>
      </c>
      <c r="BZ102" s="58">
        <v>350.786</v>
      </c>
      <c r="CA102" s="58">
        <v>151.78800000000001</v>
      </c>
      <c r="CB102" s="58">
        <v>786.11400000000003</v>
      </c>
      <c r="CC102" s="58">
        <v>308.96199999999999</v>
      </c>
      <c r="CD102" s="58">
        <v>477.15199999999999</v>
      </c>
      <c r="CE102" s="58">
        <v>626.42899999999997</v>
      </c>
      <c r="CF102" s="58">
        <v>443.08300000000003</v>
      </c>
      <c r="CG102" s="58">
        <v>183.346</v>
      </c>
      <c r="CH102" s="58">
        <v>893.83699999999999</v>
      </c>
      <c r="CI102" s="58">
        <v>351.33100000000002</v>
      </c>
      <c r="CJ102" s="58">
        <v>542.50699999999995</v>
      </c>
      <c r="CK102" s="58">
        <v>877.90200000000004</v>
      </c>
      <c r="CL102" s="58">
        <v>373.03</v>
      </c>
      <c r="CM102" s="58">
        <v>504.87200000000001</v>
      </c>
      <c r="CN102" s="58">
        <v>1964.79</v>
      </c>
      <c r="CO102" s="58">
        <v>982.577</v>
      </c>
      <c r="CP102" s="58">
        <v>982.21299999999997</v>
      </c>
      <c r="CQ102" s="58">
        <v>921.87400000000002</v>
      </c>
      <c r="CR102" s="58">
        <v>542.39200000000005</v>
      </c>
      <c r="CS102" s="58">
        <v>379.48200000000003</v>
      </c>
      <c r="CT102" s="58">
        <v>1042.9159999999999</v>
      </c>
      <c r="CU102" s="58">
        <v>440.185</v>
      </c>
      <c r="CV102" s="58">
        <v>602.73099999999999</v>
      </c>
      <c r="CW102" s="58">
        <v>412.09300000000002</v>
      </c>
      <c r="CX102" s="58">
        <v>195.88900000000001</v>
      </c>
      <c r="CY102" s="58">
        <v>216.20400000000001</v>
      </c>
      <c r="CZ102" s="58">
        <v>92.228999999999999</v>
      </c>
      <c r="DA102" s="58">
        <v>47.18</v>
      </c>
      <c r="DB102" s="58">
        <v>45.048999999999999</v>
      </c>
      <c r="DC102" s="58">
        <v>14.471</v>
      </c>
      <c r="DD102" s="58">
        <v>10.015000000000001</v>
      </c>
      <c r="DE102" s="58">
        <v>4.4560000000000004</v>
      </c>
      <c r="DF102" s="58">
        <v>9.2789999999999999</v>
      </c>
      <c r="DG102" s="58">
        <v>6.3849999999999998</v>
      </c>
      <c r="DH102" s="58">
        <v>2.8929999999999998</v>
      </c>
      <c r="DI102" s="58">
        <v>5.1929999999999996</v>
      </c>
      <c r="DJ102" s="58">
        <v>3.629</v>
      </c>
      <c r="DK102" s="58">
        <v>1.5629999999999999</v>
      </c>
      <c r="DL102" s="58">
        <v>77.757999999999996</v>
      </c>
      <c r="DM102" s="58">
        <v>37.165999999999997</v>
      </c>
      <c r="DN102" s="58">
        <v>40.591999999999999</v>
      </c>
      <c r="DO102" s="58">
        <v>361.47500000000002</v>
      </c>
      <c r="DP102" s="58">
        <v>169.648</v>
      </c>
      <c r="DQ102" s="58">
        <v>191.827</v>
      </c>
      <c r="DR102" s="58">
        <v>71.855000000000004</v>
      </c>
      <c r="DS102" s="58">
        <v>40.555</v>
      </c>
      <c r="DT102" s="58">
        <v>31.3</v>
      </c>
      <c r="DU102" s="58">
        <v>289.62</v>
      </c>
      <c r="DV102" s="58">
        <v>129.09299999999999</v>
      </c>
      <c r="DW102" s="58">
        <v>160.52699999999999</v>
      </c>
      <c r="DX102" s="58">
        <v>82.741</v>
      </c>
      <c r="DY102" s="58">
        <v>48.207999999999998</v>
      </c>
      <c r="DZ102" s="58">
        <v>34.533000000000001</v>
      </c>
      <c r="EA102" s="58">
        <v>329.35199999999998</v>
      </c>
      <c r="EB102" s="58">
        <v>147.68100000000001</v>
      </c>
      <c r="EC102" s="58">
        <v>181.67099999999999</v>
      </c>
      <c r="ED102" s="58">
        <v>298.89800000000002</v>
      </c>
      <c r="EE102" s="58">
        <v>135.47800000000001</v>
      </c>
      <c r="EF102" s="58">
        <v>163.41999999999999</v>
      </c>
      <c r="EG102" s="58">
        <v>749.90099999999995</v>
      </c>
      <c r="EH102" s="58">
        <v>359.399</v>
      </c>
      <c r="EI102" s="58">
        <v>390.50200000000001</v>
      </c>
      <c r="EJ102" s="58">
        <v>188.95500000000001</v>
      </c>
      <c r="EK102" s="58">
        <v>124.187</v>
      </c>
      <c r="EL102" s="58">
        <v>64.769000000000005</v>
      </c>
      <c r="EM102" s="58">
        <v>560.94600000000003</v>
      </c>
      <c r="EN102" s="58">
        <v>235.21199999999999</v>
      </c>
      <c r="EO102" s="58">
        <v>325.73399999999998</v>
      </c>
      <c r="EP102" s="58">
        <v>185.39099999999999</v>
      </c>
      <c r="EQ102" s="58">
        <v>82.587999999999994</v>
      </c>
      <c r="ER102" s="58">
        <v>102.803</v>
      </c>
      <c r="ES102" s="58">
        <v>47.427</v>
      </c>
      <c r="ET102" s="58">
        <v>20.420000000000002</v>
      </c>
      <c r="EU102" s="58">
        <v>27.007000000000001</v>
      </c>
      <c r="EV102" s="58">
        <v>3.323</v>
      </c>
      <c r="EW102" s="58">
        <v>1.4410000000000001</v>
      </c>
      <c r="EX102" s="58">
        <v>1.8819999999999999</v>
      </c>
      <c r="EY102" s="58">
        <v>3.323</v>
      </c>
      <c r="EZ102" s="58">
        <v>1.4410000000000001</v>
      </c>
      <c r="FA102" s="58">
        <v>1.8819999999999999</v>
      </c>
      <c r="FB102" s="58">
        <v>0</v>
      </c>
      <c r="FC102" s="58">
        <v>0</v>
      </c>
      <c r="FD102" s="58">
        <v>0</v>
      </c>
      <c r="FE102" s="58">
        <v>44.103000000000002</v>
      </c>
      <c r="FF102" s="58">
        <v>18.978000000000002</v>
      </c>
      <c r="FG102" s="58">
        <v>25.125</v>
      </c>
      <c r="FH102" s="58">
        <v>155.47200000000001</v>
      </c>
      <c r="FI102" s="58">
        <v>69.557000000000002</v>
      </c>
      <c r="FJ102" s="58">
        <v>85.915999999999997</v>
      </c>
      <c r="FK102" s="58">
        <v>17.015000000000001</v>
      </c>
      <c r="FL102" s="58">
        <v>12.036</v>
      </c>
      <c r="FM102" s="58">
        <v>4.9790000000000001</v>
      </c>
      <c r="FN102" s="58">
        <v>138.45699999999999</v>
      </c>
      <c r="FO102" s="58">
        <v>57.521000000000001</v>
      </c>
      <c r="FP102" s="58">
        <v>80.936000000000007</v>
      </c>
      <c r="FQ102" s="58">
        <v>20.12</v>
      </c>
      <c r="FR102" s="58">
        <v>13.477</v>
      </c>
      <c r="FS102" s="58">
        <v>6.6429999999999998</v>
      </c>
      <c r="FT102" s="58">
        <v>165.27</v>
      </c>
      <c r="FU102" s="58">
        <v>69.11</v>
      </c>
      <c r="FV102" s="58">
        <v>96.16</v>
      </c>
      <c r="FW102" s="58">
        <v>141.78</v>
      </c>
      <c r="FX102" s="58">
        <v>58.962000000000003</v>
      </c>
      <c r="FY102" s="58">
        <v>82.817999999999998</v>
      </c>
      <c r="FZ102" s="58">
        <v>1214.8889999999999</v>
      </c>
      <c r="GA102" s="58">
        <v>623.178</v>
      </c>
      <c r="GB102" s="58">
        <v>591.71100000000001</v>
      </c>
      <c r="GC102" s="58">
        <v>732.91899999999998</v>
      </c>
      <c r="GD102" s="58">
        <v>418.20499999999998</v>
      </c>
      <c r="GE102" s="58">
        <v>314.714</v>
      </c>
      <c r="GF102" s="58">
        <v>481.97</v>
      </c>
      <c r="GG102" s="58">
        <v>204.97300000000001</v>
      </c>
      <c r="GH102" s="58">
        <v>276.99700000000001</v>
      </c>
      <c r="GI102" s="58">
        <v>226.703</v>
      </c>
      <c r="GJ102" s="58">
        <v>113.301</v>
      </c>
      <c r="GK102" s="58">
        <v>113.402</v>
      </c>
      <c r="GL102" s="58">
        <v>44.802</v>
      </c>
      <c r="GM102" s="58">
        <v>26.76</v>
      </c>
      <c r="GN102" s="58">
        <v>18.042000000000002</v>
      </c>
      <c r="GO102" s="58">
        <v>11.148</v>
      </c>
      <c r="GP102" s="58">
        <v>8.5730000000000004</v>
      </c>
      <c r="GQ102" s="58">
        <v>2.5739999999999998</v>
      </c>
      <c r="GR102" s="58">
        <v>5.9550000000000001</v>
      </c>
      <c r="GS102" s="58">
        <v>4.944</v>
      </c>
      <c r="GT102" s="58">
        <v>1.0109999999999999</v>
      </c>
      <c r="GU102" s="58">
        <v>5.1929999999999996</v>
      </c>
      <c r="GV102" s="58">
        <v>3.629</v>
      </c>
      <c r="GW102" s="58">
        <v>1.5629999999999999</v>
      </c>
      <c r="GX102" s="58">
        <v>33.655000000000001</v>
      </c>
      <c r="GY102" s="58">
        <v>18.187000000000001</v>
      </c>
      <c r="GZ102" s="58">
        <v>15.467000000000001</v>
      </c>
      <c r="HA102" s="58">
        <v>206.00200000000001</v>
      </c>
      <c r="HB102" s="58">
        <v>100.09099999999999</v>
      </c>
      <c r="HC102" s="58">
        <v>105.911</v>
      </c>
      <c r="HD102" s="58">
        <v>54.84</v>
      </c>
      <c r="HE102" s="58">
        <v>28.518999999999998</v>
      </c>
      <c r="HF102" s="58">
        <v>26.321000000000002</v>
      </c>
      <c r="HG102" s="58">
        <v>151.16300000000001</v>
      </c>
      <c r="HH102" s="58">
        <v>71.572000000000003</v>
      </c>
      <c r="HI102" s="58">
        <v>79.59</v>
      </c>
      <c r="HJ102" s="58">
        <v>62.621000000000002</v>
      </c>
      <c r="HK102" s="58">
        <v>34.731000000000002</v>
      </c>
      <c r="HL102" s="58">
        <v>27.89</v>
      </c>
      <c r="HM102" s="58">
        <v>164.08199999999999</v>
      </c>
      <c r="HN102" s="58">
        <v>78.570999999999998</v>
      </c>
      <c r="HO102" s="58">
        <v>85.510999999999996</v>
      </c>
      <c r="HP102" s="58">
        <v>157.11799999999999</v>
      </c>
      <c r="HQ102" s="58">
        <v>76.516000000000005</v>
      </c>
      <c r="HR102" s="58">
        <v>80.602000000000004</v>
      </c>
      <c r="HS102" s="58">
        <v>3066.3139999999999</v>
      </c>
      <c r="HT102" s="58">
        <v>1598.4179999999999</v>
      </c>
      <c r="HU102" s="58">
        <v>1467.896</v>
      </c>
      <c r="HV102" s="58">
        <v>2396.5940000000001</v>
      </c>
      <c r="HW102" s="58">
        <v>1399.23</v>
      </c>
      <c r="HX102" s="58">
        <v>997.36400000000003</v>
      </c>
      <c r="HY102" s="58">
        <v>669.72</v>
      </c>
      <c r="HZ102" s="58">
        <v>199.18799999999999</v>
      </c>
      <c r="IA102" s="58">
        <v>470.53300000000002</v>
      </c>
      <c r="IB102" s="58">
        <v>364.28</v>
      </c>
      <c r="IC102" s="58">
        <v>211.17400000000001</v>
      </c>
      <c r="ID102" s="58">
        <v>153.107</v>
      </c>
      <c r="IE102" s="58">
        <v>75.846000000000004</v>
      </c>
      <c r="IF102" s="58">
        <v>40.453000000000003</v>
      </c>
      <c r="IG102" s="58">
        <v>35.393000000000001</v>
      </c>
      <c r="IH102" s="58">
        <v>36.293999999999997</v>
      </c>
      <c r="II102" s="58">
        <v>25.850999999999999</v>
      </c>
      <c r="IJ102" s="58">
        <v>10.443</v>
      </c>
      <c r="IK102" s="58">
        <v>18.792999999999999</v>
      </c>
      <c r="IL102" s="58">
        <v>12.141999999999999</v>
      </c>
      <c r="IM102" s="58">
        <v>6.6509999999999998</v>
      </c>
      <c r="IN102" s="58">
        <v>17.501000000000001</v>
      </c>
      <c r="IO102" s="58">
        <v>13.709</v>
      </c>
      <c r="IP102" s="58">
        <v>3.7909999999999999</v>
      </c>
      <c r="IQ102" s="58">
        <v>39.552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59727-DAA4-4869-8825-459BCB7F095E}">
  <dimension ref="A1:IQ102"/>
  <sheetViews>
    <sheetView workbookViewId="0">
      <pane xSplit="1" ySplit="10" topLeftCell="B11" activePane="bottomRight" state="frozen"/>
      <selection activeCell="A12" sqref="A12"/>
      <selection pane="topRight" activeCell="A12" sqref="A12"/>
      <selection pane="bottomLeft" activeCell="A12" sqref="A12"/>
      <selection pane="bottomRight" activeCell="B11" sqref="B11"/>
    </sheetView>
  </sheetViews>
  <sheetFormatPr defaultColWidth="14.7109375" defaultRowHeight="11.25"/>
  <cols>
    <col min="1" max="16384" width="14.7109375" style="55"/>
  </cols>
  <sheetData>
    <row r="1" spans="1:251" s="1" customFormat="1" ht="99.95" customHeight="1">
      <c r="B1" s="2" t="s">
        <v>513</v>
      </c>
      <c r="C1" s="2" t="s">
        <v>514</v>
      </c>
      <c r="D1" s="2" t="s">
        <v>515</v>
      </c>
      <c r="E1" s="2" t="s">
        <v>516</v>
      </c>
      <c r="F1" s="2" t="s">
        <v>517</v>
      </c>
      <c r="G1" s="2" t="s">
        <v>518</v>
      </c>
      <c r="H1" s="2" t="s">
        <v>519</v>
      </c>
      <c r="I1" s="2" t="s">
        <v>520</v>
      </c>
      <c r="J1" s="2" t="s">
        <v>521</v>
      </c>
      <c r="K1" s="2" t="s">
        <v>522</v>
      </c>
      <c r="L1" s="2" t="s">
        <v>523</v>
      </c>
      <c r="M1" s="2" t="s">
        <v>524</v>
      </c>
      <c r="N1" s="2" t="s">
        <v>525</v>
      </c>
      <c r="O1" s="2" t="s">
        <v>526</v>
      </c>
      <c r="P1" s="2" t="s">
        <v>527</v>
      </c>
      <c r="Q1" s="2" t="s">
        <v>528</v>
      </c>
      <c r="R1" s="2" t="s">
        <v>529</v>
      </c>
      <c r="S1" s="2" t="s">
        <v>530</v>
      </c>
      <c r="T1" s="2" t="s">
        <v>531</v>
      </c>
      <c r="U1" s="2" t="s">
        <v>532</v>
      </c>
      <c r="V1" s="2" t="s">
        <v>533</v>
      </c>
      <c r="W1" s="2" t="s">
        <v>534</v>
      </c>
      <c r="X1" s="2" t="s">
        <v>535</v>
      </c>
      <c r="Y1" s="2" t="s">
        <v>536</v>
      </c>
      <c r="Z1" s="2" t="s">
        <v>537</v>
      </c>
      <c r="AA1" s="2" t="s">
        <v>538</v>
      </c>
      <c r="AB1" s="2" t="s">
        <v>539</v>
      </c>
      <c r="AC1" s="2" t="s">
        <v>540</v>
      </c>
      <c r="AD1" s="2" t="s">
        <v>541</v>
      </c>
      <c r="AE1" s="2" t="s">
        <v>542</v>
      </c>
      <c r="AF1" s="2" t="s">
        <v>543</v>
      </c>
      <c r="AG1" s="2" t="s">
        <v>544</v>
      </c>
      <c r="AH1" s="2" t="s">
        <v>545</v>
      </c>
      <c r="AI1" s="2" t="s">
        <v>546</v>
      </c>
      <c r="AJ1" s="2" t="s">
        <v>547</v>
      </c>
      <c r="AK1" s="2" t="s">
        <v>548</v>
      </c>
      <c r="AL1" s="2" t="s">
        <v>549</v>
      </c>
      <c r="AM1" s="2" t="s">
        <v>550</v>
      </c>
      <c r="AN1" s="2" t="s">
        <v>551</v>
      </c>
      <c r="AO1" s="2" t="s">
        <v>552</v>
      </c>
      <c r="AP1" s="2" t="s">
        <v>553</v>
      </c>
      <c r="AQ1" s="2" t="s">
        <v>554</v>
      </c>
      <c r="AR1" s="2" t="s">
        <v>555</v>
      </c>
      <c r="AS1" s="2" t="s">
        <v>556</v>
      </c>
      <c r="AT1" s="2" t="s">
        <v>557</v>
      </c>
      <c r="AU1" s="2" t="s">
        <v>558</v>
      </c>
      <c r="AV1" s="2" t="s">
        <v>559</v>
      </c>
      <c r="AW1" s="2" t="s">
        <v>560</v>
      </c>
      <c r="AX1" s="2" t="s">
        <v>561</v>
      </c>
      <c r="AY1" s="2" t="s">
        <v>562</v>
      </c>
      <c r="AZ1" s="2" t="s">
        <v>563</v>
      </c>
      <c r="BA1" s="2" t="s">
        <v>564</v>
      </c>
      <c r="BB1" s="2" t="s">
        <v>565</v>
      </c>
      <c r="BC1" s="2" t="s">
        <v>566</v>
      </c>
      <c r="BD1" s="2" t="s">
        <v>567</v>
      </c>
      <c r="BE1" s="2" t="s">
        <v>568</v>
      </c>
      <c r="BF1" s="2" t="s">
        <v>569</v>
      </c>
      <c r="BG1" s="2" t="s">
        <v>570</v>
      </c>
      <c r="BH1" s="2" t="s">
        <v>571</v>
      </c>
      <c r="BI1" s="2" t="s">
        <v>572</v>
      </c>
      <c r="BJ1" s="2" t="s">
        <v>573</v>
      </c>
      <c r="BK1" s="2" t="s">
        <v>574</v>
      </c>
      <c r="BL1" s="2" t="s">
        <v>575</v>
      </c>
      <c r="BM1" s="2" t="s">
        <v>576</v>
      </c>
      <c r="BN1" s="2" t="s">
        <v>577</v>
      </c>
      <c r="BO1" s="2" t="s">
        <v>578</v>
      </c>
      <c r="BP1" s="2" t="s">
        <v>579</v>
      </c>
      <c r="BQ1" s="2" t="s">
        <v>580</v>
      </c>
      <c r="BR1" s="2" t="s">
        <v>581</v>
      </c>
      <c r="BS1" s="2" t="s">
        <v>582</v>
      </c>
      <c r="BT1" s="2" t="s">
        <v>583</v>
      </c>
      <c r="BU1" s="2" t="s">
        <v>584</v>
      </c>
      <c r="BV1" s="2" t="s">
        <v>585</v>
      </c>
      <c r="BW1" s="2" t="s">
        <v>586</v>
      </c>
      <c r="BX1" s="2" t="s">
        <v>587</v>
      </c>
      <c r="BY1" s="2" t="s">
        <v>588</v>
      </c>
      <c r="BZ1" s="2" t="s">
        <v>589</v>
      </c>
      <c r="CA1" s="2" t="s">
        <v>590</v>
      </c>
      <c r="CB1" s="2" t="s">
        <v>591</v>
      </c>
      <c r="CC1" s="2" t="s">
        <v>592</v>
      </c>
      <c r="CD1" s="2" t="s">
        <v>593</v>
      </c>
      <c r="CE1" s="2" t="s">
        <v>594</v>
      </c>
      <c r="CF1" s="2" t="s">
        <v>595</v>
      </c>
      <c r="CG1" s="2" t="s">
        <v>596</v>
      </c>
      <c r="CH1" s="2" t="s">
        <v>597</v>
      </c>
      <c r="CI1" s="2" t="s">
        <v>598</v>
      </c>
      <c r="CJ1" s="2" t="s">
        <v>599</v>
      </c>
      <c r="CK1" s="2" t="s">
        <v>600</v>
      </c>
      <c r="CL1" s="2" t="s">
        <v>601</v>
      </c>
      <c r="CM1" s="2" t="s">
        <v>602</v>
      </c>
      <c r="CN1" s="2" t="s">
        <v>603</v>
      </c>
      <c r="CO1" s="2" t="s">
        <v>604</v>
      </c>
      <c r="CP1" s="2" t="s">
        <v>605</v>
      </c>
      <c r="CQ1" s="2" t="s">
        <v>606</v>
      </c>
      <c r="CR1" s="2" t="s">
        <v>607</v>
      </c>
      <c r="CS1" s="2" t="s">
        <v>608</v>
      </c>
      <c r="CT1" s="2" t="s">
        <v>609</v>
      </c>
      <c r="CU1" s="2" t="s">
        <v>610</v>
      </c>
      <c r="CV1" s="2" t="s">
        <v>611</v>
      </c>
      <c r="CW1" s="2" t="s">
        <v>612</v>
      </c>
      <c r="CX1" s="2" t="s">
        <v>613</v>
      </c>
      <c r="CY1" s="2" t="s">
        <v>614</v>
      </c>
      <c r="CZ1" s="2" t="s">
        <v>615</v>
      </c>
      <c r="DA1" s="2" t="s">
        <v>616</v>
      </c>
      <c r="DB1" s="2" t="s">
        <v>617</v>
      </c>
      <c r="DC1" s="2" t="s">
        <v>618</v>
      </c>
      <c r="DD1" s="2" t="s">
        <v>619</v>
      </c>
      <c r="DE1" s="2" t="s">
        <v>620</v>
      </c>
      <c r="DF1" s="2" t="s">
        <v>621</v>
      </c>
      <c r="DG1" s="2" t="s">
        <v>622</v>
      </c>
      <c r="DH1" s="2" t="s">
        <v>623</v>
      </c>
      <c r="DI1" s="2" t="s">
        <v>624</v>
      </c>
      <c r="DJ1" s="2" t="s">
        <v>625</v>
      </c>
      <c r="DK1" s="2" t="s">
        <v>626</v>
      </c>
      <c r="DL1" s="2" t="s">
        <v>627</v>
      </c>
      <c r="DM1" s="2" t="s">
        <v>628</v>
      </c>
      <c r="DN1" s="2" t="s">
        <v>629</v>
      </c>
      <c r="DO1" s="2" t="s">
        <v>630</v>
      </c>
      <c r="DP1" s="2" t="s">
        <v>631</v>
      </c>
      <c r="DQ1" s="2" t="s">
        <v>632</v>
      </c>
      <c r="DR1" s="2" t="s">
        <v>633</v>
      </c>
      <c r="DS1" s="2" t="s">
        <v>634</v>
      </c>
      <c r="DT1" s="2" t="s">
        <v>635</v>
      </c>
      <c r="DU1" s="2" t="s">
        <v>636</v>
      </c>
      <c r="DV1" s="2" t="s">
        <v>637</v>
      </c>
      <c r="DW1" s="2" t="s">
        <v>638</v>
      </c>
      <c r="DX1" s="2" t="s">
        <v>639</v>
      </c>
      <c r="DY1" s="2" t="s">
        <v>640</v>
      </c>
      <c r="DZ1" s="2" t="s">
        <v>641</v>
      </c>
      <c r="EA1" s="2" t="s">
        <v>642</v>
      </c>
      <c r="EB1" s="2" t="s">
        <v>643</v>
      </c>
      <c r="EC1" s="2" t="s">
        <v>644</v>
      </c>
      <c r="ED1" s="2" t="s">
        <v>645</v>
      </c>
      <c r="EE1" s="2" t="s">
        <v>646</v>
      </c>
      <c r="EF1" s="2" t="s">
        <v>647</v>
      </c>
      <c r="EG1" s="2" t="s">
        <v>648</v>
      </c>
      <c r="EH1" s="2" t="s">
        <v>649</v>
      </c>
      <c r="EI1" s="2" t="s">
        <v>650</v>
      </c>
      <c r="EJ1" s="2" t="s">
        <v>651</v>
      </c>
      <c r="EK1" s="2" t="s">
        <v>652</v>
      </c>
      <c r="EL1" s="2" t="s">
        <v>653</v>
      </c>
      <c r="EM1" s="2" t="s">
        <v>654</v>
      </c>
      <c r="EN1" s="2" t="s">
        <v>655</v>
      </c>
      <c r="EO1" s="2" t="s">
        <v>656</v>
      </c>
      <c r="EP1" s="2" t="s">
        <v>657</v>
      </c>
      <c r="EQ1" s="2" t="s">
        <v>658</v>
      </c>
      <c r="ER1" s="2" t="s">
        <v>659</v>
      </c>
      <c r="ES1" s="2" t="s">
        <v>660</v>
      </c>
      <c r="ET1" s="2" t="s">
        <v>661</v>
      </c>
      <c r="EU1" s="2" t="s">
        <v>662</v>
      </c>
      <c r="EV1" s="2" t="s">
        <v>663</v>
      </c>
      <c r="EW1" s="2" t="s">
        <v>664</v>
      </c>
      <c r="EX1" s="2" t="s">
        <v>665</v>
      </c>
      <c r="EY1" s="2" t="s">
        <v>666</v>
      </c>
      <c r="EZ1" s="2" t="s">
        <v>667</v>
      </c>
      <c r="FA1" s="2" t="s">
        <v>668</v>
      </c>
      <c r="FB1" s="2" t="s">
        <v>669</v>
      </c>
      <c r="FC1" s="2" t="s">
        <v>670</v>
      </c>
      <c r="FD1" s="2" t="s">
        <v>671</v>
      </c>
      <c r="FE1" s="2" t="s">
        <v>672</v>
      </c>
      <c r="FF1" s="2" t="s">
        <v>673</v>
      </c>
      <c r="FG1" s="2" t="s">
        <v>674</v>
      </c>
      <c r="FH1" s="2" t="s">
        <v>675</v>
      </c>
      <c r="FI1" s="2" t="s">
        <v>676</v>
      </c>
      <c r="FJ1" s="2" t="s">
        <v>677</v>
      </c>
      <c r="FK1" s="2" t="s">
        <v>678</v>
      </c>
      <c r="FL1" s="2" t="s">
        <v>679</v>
      </c>
      <c r="FM1" s="2" t="s">
        <v>680</v>
      </c>
      <c r="FN1" s="2" t="s">
        <v>681</v>
      </c>
      <c r="FO1" s="2" t="s">
        <v>682</v>
      </c>
      <c r="FP1" s="2" t="s">
        <v>683</v>
      </c>
      <c r="FQ1" s="2" t="s">
        <v>684</v>
      </c>
      <c r="FR1" s="2" t="s">
        <v>685</v>
      </c>
      <c r="FS1" s="2" t="s">
        <v>686</v>
      </c>
      <c r="FT1" s="2" t="s">
        <v>687</v>
      </c>
      <c r="FU1" s="2" t="s">
        <v>688</v>
      </c>
      <c r="FV1" s="2" t="s">
        <v>689</v>
      </c>
      <c r="FW1" s="2" t="s">
        <v>690</v>
      </c>
      <c r="FX1" s="2" t="s">
        <v>691</v>
      </c>
      <c r="FY1" s="2" t="s">
        <v>692</v>
      </c>
      <c r="FZ1" s="2" t="s">
        <v>693</v>
      </c>
      <c r="GA1" s="2" t="s">
        <v>694</v>
      </c>
      <c r="GB1" s="2" t="s">
        <v>695</v>
      </c>
      <c r="GC1" s="2" t="s">
        <v>696</v>
      </c>
      <c r="GD1" s="2" t="s">
        <v>697</v>
      </c>
      <c r="GE1" s="2" t="s">
        <v>698</v>
      </c>
      <c r="GF1" s="2" t="s">
        <v>699</v>
      </c>
      <c r="GG1" s="2" t="s">
        <v>700</v>
      </c>
      <c r="GH1" s="2" t="s">
        <v>701</v>
      </c>
      <c r="GI1" s="2" t="s">
        <v>702</v>
      </c>
      <c r="GJ1" s="2" t="s">
        <v>703</v>
      </c>
      <c r="GK1" s="2" t="s">
        <v>704</v>
      </c>
      <c r="GL1" s="2" t="s">
        <v>705</v>
      </c>
      <c r="GM1" s="2" t="s">
        <v>706</v>
      </c>
      <c r="GN1" s="2" t="s">
        <v>707</v>
      </c>
      <c r="GO1" s="2" t="s">
        <v>708</v>
      </c>
      <c r="GP1" s="2" t="s">
        <v>709</v>
      </c>
      <c r="GQ1" s="2" t="s">
        <v>710</v>
      </c>
      <c r="GR1" s="2" t="s">
        <v>711</v>
      </c>
      <c r="GS1" s="2" t="s">
        <v>712</v>
      </c>
      <c r="GT1" s="2" t="s">
        <v>713</v>
      </c>
      <c r="GU1" s="2" t="s">
        <v>714</v>
      </c>
      <c r="GV1" s="2" t="s">
        <v>715</v>
      </c>
      <c r="GW1" s="2" t="s">
        <v>716</v>
      </c>
      <c r="GX1" s="2" t="s">
        <v>717</v>
      </c>
      <c r="GY1" s="2" t="s">
        <v>718</v>
      </c>
      <c r="GZ1" s="2" t="s">
        <v>719</v>
      </c>
      <c r="HA1" s="2" t="s">
        <v>720</v>
      </c>
      <c r="HB1" s="2" t="s">
        <v>721</v>
      </c>
      <c r="HC1" s="2" t="s">
        <v>722</v>
      </c>
      <c r="HD1" s="2" t="s">
        <v>723</v>
      </c>
      <c r="HE1" s="2" t="s">
        <v>724</v>
      </c>
      <c r="HF1" s="2" t="s">
        <v>725</v>
      </c>
      <c r="HG1" s="2" t="s">
        <v>726</v>
      </c>
      <c r="HH1" s="2" t="s">
        <v>727</v>
      </c>
      <c r="HI1" s="2" t="s">
        <v>728</v>
      </c>
      <c r="HJ1" s="2" t="s">
        <v>729</v>
      </c>
      <c r="HK1" s="2" t="s">
        <v>730</v>
      </c>
      <c r="HL1" s="2" t="s">
        <v>731</v>
      </c>
      <c r="HM1" s="2" t="s">
        <v>732</v>
      </c>
      <c r="HN1" s="2" t="s">
        <v>733</v>
      </c>
      <c r="HO1" s="2" t="s">
        <v>734</v>
      </c>
      <c r="HP1" s="2" t="s">
        <v>735</v>
      </c>
      <c r="HQ1" s="2" t="s">
        <v>736</v>
      </c>
      <c r="HR1" s="2" t="s">
        <v>737</v>
      </c>
      <c r="HS1" s="2" t="s">
        <v>738</v>
      </c>
      <c r="HT1" s="2" t="s">
        <v>739</v>
      </c>
      <c r="HU1" s="2" t="s">
        <v>740</v>
      </c>
      <c r="HV1" s="2" t="s">
        <v>741</v>
      </c>
      <c r="HW1" s="2" t="s">
        <v>742</v>
      </c>
      <c r="HX1" s="2" t="s">
        <v>743</v>
      </c>
      <c r="HY1" s="2" t="s">
        <v>744</v>
      </c>
      <c r="HZ1" s="2" t="s">
        <v>745</v>
      </c>
      <c r="IA1" s="2" t="s">
        <v>746</v>
      </c>
      <c r="IB1" s="2" t="s">
        <v>747</v>
      </c>
      <c r="IC1" s="2" t="s">
        <v>748</v>
      </c>
      <c r="ID1" s="2" t="s">
        <v>749</v>
      </c>
      <c r="IE1" s="2" t="s">
        <v>750</v>
      </c>
      <c r="IF1" s="2" t="s">
        <v>751</v>
      </c>
      <c r="IG1" s="2" t="s">
        <v>752</v>
      </c>
      <c r="IH1" s="2" t="s">
        <v>753</v>
      </c>
      <c r="II1" s="2" t="s">
        <v>754</v>
      </c>
      <c r="IJ1" s="2" t="s">
        <v>755</v>
      </c>
      <c r="IK1" s="2" t="s">
        <v>756</v>
      </c>
      <c r="IL1" s="2" t="s">
        <v>757</v>
      </c>
      <c r="IM1" s="2" t="s">
        <v>758</v>
      </c>
      <c r="IN1" s="2" t="s">
        <v>759</v>
      </c>
      <c r="IO1" s="2" t="s">
        <v>760</v>
      </c>
      <c r="IP1" s="2" t="s">
        <v>761</v>
      </c>
      <c r="IQ1" s="2" t="s">
        <v>762</v>
      </c>
    </row>
    <row r="2" spans="1:251">
      <c r="A2" s="54" t="s">
        <v>250</v>
      </c>
      <c r="B2" s="3" t="s">
        <v>259</v>
      </c>
      <c r="C2" s="3" t="s">
        <v>259</v>
      </c>
      <c r="D2" s="3" t="s">
        <v>259</v>
      </c>
      <c r="E2" s="3" t="s">
        <v>259</v>
      </c>
      <c r="F2" s="3" t="s">
        <v>259</v>
      </c>
      <c r="G2" s="3" t="s">
        <v>259</v>
      </c>
      <c r="H2" s="3" t="s">
        <v>259</v>
      </c>
      <c r="I2" s="3" t="s">
        <v>259</v>
      </c>
      <c r="J2" s="3" t="s">
        <v>259</v>
      </c>
      <c r="K2" s="3" t="s">
        <v>259</v>
      </c>
      <c r="L2" s="3" t="s">
        <v>259</v>
      </c>
      <c r="M2" s="3" t="s">
        <v>259</v>
      </c>
      <c r="N2" s="3" t="s">
        <v>259</v>
      </c>
      <c r="O2" s="3" t="s">
        <v>259</v>
      </c>
      <c r="P2" s="3" t="s">
        <v>259</v>
      </c>
      <c r="Q2" s="3" t="s">
        <v>259</v>
      </c>
      <c r="R2" s="3" t="s">
        <v>259</v>
      </c>
      <c r="S2" s="3" t="s">
        <v>259</v>
      </c>
      <c r="T2" s="3" t="s">
        <v>259</v>
      </c>
      <c r="U2" s="3" t="s">
        <v>259</v>
      </c>
      <c r="V2" s="3" t="s">
        <v>259</v>
      </c>
      <c r="W2" s="3" t="s">
        <v>259</v>
      </c>
      <c r="X2" s="3" t="s">
        <v>259</v>
      </c>
      <c r="Y2" s="3" t="s">
        <v>259</v>
      </c>
      <c r="Z2" s="3" t="s">
        <v>259</v>
      </c>
      <c r="AA2" s="3" t="s">
        <v>259</v>
      </c>
      <c r="AB2" s="3" t="s">
        <v>259</v>
      </c>
      <c r="AC2" s="3" t="s">
        <v>259</v>
      </c>
      <c r="AD2" s="3" t="s">
        <v>259</v>
      </c>
      <c r="AE2" s="3" t="s">
        <v>259</v>
      </c>
      <c r="AF2" s="3" t="s">
        <v>259</v>
      </c>
      <c r="AG2" s="3" t="s">
        <v>259</v>
      </c>
      <c r="AH2" s="3" t="s">
        <v>259</v>
      </c>
      <c r="AI2" s="3" t="s">
        <v>259</v>
      </c>
      <c r="AJ2" s="3" t="s">
        <v>259</v>
      </c>
      <c r="AK2" s="3" t="s">
        <v>259</v>
      </c>
      <c r="AL2" s="3" t="s">
        <v>259</v>
      </c>
      <c r="AM2" s="3" t="s">
        <v>259</v>
      </c>
      <c r="AN2" s="3" t="s">
        <v>259</v>
      </c>
      <c r="AO2" s="3" t="s">
        <v>259</v>
      </c>
      <c r="AP2" s="3" t="s">
        <v>259</v>
      </c>
      <c r="AQ2" s="3" t="s">
        <v>259</v>
      </c>
      <c r="AR2" s="3" t="s">
        <v>259</v>
      </c>
      <c r="AS2" s="3" t="s">
        <v>259</v>
      </c>
      <c r="AT2" s="3" t="s">
        <v>259</v>
      </c>
      <c r="AU2" s="3" t="s">
        <v>259</v>
      </c>
      <c r="AV2" s="3" t="s">
        <v>259</v>
      </c>
      <c r="AW2" s="3" t="s">
        <v>259</v>
      </c>
      <c r="AX2" s="3" t="s">
        <v>259</v>
      </c>
      <c r="AY2" s="3" t="s">
        <v>259</v>
      </c>
      <c r="AZ2" s="3" t="s">
        <v>259</v>
      </c>
      <c r="BA2" s="3" t="s">
        <v>259</v>
      </c>
      <c r="BB2" s="3" t="s">
        <v>259</v>
      </c>
      <c r="BC2" s="3" t="s">
        <v>259</v>
      </c>
      <c r="BD2" s="3" t="s">
        <v>259</v>
      </c>
      <c r="BE2" s="3" t="s">
        <v>259</v>
      </c>
      <c r="BF2" s="3" t="s">
        <v>259</v>
      </c>
      <c r="BG2" s="3" t="s">
        <v>259</v>
      </c>
      <c r="BH2" s="3" t="s">
        <v>259</v>
      </c>
      <c r="BI2" s="3" t="s">
        <v>259</v>
      </c>
      <c r="BJ2" s="3" t="s">
        <v>259</v>
      </c>
      <c r="BK2" s="3" t="s">
        <v>259</v>
      </c>
      <c r="BL2" s="3" t="s">
        <v>259</v>
      </c>
      <c r="BM2" s="3" t="s">
        <v>259</v>
      </c>
      <c r="BN2" s="3" t="s">
        <v>259</v>
      </c>
      <c r="BO2" s="3" t="s">
        <v>259</v>
      </c>
      <c r="BP2" s="3" t="s">
        <v>259</v>
      </c>
      <c r="BQ2" s="3" t="s">
        <v>259</v>
      </c>
      <c r="BR2" s="3" t="s">
        <v>259</v>
      </c>
      <c r="BS2" s="3" t="s">
        <v>259</v>
      </c>
      <c r="BT2" s="3" t="s">
        <v>259</v>
      </c>
      <c r="BU2" s="3" t="s">
        <v>259</v>
      </c>
      <c r="BV2" s="3" t="s">
        <v>259</v>
      </c>
      <c r="BW2" s="3" t="s">
        <v>259</v>
      </c>
      <c r="BX2" s="3" t="s">
        <v>259</v>
      </c>
      <c r="BY2" s="3" t="s">
        <v>259</v>
      </c>
      <c r="BZ2" s="3" t="s">
        <v>259</v>
      </c>
      <c r="CA2" s="3" t="s">
        <v>259</v>
      </c>
      <c r="CB2" s="3" t="s">
        <v>259</v>
      </c>
      <c r="CC2" s="3" t="s">
        <v>259</v>
      </c>
      <c r="CD2" s="3" t="s">
        <v>259</v>
      </c>
      <c r="CE2" s="3" t="s">
        <v>259</v>
      </c>
      <c r="CF2" s="3" t="s">
        <v>259</v>
      </c>
      <c r="CG2" s="3" t="s">
        <v>259</v>
      </c>
      <c r="CH2" s="3" t="s">
        <v>259</v>
      </c>
      <c r="CI2" s="3" t="s">
        <v>259</v>
      </c>
      <c r="CJ2" s="3" t="s">
        <v>259</v>
      </c>
      <c r="CK2" s="3" t="s">
        <v>259</v>
      </c>
      <c r="CL2" s="3" t="s">
        <v>259</v>
      </c>
      <c r="CM2" s="3" t="s">
        <v>259</v>
      </c>
      <c r="CN2" s="3" t="s">
        <v>259</v>
      </c>
      <c r="CO2" s="3" t="s">
        <v>259</v>
      </c>
      <c r="CP2" s="3" t="s">
        <v>259</v>
      </c>
      <c r="CQ2" s="3" t="s">
        <v>259</v>
      </c>
      <c r="CR2" s="3" t="s">
        <v>259</v>
      </c>
      <c r="CS2" s="3" t="s">
        <v>259</v>
      </c>
      <c r="CT2" s="3" t="s">
        <v>259</v>
      </c>
      <c r="CU2" s="3" t="s">
        <v>259</v>
      </c>
      <c r="CV2" s="3" t="s">
        <v>259</v>
      </c>
      <c r="CW2" s="3" t="s">
        <v>259</v>
      </c>
      <c r="CX2" s="3" t="s">
        <v>259</v>
      </c>
      <c r="CY2" s="3" t="s">
        <v>259</v>
      </c>
      <c r="CZ2" s="3" t="s">
        <v>259</v>
      </c>
      <c r="DA2" s="3" t="s">
        <v>259</v>
      </c>
      <c r="DB2" s="3" t="s">
        <v>259</v>
      </c>
      <c r="DC2" s="3" t="s">
        <v>259</v>
      </c>
      <c r="DD2" s="3" t="s">
        <v>259</v>
      </c>
      <c r="DE2" s="3" t="s">
        <v>259</v>
      </c>
      <c r="DF2" s="3" t="s">
        <v>259</v>
      </c>
      <c r="DG2" s="3" t="s">
        <v>259</v>
      </c>
      <c r="DH2" s="3" t="s">
        <v>259</v>
      </c>
      <c r="DI2" s="3" t="s">
        <v>259</v>
      </c>
      <c r="DJ2" s="3" t="s">
        <v>259</v>
      </c>
      <c r="DK2" s="3" t="s">
        <v>259</v>
      </c>
      <c r="DL2" s="3" t="s">
        <v>259</v>
      </c>
      <c r="DM2" s="3" t="s">
        <v>259</v>
      </c>
      <c r="DN2" s="3" t="s">
        <v>259</v>
      </c>
      <c r="DO2" s="3" t="s">
        <v>259</v>
      </c>
      <c r="DP2" s="3" t="s">
        <v>259</v>
      </c>
      <c r="DQ2" s="3" t="s">
        <v>259</v>
      </c>
      <c r="DR2" s="3" t="s">
        <v>259</v>
      </c>
      <c r="DS2" s="3" t="s">
        <v>259</v>
      </c>
      <c r="DT2" s="3" t="s">
        <v>259</v>
      </c>
      <c r="DU2" s="3" t="s">
        <v>259</v>
      </c>
      <c r="DV2" s="3" t="s">
        <v>259</v>
      </c>
      <c r="DW2" s="3" t="s">
        <v>259</v>
      </c>
      <c r="DX2" s="3" t="s">
        <v>259</v>
      </c>
      <c r="DY2" s="3" t="s">
        <v>259</v>
      </c>
      <c r="DZ2" s="3" t="s">
        <v>259</v>
      </c>
      <c r="EA2" s="3" t="s">
        <v>259</v>
      </c>
      <c r="EB2" s="3" t="s">
        <v>259</v>
      </c>
      <c r="EC2" s="3" t="s">
        <v>259</v>
      </c>
      <c r="ED2" s="3" t="s">
        <v>259</v>
      </c>
      <c r="EE2" s="3" t="s">
        <v>259</v>
      </c>
      <c r="EF2" s="3" t="s">
        <v>259</v>
      </c>
      <c r="EG2" s="3" t="s">
        <v>259</v>
      </c>
      <c r="EH2" s="3" t="s">
        <v>259</v>
      </c>
      <c r="EI2" s="3" t="s">
        <v>259</v>
      </c>
      <c r="EJ2" s="3" t="s">
        <v>259</v>
      </c>
      <c r="EK2" s="3" t="s">
        <v>259</v>
      </c>
      <c r="EL2" s="3" t="s">
        <v>259</v>
      </c>
      <c r="EM2" s="3" t="s">
        <v>259</v>
      </c>
      <c r="EN2" s="3" t="s">
        <v>259</v>
      </c>
      <c r="EO2" s="3" t="s">
        <v>259</v>
      </c>
      <c r="EP2" s="3" t="s">
        <v>259</v>
      </c>
      <c r="EQ2" s="3" t="s">
        <v>259</v>
      </c>
      <c r="ER2" s="3" t="s">
        <v>259</v>
      </c>
      <c r="ES2" s="3" t="s">
        <v>259</v>
      </c>
      <c r="ET2" s="3" t="s">
        <v>259</v>
      </c>
      <c r="EU2" s="3" t="s">
        <v>259</v>
      </c>
      <c r="EV2" s="3" t="s">
        <v>259</v>
      </c>
      <c r="EW2" s="3" t="s">
        <v>259</v>
      </c>
      <c r="EX2" s="3" t="s">
        <v>259</v>
      </c>
      <c r="EY2" s="3" t="s">
        <v>259</v>
      </c>
      <c r="EZ2" s="3" t="s">
        <v>259</v>
      </c>
      <c r="FA2" s="3" t="s">
        <v>259</v>
      </c>
      <c r="FB2" s="3" t="s">
        <v>259</v>
      </c>
      <c r="FC2" s="3" t="s">
        <v>259</v>
      </c>
      <c r="FD2" s="3" t="s">
        <v>259</v>
      </c>
      <c r="FE2" s="3" t="s">
        <v>259</v>
      </c>
      <c r="FF2" s="3" t="s">
        <v>259</v>
      </c>
      <c r="FG2" s="3" t="s">
        <v>259</v>
      </c>
      <c r="FH2" s="3" t="s">
        <v>259</v>
      </c>
      <c r="FI2" s="3" t="s">
        <v>259</v>
      </c>
      <c r="FJ2" s="3" t="s">
        <v>259</v>
      </c>
      <c r="FK2" s="3" t="s">
        <v>259</v>
      </c>
      <c r="FL2" s="3" t="s">
        <v>259</v>
      </c>
      <c r="FM2" s="3" t="s">
        <v>259</v>
      </c>
      <c r="FN2" s="3" t="s">
        <v>259</v>
      </c>
      <c r="FO2" s="3" t="s">
        <v>259</v>
      </c>
      <c r="FP2" s="3" t="s">
        <v>259</v>
      </c>
      <c r="FQ2" s="3" t="s">
        <v>259</v>
      </c>
      <c r="FR2" s="3" t="s">
        <v>259</v>
      </c>
      <c r="FS2" s="3" t="s">
        <v>259</v>
      </c>
      <c r="FT2" s="3" t="s">
        <v>259</v>
      </c>
      <c r="FU2" s="3" t="s">
        <v>259</v>
      </c>
      <c r="FV2" s="3" t="s">
        <v>259</v>
      </c>
      <c r="FW2" s="3" t="s">
        <v>259</v>
      </c>
      <c r="FX2" s="3" t="s">
        <v>259</v>
      </c>
      <c r="FY2" s="3" t="s">
        <v>259</v>
      </c>
      <c r="FZ2" s="3" t="s">
        <v>259</v>
      </c>
      <c r="GA2" s="3" t="s">
        <v>259</v>
      </c>
      <c r="GB2" s="3" t="s">
        <v>259</v>
      </c>
      <c r="GC2" s="3" t="s">
        <v>259</v>
      </c>
      <c r="GD2" s="3" t="s">
        <v>259</v>
      </c>
      <c r="GE2" s="3" t="s">
        <v>259</v>
      </c>
      <c r="GF2" s="3" t="s">
        <v>259</v>
      </c>
      <c r="GG2" s="3" t="s">
        <v>259</v>
      </c>
      <c r="GH2" s="3" t="s">
        <v>259</v>
      </c>
      <c r="GI2" s="3" t="s">
        <v>259</v>
      </c>
      <c r="GJ2" s="3" t="s">
        <v>259</v>
      </c>
      <c r="GK2" s="3" t="s">
        <v>259</v>
      </c>
      <c r="GL2" s="3" t="s">
        <v>259</v>
      </c>
      <c r="GM2" s="3" t="s">
        <v>259</v>
      </c>
      <c r="GN2" s="3" t="s">
        <v>259</v>
      </c>
      <c r="GO2" s="3" t="s">
        <v>259</v>
      </c>
      <c r="GP2" s="3" t="s">
        <v>259</v>
      </c>
      <c r="GQ2" s="3" t="s">
        <v>259</v>
      </c>
      <c r="GR2" s="3" t="s">
        <v>259</v>
      </c>
      <c r="GS2" s="3" t="s">
        <v>259</v>
      </c>
      <c r="GT2" s="3" t="s">
        <v>259</v>
      </c>
      <c r="GU2" s="3" t="s">
        <v>259</v>
      </c>
      <c r="GV2" s="3" t="s">
        <v>259</v>
      </c>
      <c r="GW2" s="3" t="s">
        <v>259</v>
      </c>
      <c r="GX2" s="3" t="s">
        <v>259</v>
      </c>
      <c r="GY2" s="3" t="s">
        <v>259</v>
      </c>
      <c r="GZ2" s="3" t="s">
        <v>259</v>
      </c>
      <c r="HA2" s="3" t="s">
        <v>259</v>
      </c>
      <c r="HB2" s="3" t="s">
        <v>259</v>
      </c>
      <c r="HC2" s="3" t="s">
        <v>259</v>
      </c>
      <c r="HD2" s="3" t="s">
        <v>259</v>
      </c>
      <c r="HE2" s="3" t="s">
        <v>259</v>
      </c>
      <c r="HF2" s="3" t="s">
        <v>259</v>
      </c>
      <c r="HG2" s="3" t="s">
        <v>259</v>
      </c>
      <c r="HH2" s="3" t="s">
        <v>259</v>
      </c>
      <c r="HI2" s="3" t="s">
        <v>259</v>
      </c>
      <c r="HJ2" s="3" t="s">
        <v>259</v>
      </c>
      <c r="HK2" s="3" t="s">
        <v>259</v>
      </c>
      <c r="HL2" s="3" t="s">
        <v>259</v>
      </c>
      <c r="HM2" s="3" t="s">
        <v>259</v>
      </c>
      <c r="HN2" s="3" t="s">
        <v>259</v>
      </c>
      <c r="HO2" s="3" t="s">
        <v>259</v>
      </c>
      <c r="HP2" s="3" t="s">
        <v>259</v>
      </c>
      <c r="HQ2" s="3" t="s">
        <v>259</v>
      </c>
      <c r="HR2" s="3" t="s">
        <v>259</v>
      </c>
      <c r="HS2" s="3" t="s">
        <v>259</v>
      </c>
      <c r="HT2" s="3" t="s">
        <v>259</v>
      </c>
      <c r="HU2" s="3" t="s">
        <v>259</v>
      </c>
      <c r="HV2" s="3" t="s">
        <v>259</v>
      </c>
      <c r="HW2" s="3" t="s">
        <v>259</v>
      </c>
      <c r="HX2" s="3" t="s">
        <v>259</v>
      </c>
      <c r="HY2" s="3" t="s">
        <v>259</v>
      </c>
      <c r="HZ2" s="3" t="s">
        <v>259</v>
      </c>
      <c r="IA2" s="3" t="s">
        <v>259</v>
      </c>
      <c r="IB2" s="3" t="s">
        <v>259</v>
      </c>
      <c r="IC2" s="3" t="s">
        <v>259</v>
      </c>
      <c r="ID2" s="3" t="s">
        <v>259</v>
      </c>
      <c r="IE2" s="3" t="s">
        <v>259</v>
      </c>
      <c r="IF2" s="3" t="s">
        <v>259</v>
      </c>
      <c r="IG2" s="3" t="s">
        <v>259</v>
      </c>
      <c r="IH2" s="3" t="s">
        <v>259</v>
      </c>
      <c r="II2" s="3" t="s">
        <v>259</v>
      </c>
      <c r="IJ2" s="3" t="s">
        <v>259</v>
      </c>
      <c r="IK2" s="3" t="s">
        <v>259</v>
      </c>
      <c r="IL2" s="3" t="s">
        <v>259</v>
      </c>
      <c r="IM2" s="3" t="s">
        <v>259</v>
      </c>
      <c r="IN2" s="3" t="s">
        <v>259</v>
      </c>
      <c r="IO2" s="3" t="s">
        <v>259</v>
      </c>
      <c r="IP2" s="3" t="s">
        <v>259</v>
      </c>
      <c r="IQ2" s="3" t="s">
        <v>259</v>
      </c>
    </row>
    <row r="3" spans="1:251">
      <c r="A3" s="54" t="s">
        <v>251</v>
      </c>
      <c r="B3" s="4" t="s">
        <v>260</v>
      </c>
      <c r="C3" s="4" t="s">
        <v>260</v>
      </c>
      <c r="D3" s="4" t="s">
        <v>260</v>
      </c>
      <c r="E3" s="4" t="s">
        <v>260</v>
      </c>
      <c r="F3" s="4" t="s">
        <v>260</v>
      </c>
      <c r="G3" s="4" t="s">
        <v>260</v>
      </c>
      <c r="H3" s="4" t="s">
        <v>260</v>
      </c>
      <c r="I3" s="4" t="s">
        <v>260</v>
      </c>
      <c r="J3" s="4" t="s">
        <v>260</v>
      </c>
      <c r="K3" s="4" t="s">
        <v>260</v>
      </c>
      <c r="L3" s="4" t="s">
        <v>260</v>
      </c>
      <c r="M3" s="4" t="s">
        <v>260</v>
      </c>
      <c r="N3" s="4" t="s">
        <v>260</v>
      </c>
      <c r="O3" s="4" t="s">
        <v>260</v>
      </c>
      <c r="P3" s="4" t="s">
        <v>260</v>
      </c>
      <c r="Q3" s="4" t="s">
        <v>260</v>
      </c>
      <c r="R3" s="4" t="s">
        <v>260</v>
      </c>
      <c r="S3" s="4" t="s">
        <v>260</v>
      </c>
      <c r="T3" s="4" t="s">
        <v>260</v>
      </c>
      <c r="U3" s="4" t="s">
        <v>260</v>
      </c>
      <c r="V3" s="4" t="s">
        <v>260</v>
      </c>
      <c r="W3" s="4" t="s">
        <v>260</v>
      </c>
      <c r="X3" s="4" t="s">
        <v>260</v>
      </c>
      <c r="Y3" s="4" t="s">
        <v>260</v>
      </c>
      <c r="Z3" s="4" t="s">
        <v>260</v>
      </c>
      <c r="AA3" s="4" t="s">
        <v>260</v>
      </c>
      <c r="AB3" s="4" t="s">
        <v>260</v>
      </c>
      <c r="AC3" s="4" t="s">
        <v>260</v>
      </c>
      <c r="AD3" s="4" t="s">
        <v>260</v>
      </c>
      <c r="AE3" s="4" t="s">
        <v>260</v>
      </c>
      <c r="AF3" s="4" t="s">
        <v>260</v>
      </c>
      <c r="AG3" s="4" t="s">
        <v>260</v>
      </c>
      <c r="AH3" s="4" t="s">
        <v>260</v>
      </c>
      <c r="AI3" s="4" t="s">
        <v>260</v>
      </c>
      <c r="AJ3" s="4" t="s">
        <v>260</v>
      </c>
      <c r="AK3" s="4" t="s">
        <v>260</v>
      </c>
      <c r="AL3" s="4" t="s">
        <v>260</v>
      </c>
      <c r="AM3" s="4" t="s">
        <v>260</v>
      </c>
      <c r="AN3" s="4" t="s">
        <v>260</v>
      </c>
      <c r="AO3" s="4" t="s">
        <v>260</v>
      </c>
      <c r="AP3" s="4" t="s">
        <v>260</v>
      </c>
      <c r="AQ3" s="4" t="s">
        <v>260</v>
      </c>
      <c r="AR3" s="4" t="s">
        <v>260</v>
      </c>
      <c r="AS3" s="4" t="s">
        <v>260</v>
      </c>
      <c r="AT3" s="4" t="s">
        <v>260</v>
      </c>
      <c r="AU3" s="4" t="s">
        <v>260</v>
      </c>
      <c r="AV3" s="4" t="s">
        <v>260</v>
      </c>
      <c r="AW3" s="4" t="s">
        <v>260</v>
      </c>
      <c r="AX3" s="4" t="s">
        <v>260</v>
      </c>
      <c r="AY3" s="4" t="s">
        <v>260</v>
      </c>
      <c r="AZ3" s="4" t="s">
        <v>260</v>
      </c>
      <c r="BA3" s="4" t="s">
        <v>260</v>
      </c>
      <c r="BB3" s="4" t="s">
        <v>260</v>
      </c>
      <c r="BC3" s="4" t="s">
        <v>260</v>
      </c>
      <c r="BD3" s="4" t="s">
        <v>260</v>
      </c>
      <c r="BE3" s="4" t="s">
        <v>260</v>
      </c>
      <c r="BF3" s="4" t="s">
        <v>260</v>
      </c>
      <c r="BG3" s="4" t="s">
        <v>260</v>
      </c>
      <c r="BH3" s="4" t="s">
        <v>260</v>
      </c>
      <c r="BI3" s="4" t="s">
        <v>260</v>
      </c>
      <c r="BJ3" s="4" t="s">
        <v>260</v>
      </c>
      <c r="BK3" s="4" t="s">
        <v>260</v>
      </c>
      <c r="BL3" s="4" t="s">
        <v>260</v>
      </c>
      <c r="BM3" s="4" t="s">
        <v>260</v>
      </c>
      <c r="BN3" s="4" t="s">
        <v>260</v>
      </c>
      <c r="BO3" s="4" t="s">
        <v>260</v>
      </c>
      <c r="BP3" s="4" t="s">
        <v>260</v>
      </c>
      <c r="BQ3" s="4" t="s">
        <v>260</v>
      </c>
      <c r="BR3" s="4" t="s">
        <v>260</v>
      </c>
      <c r="BS3" s="4" t="s">
        <v>260</v>
      </c>
      <c r="BT3" s="4" t="s">
        <v>260</v>
      </c>
      <c r="BU3" s="4" t="s">
        <v>260</v>
      </c>
      <c r="BV3" s="4" t="s">
        <v>260</v>
      </c>
      <c r="BW3" s="4" t="s">
        <v>260</v>
      </c>
      <c r="BX3" s="4" t="s">
        <v>260</v>
      </c>
      <c r="BY3" s="4" t="s">
        <v>260</v>
      </c>
      <c r="BZ3" s="4" t="s">
        <v>260</v>
      </c>
      <c r="CA3" s="4" t="s">
        <v>260</v>
      </c>
      <c r="CB3" s="4" t="s">
        <v>260</v>
      </c>
      <c r="CC3" s="4" t="s">
        <v>260</v>
      </c>
      <c r="CD3" s="4" t="s">
        <v>260</v>
      </c>
      <c r="CE3" s="4" t="s">
        <v>260</v>
      </c>
      <c r="CF3" s="4" t="s">
        <v>260</v>
      </c>
      <c r="CG3" s="4" t="s">
        <v>260</v>
      </c>
      <c r="CH3" s="4" t="s">
        <v>260</v>
      </c>
      <c r="CI3" s="4" t="s">
        <v>260</v>
      </c>
      <c r="CJ3" s="4" t="s">
        <v>260</v>
      </c>
      <c r="CK3" s="4" t="s">
        <v>260</v>
      </c>
      <c r="CL3" s="4" t="s">
        <v>260</v>
      </c>
      <c r="CM3" s="4" t="s">
        <v>260</v>
      </c>
      <c r="CN3" s="4" t="s">
        <v>260</v>
      </c>
      <c r="CO3" s="4" t="s">
        <v>260</v>
      </c>
      <c r="CP3" s="4" t="s">
        <v>260</v>
      </c>
      <c r="CQ3" s="4" t="s">
        <v>260</v>
      </c>
      <c r="CR3" s="4" t="s">
        <v>260</v>
      </c>
      <c r="CS3" s="4" t="s">
        <v>260</v>
      </c>
      <c r="CT3" s="4" t="s">
        <v>260</v>
      </c>
      <c r="CU3" s="4" t="s">
        <v>260</v>
      </c>
      <c r="CV3" s="4" t="s">
        <v>260</v>
      </c>
      <c r="CW3" s="4" t="s">
        <v>260</v>
      </c>
      <c r="CX3" s="4" t="s">
        <v>260</v>
      </c>
      <c r="CY3" s="4" t="s">
        <v>260</v>
      </c>
      <c r="CZ3" s="4" t="s">
        <v>260</v>
      </c>
      <c r="DA3" s="4" t="s">
        <v>260</v>
      </c>
      <c r="DB3" s="4" t="s">
        <v>260</v>
      </c>
      <c r="DC3" s="4" t="s">
        <v>260</v>
      </c>
      <c r="DD3" s="4" t="s">
        <v>260</v>
      </c>
      <c r="DE3" s="4" t="s">
        <v>260</v>
      </c>
      <c r="DF3" s="4" t="s">
        <v>260</v>
      </c>
      <c r="DG3" s="4" t="s">
        <v>260</v>
      </c>
      <c r="DH3" s="4" t="s">
        <v>260</v>
      </c>
      <c r="DI3" s="4" t="s">
        <v>260</v>
      </c>
      <c r="DJ3" s="4" t="s">
        <v>260</v>
      </c>
      <c r="DK3" s="4" t="s">
        <v>260</v>
      </c>
      <c r="DL3" s="4" t="s">
        <v>260</v>
      </c>
      <c r="DM3" s="4" t="s">
        <v>260</v>
      </c>
      <c r="DN3" s="4" t="s">
        <v>260</v>
      </c>
      <c r="DO3" s="4" t="s">
        <v>260</v>
      </c>
      <c r="DP3" s="4" t="s">
        <v>260</v>
      </c>
      <c r="DQ3" s="4" t="s">
        <v>260</v>
      </c>
      <c r="DR3" s="4" t="s">
        <v>260</v>
      </c>
      <c r="DS3" s="4" t="s">
        <v>260</v>
      </c>
      <c r="DT3" s="4" t="s">
        <v>260</v>
      </c>
      <c r="DU3" s="4" t="s">
        <v>260</v>
      </c>
      <c r="DV3" s="4" t="s">
        <v>260</v>
      </c>
      <c r="DW3" s="4" t="s">
        <v>260</v>
      </c>
      <c r="DX3" s="4" t="s">
        <v>260</v>
      </c>
      <c r="DY3" s="4" t="s">
        <v>260</v>
      </c>
      <c r="DZ3" s="4" t="s">
        <v>260</v>
      </c>
      <c r="EA3" s="4" t="s">
        <v>260</v>
      </c>
      <c r="EB3" s="4" t="s">
        <v>260</v>
      </c>
      <c r="EC3" s="4" t="s">
        <v>260</v>
      </c>
      <c r="ED3" s="4" t="s">
        <v>260</v>
      </c>
      <c r="EE3" s="4" t="s">
        <v>260</v>
      </c>
      <c r="EF3" s="4" t="s">
        <v>260</v>
      </c>
      <c r="EG3" s="4" t="s">
        <v>260</v>
      </c>
      <c r="EH3" s="4" t="s">
        <v>260</v>
      </c>
      <c r="EI3" s="4" t="s">
        <v>260</v>
      </c>
      <c r="EJ3" s="4" t="s">
        <v>260</v>
      </c>
      <c r="EK3" s="4" t="s">
        <v>260</v>
      </c>
      <c r="EL3" s="4" t="s">
        <v>260</v>
      </c>
      <c r="EM3" s="4" t="s">
        <v>260</v>
      </c>
      <c r="EN3" s="4" t="s">
        <v>260</v>
      </c>
      <c r="EO3" s="4" t="s">
        <v>260</v>
      </c>
      <c r="EP3" s="4" t="s">
        <v>260</v>
      </c>
      <c r="EQ3" s="4" t="s">
        <v>260</v>
      </c>
      <c r="ER3" s="4" t="s">
        <v>260</v>
      </c>
      <c r="ES3" s="4" t="s">
        <v>260</v>
      </c>
      <c r="ET3" s="4" t="s">
        <v>260</v>
      </c>
      <c r="EU3" s="4" t="s">
        <v>260</v>
      </c>
      <c r="EV3" s="4" t="s">
        <v>260</v>
      </c>
      <c r="EW3" s="4" t="s">
        <v>260</v>
      </c>
      <c r="EX3" s="4" t="s">
        <v>260</v>
      </c>
      <c r="EY3" s="4" t="s">
        <v>260</v>
      </c>
      <c r="EZ3" s="4" t="s">
        <v>260</v>
      </c>
      <c r="FA3" s="4" t="s">
        <v>260</v>
      </c>
      <c r="FB3" s="4" t="s">
        <v>260</v>
      </c>
      <c r="FC3" s="4" t="s">
        <v>260</v>
      </c>
      <c r="FD3" s="4" t="s">
        <v>260</v>
      </c>
      <c r="FE3" s="4" t="s">
        <v>260</v>
      </c>
      <c r="FF3" s="4" t="s">
        <v>260</v>
      </c>
      <c r="FG3" s="4" t="s">
        <v>260</v>
      </c>
      <c r="FH3" s="4" t="s">
        <v>260</v>
      </c>
      <c r="FI3" s="4" t="s">
        <v>260</v>
      </c>
      <c r="FJ3" s="4" t="s">
        <v>260</v>
      </c>
      <c r="FK3" s="4" t="s">
        <v>260</v>
      </c>
      <c r="FL3" s="4" t="s">
        <v>260</v>
      </c>
      <c r="FM3" s="4" t="s">
        <v>260</v>
      </c>
      <c r="FN3" s="4" t="s">
        <v>260</v>
      </c>
      <c r="FO3" s="4" t="s">
        <v>260</v>
      </c>
      <c r="FP3" s="4" t="s">
        <v>260</v>
      </c>
      <c r="FQ3" s="4" t="s">
        <v>260</v>
      </c>
      <c r="FR3" s="4" t="s">
        <v>260</v>
      </c>
      <c r="FS3" s="4" t="s">
        <v>260</v>
      </c>
      <c r="FT3" s="4" t="s">
        <v>260</v>
      </c>
      <c r="FU3" s="4" t="s">
        <v>260</v>
      </c>
      <c r="FV3" s="4" t="s">
        <v>260</v>
      </c>
      <c r="FW3" s="4" t="s">
        <v>260</v>
      </c>
      <c r="FX3" s="4" t="s">
        <v>260</v>
      </c>
      <c r="FY3" s="4" t="s">
        <v>260</v>
      </c>
      <c r="FZ3" s="4" t="s">
        <v>260</v>
      </c>
      <c r="GA3" s="4" t="s">
        <v>260</v>
      </c>
      <c r="GB3" s="4" t="s">
        <v>260</v>
      </c>
      <c r="GC3" s="4" t="s">
        <v>260</v>
      </c>
      <c r="GD3" s="4" t="s">
        <v>260</v>
      </c>
      <c r="GE3" s="4" t="s">
        <v>260</v>
      </c>
      <c r="GF3" s="4" t="s">
        <v>260</v>
      </c>
      <c r="GG3" s="4" t="s">
        <v>260</v>
      </c>
      <c r="GH3" s="4" t="s">
        <v>260</v>
      </c>
      <c r="GI3" s="4" t="s">
        <v>260</v>
      </c>
      <c r="GJ3" s="4" t="s">
        <v>260</v>
      </c>
      <c r="GK3" s="4" t="s">
        <v>260</v>
      </c>
      <c r="GL3" s="4" t="s">
        <v>260</v>
      </c>
      <c r="GM3" s="4" t="s">
        <v>260</v>
      </c>
      <c r="GN3" s="4" t="s">
        <v>260</v>
      </c>
      <c r="GO3" s="4" t="s">
        <v>260</v>
      </c>
      <c r="GP3" s="4" t="s">
        <v>260</v>
      </c>
      <c r="GQ3" s="4" t="s">
        <v>260</v>
      </c>
      <c r="GR3" s="4" t="s">
        <v>260</v>
      </c>
      <c r="GS3" s="4" t="s">
        <v>260</v>
      </c>
      <c r="GT3" s="4" t="s">
        <v>260</v>
      </c>
      <c r="GU3" s="4" t="s">
        <v>260</v>
      </c>
      <c r="GV3" s="4" t="s">
        <v>260</v>
      </c>
      <c r="GW3" s="4" t="s">
        <v>260</v>
      </c>
      <c r="GX3" s="4" t="s">
        <v>260</v>
      </c>
      <c r="GY3" s="4" t="s">
        <v>260</v>
      </c>
      <c r="GZ3" s="4" t="s">
        <v>260</v>
      </c>
      <c r="HA3" s="4" t="s">
        <v>260</v>
      </c>
      <c r="HB3" s="4" t="s">
        <v>260</v>
      </c>
      <c r="HC3" s="4" t="s">
        <v>260</v>
      </c>
      <c r="HD3" s="4" t="s">
        <v>260</v>
      </c>
      <c r="HE3" s="4" t="s">
        <v>260</v>
      </c>
      <c r="HF3" s="4" t="s">
        <v>260</v>
      </c>
      <c r="HG3" s="4" t="s">
        <v>260</v>
      </c>
      <c r="HH3" s="4" t="s">
        <v>260</v>
      </c>
      <c r="HI3" s="4" t="s">
        <v>260</v>
      </c>
      <c r="HJ3" s="4" t="s">
        <v>260</v>
      </c>
      <c r="HK3" s="4" t="s">
        <v>260</v>
      </c>
      <c r="HL3" s="4" t="s">
        <v>260</v>
      </c>
      <c r="HM3" s="4" t="s">
        <v>260</v>
      </c>
      <c r="HN3" s="4" t="s">
        <v>260</v>
      </c>
      <c r="HO3" s="4" t="s">
        <v>260</v>
      </c>
      <c r="HP3" s="4" t="s">
        <v>260</v>
      </c>
      <c r="HQ3" s="4" t="s">
        <v>260</v>
      </c>
      <c r="HR3" s="4" t="s">
        <v>260</v>
      </c>
      <c r="HS3" s="4" t="s">
        <v>260</v>
      </c>
      <c r="HT3" s="4" t="s">
        <v>260</v>
      </c>
      <c r="HU3" s="4" t="s">
        <v>260</v>
      </c>
      <c r="HV3" s="4" t="s">
        <v>260</v>
      </c>
      <c r="HW3" s="4" t="s">
        <v>260</v>
      </c>
      <c r="HX3" s="4" t="s">
        <v>260</v>
      </c>
      <c r="HY3" s="4" t="s">
        <v>260</v>
      </c>
      <c r="HZ3" s="4" t="s">
        <v>260</v>
      </c>
      <c r="IA3" s="4" t="s">
        <v>260</v>
      </c>
      <c r="IB3" s="4" t="s">
        <v>260</v>
      </c>
      <c r="IC3" s="4" t="s">
        <v>260</v>
      </c>
      <c r="ID3" s="4" t="s">
        <v>260</v>
      </c>
      <c r="IE3" s="4" t="s">
        <v>260</v>
      </c>
      <c r="IF3" s="4" t="s">
        <v>260</v>
      </c>
      <c r="IG3" s="4" t="s">
        <v>260</v>
      </c>
      <c r="IH3" s="4" t="s">
        <v>260</v>
      </c>
      <c r="II3" s="4" t="s">
        <v>260</v>
      </c>
      <c r="IJ3" s="4" t="s">
        <v>260</v>
      </c>
      <c r="IK3" s="4" t="s">
        <v>260</v>
      </c>
      <c r="IL3" s="4" t="s">
        <v>260</v>
      </c>
      <c r="IM3" s="4" t="s">
        <v>260</v>
      </c>
      <c r="IN3" s="4" t="s">
        <v>260</v>
      </c>
      <c r="IO3" s="4" t="s">
        <v>260</v>
      </c>
      <c r="IP3" s="4" t="s">
        <v>260</v>
      </c>
      <c r="IQ3" s="4" t="s">
        <v>260</v>
      </c>
    </row>
    <row r="4" spans="1:251">
      <c r="A4" s="54" t="s">
        <v>252</v>
      </c>
      <c r="B4" s="4" t="s">
        <v>261</v>
      </c>
      <c r="C4" s="4" t="s">
        <v>261</v>
      </c>
      <c r="D4" s="4" t="s">
        <v>261</v>
      </c>
      <c r="E4" s="4" t="s">
        <v>261</v>
      </c>
      <c r="F4" s="4" t="s">
        <v>261</v>
      </c>
      <c r="G4" s="4" t="s">
        <v>261</v>
      </c>
      <c r="H4" s="4" t="s">
        <v>261</v>
      </c>
      <c r="I4" s="4" t="s">
        <v>261</v>
      </c>
      <c r="J4" s="4" t="s">
        <v>261</v>
      </c>
      <c r="K4" s="4" t="s">
        <v>261</v>
      </c>
      <c r="L4" s="4" t="s">
        <v>261</v>
      </c>
      <c r="M4" s="4" t="s">
        <v>261</v>
      </c>
      <c r="N4" s="4" t="s">
        <v>261</v>
      </c>
      <c r="O4" s="4" t="s">
        <v>261</v>
      </c>
      <c r="P4" s="4" t="s">
        <v>261</v>
      </c>
      <c r="Q4" s="4" t="s">
        <v>261</v>
      </c>
      <c r="R4" s="4" t="s">
        <v>261</v>
      </c>
      <c r="S4" s="4" t="s">
        <v>261</v>
      </c>
      <c r="T4" s="4" t="s">
        <v>261</v>
      </c>
      <c r="U4" s="4" t="s">
        <v>261</v>
      </c>
      <c r="V4" s="4" t="s">
        <v>261</v>
      </c>
      <c r="W4" s="4" t="s">
        <v>261</v>
      </c>
      <c r="X4" s="4" t="s">
        <v>261</v>
      </c>
      <c r="Y4" s="4" t="s">
        <v>261</v>
      </c>
      <c r="Z4" s="4" t="s">
        <v>261</v>
      </c>
      <c r="AA4" s="4" t="s">
        <v>261</v>
      </c>
      <c r="AB4" s="4" t="s">
        <v>261</v>
      </c>
      <c r="AC4" s="4" t="s">
        <v>261</v>
      </c>
      <c r="AD4" s="4" t="s">
        <v>261</v>
      </c>
      <c r="AE4" s="4" t="s">
        <v>261</v>
      </c>
      <c r="AF4" s="4" t="s">
        <v>261</v>
      </c>
      <c r="AG4" s="4" t="s">
        <v>261</v>
      </c>
      <c r="AH4" s="4" t="s">
        <v>261</v>
      </c>
      <c r="AI4" s="4" t="s">
        <v>261</v>
      </c>
      <c r="AJ4" s="4" t="s">
        <v>261</v>
      </c>
      <c r="AK4" s="4" t="s">
        <v>261</v>
      </c>
      <c r="AL4" s="4" t="s">
        <v>261</v>
      </c>
      <c r="AM4" s="4" t="s">
        <v>261</v>
      </c>
      <c r="AN4" s="4" t="s">
        <v>261</v>
      </c>
      <c r="AO4" s="4" t="s">
        <v>261</v>
      </c>
      <c r="AP4" s="4" t="s">
        <v>261</v>
      </c>
      <c r="AQ4" s="4" t="s">
        <v>261</v>
      </c>
      <c r="AR4" s="4" t="s">
        <v>261</v>
      </c>
      <c r="AS4" s="4" t="s">
        <v>261</v>
      </c>
      <c r="AT4" s="4" t="s">
        <v>261</v>
      </c>
      <c r="AU4" s="4" t="s">
        <v>261</v>
      </c>
      <c r="AV4" s="4" t="s">
        <v>261</v>
      </c>
      <c r="AW4" s="4" t="s">
        <v>261</v>
      </c>
      <c r="AX4" s="4" t="s">
        <v>261</v>
      </c>
      <c r="AY4" s="4" t="s">
        <v>261</v>
      </c>
      <c r="AZ4" s="4" t="s">
        <v>261</v>
      </c>
      <c r="BA4" s="4" t="s">
        <v>261</v>
      </c>
      <c r="BB4" s="4" t="s">
        <v>261</v>
      </c>
      <c r="BC4" s="4" t="s">
        <v>261</v>
      </c>
      <c r="BD4" s="4" t="s">
        <v>261</v>
      </c>
      <c r="BE4" s="4" t="s">
        <v>261</v>
      </c>
      <c r="BF4" s="4" t="s">
        <v>261</v>
      </c>
      <c r="BG4" s="4" t="s">
        <v>261</v>
      </c>
      <c r="BH4" s="4" t="s">
        <v>261</v>
      </c>
      <c r="BI4" s="4" t="s">
        <v>261</v>
      </c>
      <c r="BJ4" s="4" t="s">
        <v>261</v>
      </c>
      <c r="BK4" s="4" t="s">
        <v>261</v>
      </c>
      <c r="BL4" s="4" t="s">
        <v>261</v>
      </c>
      <c r="BM4" s="4" t="s">
        <v>261</v>
      </c>
      <c r="BN4" s="4" t="s">
        <v>261</v>
      </c>
      <c r="BO4" s="4" t="s">
        <v>261</v>
      </c>
      <c r="BP4" s="4" t="s">
        <v>261</v>
      </c>
      <c r="BQ4" s="4" t="s">
        <v>261</v>
      </c>
      <c r="BR4" s="4" t="s">
        <v>261</v>
      </c>
      <c r="BS4" s="4" t="s">
        <v>261</v>
      </c>
      <c r="BT4" s="4" t="s">
        <v>261</v>
      </c>
      <c r="BU4" s="4" t="s">
        <v>261</v>
      </c>
      <c r="BV4" s="4" t="s">
        <v>261</v>
      </c>
      <c r="BW4" s="4" t="s">
        <v>261</v>
      </c>
      <c r="BX4" s="4" t="s">
        <v>261</v>
      </c>
      <c r="BY4" s="4" t="s">
        <v>261</v>
      </c>
      <c r="BZ4" s="4" t="s">
        <v>261</v>
      </c>
      <c r="CA4" s="4" t="s">
        <v>261</v>
      </c>
      <c r="CB4" s="4" t="s">
        <v>261</v>
      </c>
      <c r="CC4" s="4" t="s">
        <v>261</v>
      </c>
      <c r="CD4" s="4" t="s">
        <v>261</v>
      </c>
      <c r="CE4" s="4" t="s">
        <v>261</v>
      </c>
      <c r="CF4" s="4" t="s">
        <v>261</v>
      </c>
      <c r="CG4" s="4" t="s">
        <v>261</v>
      </c>
      <c r="CH4" s="4" t="s">
        <v>261</v>
      </c>
      <c r="CI4" s="4" t="s">
        <v>261</v>
      </c>
      <c r="CJ4" s="4" t="s">
        <v>261</v>
      </c>
      <c r="CK4" s="4" t="s">
        <v>261</v>
      </c>
      <c r="CL4" s="4" t="s">
        <v>261</v>
      </c>
      <c r="CM4" s="4" t="s">
        <v>261</v>
      </c>
      <c r="CN4" s="4" t="s">
        <v>261</v>
      </c>
      <c r="CO4" s="4" t="s">
        <v>261</v>
      </c>
      <c r="CP4" s="4" t="s">
        <v>261</v>
      </c>
      <c r="CQ4" s="4" t="s">
        <v>261</v>
      </c>
      <c r="CR4" s="4" t="s">
        <v>261</v>
      </c>
      <c r="CS4" s="4" t="s">
        <v>261</v>
      </c>
      <c r="CT4" s="4" t="s">
        <v>261</v>
      </c>
      <c r="CU4" s="4" t="s">
        <v>261</v>
      </c>
      <c r="CV4" s="4" t="s">
        <v>261</v>
      </c>
      <c r="CW4" s="4" t="s">
        <v>261</v>
      </c>
      <c r="CX4" s="4" t="s">
        <v>261</v>
      </c>
      <c r="CY4" s="4" t="s">
        <v>261</v>
      </c>
      <c r="CZ4" s="4" t="s">
        <v>261</v>
      </c>
      <c r="DA4" s="4" t="s">
        <v>261</v>
      </c>
      <c r="DB4" s="4" t="s">
        <v>261</v>
      </c>
      <c r="DC4" s="4" t="s">
        <v>261</v>
      </c>
      <c r="DD4" s="4" t="s">
        <v>261</v>
      </c>
      <c r="DE4" s="4" t="s">
        <v>261</v>
      </c>
      <c r="DF4" s="4" t="s">
        <v>261</v>
      </c>
      <c r="DG4" s="4" t="s">
        <v>261</v>
      </c>
      <c r="DH4" s="4" t="s">
        <v>261</v>
      </c>
      <c r="DI4" s="4" t="s">
        <v>261</v>
      </c>
      <c r="DJ4" s="4" t="s">
        <v>261</v>
      </c>
      <c r="DK4" s="4" t="s">
        <v>261</v>
      </c>
      <c r="DL4" s="4" t="s">
        <v>261</v>
      </c>
      <c r="DM4" s="4" t="s">
        <v>261</v>
      </c>
      <c r="DN4" s="4" t="s">
        <v>261</v>
      </c>
      <c r="DO4" s="4" t="s">
        <v>261</v>
      </c>
      <c r="DP4" s="4" t="s">
        <v>261</v>
      </c>
      <c r="DQ4" s="4" t="s">
        <v>261</v>
      </c>
      <c r="DR4" s="4" t="s">
        <v>261</v>
      </c>
      <c r="DS4" s="4" t="s">
        <v>261</v>
      </c>
      <c r="DT4" s="4" t="s">
        <v>261</v>
      </c>
      <c r="DU4" s="4" t="s">
        <v>261</v>
      </c>
      <c r="DV4" s="4" t="s">
        <v>261</v>
      </c>
      <c r="DW4" s="4" t="s">
        <v>261</v>
      </c>
      <c r="DX4" s="4" t="s">
        <v>261</v>
      </c>
      <c r="DY4" s="4" t="s">
        <v>261</v>
      </c>
      <c r="DZ4" s="4" t="s">
        <v>261</v>
      </c>
      <c r="EA4" s="4" t="s">
        <v>261</v>
      </c>
      <c r="EB4" s="4" t="s">
        <v>261</v>
      </c>
      <c r="EC4" s="4" t="s">
        <v>261</v>
      </c>
      <c r="ED4" s="4" t="s">
        <v>261</v>
      </c>
      <c r="EE4" s="4" t="s">
        <v>261</v>
      </c>
      <c r="EF4" s="4" t="s">
        <v>261</v>
      </c>
      <c r="EG4" s="4" t="s">
        <v>261</v>
      </c>
      <c r="EH4" s="4" t="s">
        <v>261</v>
      </c>
      <c r="EI4" s="4" t="s">
        <v>261</v>
      </c>
      <c r="EJ4" s="4" t="s">
        <v>261</v>
      </c>
      <c r="EK4" s="4" t="s">
        <v>261</v>
      </c>
      <c r="EL4" s="4" t="s">
        <v>261</v>
      </c>
      <c r="EM4" s="4" t="s">
        <v>261</v>
      </c>
      <c r="EN4" s="4" t="s">
        <v>261</v>
      </c>
      <c r="EO4" s="4" t="s">
        <v>261</v>
      </c>
      <c r="EP4" s="4" t="s">
        <v>261</v>
      </c>
      <c r="EQ4" s="4" t="s">
        <v>261</v>
      </c>
      <c r="ER4" s="4" t="s">
        <v>261</v>
      </c>
      <c r="ES4" s="4" t="s">
        <v>261</v>
      </c>
      <c r="ET4" s="4" t="s">
        <v>261</v>
      </c>
      <c r="EU4" s="4" t="s">
        <v>261</v>
      </c>
      <c r="EV4" s="4" t="s">
        <v>261</v>
      </c>
      <c r="EW4" s="4" t="s">
        <v>261</v>
      </c>
      <c r="EX4" s="4" t="s">
        <v>261</v>
      </c>
      <c r="EY4" s="4" t="s">
        <v>261</v>
      </c>
      <c r="EZ4" s="4" t="s">
        <v>261</v>
      </c>
      <c r="FA4" s="4" t="s">
        <v>261</v>
      </c>
      <c r="FB4" s="4" t="s">
        <v>261</v>
      </c>
      <c r="FC4" s="4" t="s">
        <v>261</v>
      </c>
      <c r="FD4" s="4" t="s">
        <v>261</v>
      </c>
      <c r="FE4" s="4" t="s">
        <v>261</v>
      </c>
      <c r="FF4" s="4" t="s">
        <v>261</v>
      </c>
      <c r="FG4" s="4" t="s">
        <v>261</v>
      </c>
      <c r="FH4" s="4" t="s">
        <v>261</v>
      </c>
      <c r="FI4" s="4" t="s">
        <v>261</v>
      </c>
      <c r="FJ4" s="4" t="s">
        <v>261</v>
      </c>
      <c r="FK4" s="4" t="s">
        <v>261</v>
      </c>
      <c r="FL4" s="4" t="s">
        <v>261</v>
      </c>
      <c r="FM4" s="4" t="s">
        <v>261</v>
      </c>
      <c r="FN4" s="4" t="s">
        <v>261</v>
      </c>
      <c r="FO4" s="4" t="s">
        <v>261</v>
      </c>
      <c r="FP4" s="4" t="s">
        <v>261</v>
      </c>
      <c r="FQ4" s="4" t="s">
        <v>261</v>
      </c>
      <c r="FR4" s="4" t="s">
        <v>261</v>
      </c>
      <c r="FS4" s="4" t="s">
        <v>261</v>
      </c>
      <c r="FT4" s="4" t="s">
        <v>261</v>
      </c>
      <c r="FU4" s="4" t="s">
        <v>261</v>
      </c>
      <c r="FV4" s="4" t="s">
        <v>261</v>
      </c>
      <c r="FW4" s="4" t="s">
        <v>261</v>
      </c>
      <c r="FX4" s="4" t="s">
        <v>261</v>
      </c>
      <c r="FY4" s="4" t="s">
        <v>261</v>
      </c>
      <c r="FZ4" s="4" t="s">
        <v>261</v>
      </c>
      <c r="GA4" s="4" t="s">
        <v>261</v>
      </c>
      <c r="GB4" s="4" t="s">
        <v>261</v>
      </c>
      <c r="GC4" s="4" t="s">
        <v>261</v>
      </c>
      <c r="GD4" s="4" t="s">
        <v>261</v>
      </c>
      <c r="GE4" s="4" t="s">
        <v>261</v>
      </c>
      <c r="GF4" s="4" t="s">
        <v>261</v>
      </c>
      <c r="GG4" s="4" t="s">
        <v>261</v>
      </c>
      <c r="GH4" s="4" t="s">
        <v>261</v>
      </c>
      <c r="GI4" s="4" t="s">
        <v>261</v>
      </c>
      <c r="GJ4" s="4" t="s">
        <v>261</v>
      </c>
      <c r="GK4" s="4" t="s">
        <v>261</v>
      </c>
      <c r="GL4" s="4" t="s">
        <v>261</v>
      </c>
      <c r="GM4" s="4" t="s">
        <v>261</v>
      </c>
      <c r="GN4" s="4" t="s">
        <v>261</v>
      </c>
      <c r="GO4" s="4" t="s">
        <v>261</v>
      </c>
      <c r="GP4" s="4" t="s">
        <v>261</v>
      </c>
      <c r="GQ4" s="4" t="s">
        <v>261</v>
      </c>
      <c r="GR4" s="4" t="s">
        <v>261</v>
      </c>
      <c r="GS4" s="4" t="s">
        <v>261</v>
      </c>
      <c r="GT4" s="4" t="s">
        <v>261</v>
      </c>
      <c r="GU4" s="4" t="s">
        <v>261</v>
      </c>
      <c r="GV4" s="4" t="s">
        <v>261</v>
      </c>
      <c r="GW4" s="4" t="s">
        <v>261</v>
      </c>
      <c r="GX4" s="4" t="s">
        <v>261</v>
      </c>
      <c r="GY4" s="4" t="s">
        <v>261</v>
      </c>
      <c r="GZ4" s="4" t="s">
        <v>261</v>
      </c>
      <c r="HA4" s="4" t="s">
        <v>261</v>
      </c>
      <c r="HB4" s="4" t="s">
        <v>261</v>
      </c>
      <c r="HC4" s="4" t="s">
        <v>261</v>
      </c>
      <c r="HD4" s="4" t="s">
        <v>261</v>
      </c>
      <c r="HE4" s="4" t="s">
        <v>261</v>
      </c>
      <c r="HF4" s="4" t="s">
        <v>261</v>
      </c>
      <c r="HG4" s="4" t="s">
        <v>261</v>
      </c>
      <c r="HH4" s="4" t="s">
        <v>261</v>
      </c>
      <c r="HI4" s="4" t="s">
        <v>261</v>
      </c>
      <c r="HJ4" s="4" t="s">
        <v>261</v>
      </c>
      <c r="HK4" s="4" t="s">
        <v>261</v>
      </c>
      <c r="HL4" s="4" t="s">
        <v>261</v>
      </c>
      <c r="HM4" s="4" t="s">
        <v>261</v>
      </c>
      <c r="HN4" s="4" t="s">
        <v>261</v>
      </c>
      <c r="HO4" s="4" t="s">
        <v>261</v>
      </c>
      <c r="HP4" s="4" t="s">
        <v>261</v>
      </c>
      <c r="HQ4" s="4" t="s">
        <v>261</v>
      </c>
      <c r="HR4" s="4" t="s">
        <v>261</v>
      </c>
      <c r="HS4" s="4" t="s">
        <v>261</v>
      </c>
      <c r="HT4" s="4" t="s">
        <v>261</v>
      </c>
      <c r="HU4" s="4" t="s">
        <v>261</v>
      </c>
      <c r="HV4" s="4" t="s">
        <v>261</v>
      </c>
      <c r="HW4" s="4" t="s">
        <v>261</v>
      </c>
      <c r="HX4" s="4" t="s">
        <v>261</v>
      </c>
      <c r="HY4" s="4" t="s">
        <v>261</v>
      </c>
      <c r="HZ4" s="4" t="s">
        <v>261</v>
      </c>
      <c r="IA4" s="4" t="s">
        <v>261</v>
      </c>
      <c r="IB4" s="4" t="s">
        <v>261</v>
      </c>
      <c r="IC4" s="4" t="s">
        <v>261</v>
      </c>
      <c r="ID4" s="4" t="s">
        <v>261</v>
      </c>
      <c r="IE4" s="4" t="s">
        <v>261</v>
      </c>
      <c r="IF4" s="4" t="s">
        <v>261</v>
      </c>
      <c r="IG4" s="4" t="s">
        <v>261</v>
      </c>
      <c r="IH4" s="4" t="s">
        <v>261</v>
      </c>
      <c r="II4" s="4" t="s">
        <v>261</v>
      </c>
      <c r="IJ4" s="4" t="s">
        <v>261</v>
      </c>
      <c r="IK4" s="4" t="s">
        <v>261</v>
      </c>
      <c r="IL4" s="4" t="s">
        <v>261</v>
      </c>
      <c r="IM4" s="4" t="s">
        <v>261</v>
      </c>
      <c r="IN4" s="4" t="s">
        <v>261</v>
      </c>
      <c r="IO4" s="4" t="s">
        <v>261</v>
      </c>
      <c r="IP4" s="4" t="s">
        <v>261</v>
      </c>
      <c r="IQ4" s="4" t="s">
        <v>261</v>
      </c>
    </row>
    <row r="5" spans="1:251">
      <c r="A5" s="54" t="s">
        <v>253</v>
      </c>
      <c r="B5" s="4" t="s">
        <v>262</v>
      </c>
      <c r="C5" s="4" t="s">
        <v>262</v>
      </c>
      <c r="D5" s="4" t="s">
        <v>262</v>
      </c>
      <c r="E5" s="4" t="s">
        <v>262</v>
      </c>
      <c r="F5" s="4" t="s">
        <v>262</v>
      </c>
      <c r="G5" s="4" t="s">
        <v>262</v>
      </c>
      <c r="H5" s="4" t="s">
        <v>262</v>
      </c>
      <c r="I5" s="4" t="s">
        <v>262</v>
      </c>
      <c r="J5" s="4" t="s">
        <v>262</v>
      </c>
      <c r="K5" s="4" t="s">
        <v>262</v>
      </c>
      <c r="L5" s="4" t="s">
        <v>262</v>
      </c>
      <c r="M5" s="4" t="s">
        <v>262</v>
      </c>
      <c r="N5" s="4" t="s">
        <v>262</v>
      </c>
      <c r="O5" s="4" t="s">
        <v>262</v>
      </c>
      <c r="P5" s="4" t="s">
        <v>262</v>
      </c>
      <c r="Q5" s="4" t="s">
        <v>262</v>
      </c>
      <c r="R5" s="4" t="s">
        <v>262</v>
      </c>
      <c r="S5" s="4" t="s">
        <v>262</v>
      </c>
      <c r="T5" s="4" t="s">
        <v>262</v>
      </c>
      <c r="U5" s="4" t="s">
        <v>262</v>
      </c>
      <c r="V5" s="4" t="s">
        <v>262</v>
      </c>
      <c r="W5" s="4" t="s">
        <v>262</v>
      </c>
      <c r="X5" s="4" t="s">
        <v>262</v>
      </c>
      <c r="Y5" s="4" t="s">
        <v>262</v>
      </c>
      <c r="Z5" s="4" t="s">
        <v>262</v>
      </c>
      <c r="AA5" s="4" t="s">
        <v>262</v>
      </c>
      <c r="AB5" s="4" t="s">
        <v>262</v>
      </c>
      <c r="AC5" s="4" t="s">
        <v>262</v>
      </c>
      <c r="AD5" s="4" t="s">
        <v>262</v>
      </c>
      <c r="AE5" s="4" t="s">
        <v>262</v>
      </c>
      <c r="AF5" s="4" t="s">
        <v>262</v>
      </c>
      <c r="AG5" s="4" t="s">
        <v>262</v>
      </c>
      <c r="AH5" s="4" t="s">
        <v>262</v>
      </c>
      <c r="AI5" s="4" t="s">
        <v>262</v>
      </c>
      <c r="AJ5" s="4" t="s">
        <v>262</v>
      </c>
      <c r="AK5" s="4" t="s">
        <v>262</v>
      </c>
      <c r="AL5" s="4" t="s">
        <v>262</v>
      </c>
      <c r="AM5" s="4" t="s">
        <v>262</v>
      </c>
      <c r="AN5" s="4" t="s">
        <v>262</v>
      </c>
      <c r="AO5" s="4" t="s">
        <v>262</v>
      </c>
      <c r="AP5" s="4" t="s">
        <v>262</v>
      </c>
      <c r="AQ5" s="4" t="s">
        <v>262</v>
      </c>
      <c r="AR5" s="4" t="s">
        <v>262</v>
      </c>
      <c r="AS5" s="4" t="s">
        <v>262</v>
      </c>
      <c r="AT5" s="4" t="s">
        <v>262</v>
      </c>
      <c r="AU5" s="4" t="s">
        <v>262</v>
      </c>
      <c r="AV5" s="4" t="s">
        <v>262</v>
      </c>
      <c r="AW5" s="4" t="s">
        <v>262</v>
      </c>
      <c r="AX5" s="4" t="s">
        <v>262</v>
      </c>
      <c r="AY5" s="4" t="s">
        <v>262</v>
      </c>
      <c r="AZ5" s="4" t="s">
        <v>262</v>
      </c>
      <c r="BA5" s="4" t="s">
        <v>262</v>
      </c>
      <c r="BB5" s="4" t="s">
        <v>262</v>
      </c>
      <c r="BC5" s="4" t="s">
        <v>262</v>
      </c>
      <c r="BD5" s="4" t="s">
        <v>262</v>
      </c>
      <c r="BE5" s="4" t="s">
        <v>262</v>
      </c>
      <c r="BF5" s="4" t="s">
        <v>262</v>
      </c>
      <c r="BG5" s="4" t="s">
        <v>262</v>
      </c>
      <c r="BH5" s="4" t="s">
        <v>262</v>
      </c>
      <c r="BI5" s="4" t="s">
        <v>262</v>
      </c>
      <c r="BJ5" s="4" t="s">
        <v>262</v>
      </c>
      <c r="BK5" s="4" t="s">
        <v>262</v>
      </c>
      <c r="BL5" s="4" t="s">
        <v>262</v>
      </c>
      <c r="BM5" s="4" t="s">
        <v>262</v>
      </c>
      <c r="BN5" s="4" t="s">
        <v>262</v>
      </c>
      <c r="BO5" s="4" t="s">
        <v>262</v>
      </c>
      <c r="BP5" s="4" t="s">
        <v>262</v>
      </c>
      <c r="BQ5" s="4" t="s">
        <v>262</v>
      </c>
      <c r="BR5" s="4" t="s">
        <v>262</v>
      </c>
      <c r="BS5" s="4" t="s">
        <v>262</v>
      </c>
      <c r="BT5" s="4" t="s">
        <v>262</v>
      </c>
      <c r="BU5" s="4" t="s">
        <v>262</v>
      </c>
      <c r="BV5" s="4" t="s">
        <v>262</v>
      </c>
      <c r="BW5" s="4" t="s">
        <v>262</v>
      </c>
      <c r="BX5" s="4" t="s">
        <v>262</v>
      </c>
      <c r="BY5" s="4" t="s">
        <v>262</v>
      </c>
      <c r="BZ5" s="4" t="s">
        <v>262</v>
      </c>
      <c r="CA5" s="4" t="s">
        <v>262</v>
      </c>
      <c r="CB5" s="4" t="s">
        <v>262</v>
      </c>
      <c r="CC5" s="4" t="s">
        <v>262</v>
      </c>
      <c r="CD5" s="4" t="s">
        <v>262</v>
      </c>
      <c r="CE5" s="4" t="s">
        <v>262</v>
      </c>
      <c r="CF5" s="4" t="s">
        <v>262</v>
      </c>
      <c r="CG5" s="4" t="s">
        <v>262</v>
      </c>
      <c r="CH5" s="4" t="s">
        <v>262</v>
      </c>
      <c r="CI5" s="4" t="s">
        <v>262</v>
      </c>
      <c r="CJ5" s="4" t="s">
        <v>262</v>
      </c>
      <c r="CK5" s="4" t="s">
        <v>262</v>
      </c>
      <c r="CL5" s="4" t="s">
        <v>262</v>
      </c>
      <c r="CM5" s="4" t="s">
        <v>262</v>
      </c>
      <c r="CN5" s="4" t="s">
        <v>262</v>
      </c>
      <c r="CO5" s="4" t="s">
        <v>262</v>
      </c>
      <c r="CP5" s="4" t="s">
        <v>262</v>
      </c>
      <c r="CQ5" s="4" t="s">
        <v>262</v>
      </c>
      <c r="CR5" s="4" t="s">
        <v>262</v>
      </c>
      <c r="CS5" s="4" t="s">
        <v>262</v>
      </c>
      <c r="CT5" s="4" t="s">
        <v>262</v>
      </c>
      <c r="CU5" s="4" t="s">
        <v>262</v>
      </c>
      <c r="CV5" s="4" t="s">
        <v>262</v>
      </c>
      <c r="CW5" s="4" t="s">
        <v>262</v>
      </c>
      <c r="CX5" s="4" t="s">
        <v>262</v>
      </c>
      <c r="CY5" s="4" t="s">
        <v>262</v>
      </c>
      <c r="CZ5" s="4" t="s">
        <v>262</v>
      </c>
      <c r="DA5" s="4" t="s">
        <v>262</v>
      </c>
      <c r="DB5" s="4" t="s">
        <v>262</v>
      </c>
      <c r="DC5" s="4" t="s">
        <v>262</v>
      </c>
      <c r="DD5" s="4" t="s">
        <v>262</v>
      </c>
      <c r="DE5" s="4" t="s">
        <v>262</v>
      </c>
      <c r="DF5" s="4" t="s">
        <v>262</v>
      </c>
      <c r="DG5" s="4" t="s">
        <v>262</v>
      </c>
      <c r="DH5" s="4" t="s">
        <v>262</v>
      </c>
      <c r="DI5" s="4" t="s">
        <v>262</v>
      </c>
      <c r="DJ5" s="4" t="s">
        <v>262</v>
      </c>
      <c r="DK5" s="4" t="s">
        <v>262</v>
      </c>
      <c r="DL5" s="4" t="s">
        <v>262</v>
      </c>
      <c r="DM5" s="4" t="s">
        <v>262</v>
      </c>
      <c r="DN5" s="4" t="s">
        <v>262</v>
      </c>
      <c r="DO5" s="4" t="s">
        <v>262</v>
      </c>
      <c r="DP5" s="4" t="s">
        <v>262</v>
      </c>
      <c r="DQ5" s="4" t="s">
        <v>262</v>
      </c>
      <c r="DR5" s="4" t="s">
        <v>262</v>
      </c>
      <c r="DS5" s="4" t="s">
        <v>262</v>
      </c>
      <c r="DT5" s="4" t="s">
        <v>262</v>
      </c>
      <c r="DU5" s="4" t="s">
        <v>262</v>
      </c>
      <c r="DV5" s="4" t="s">
        <v>262</v>
      </c>
      <c r="DW5" s="4" t="s">
        <v>262</v>
      </c>
      <c r="DX5" s="4" t="s">
        <v>262</v>
      </c>
      <c r="DY5" s="4" t="s">
        <v>262</v>
      </c>
      <c r="DZ5" s="4" t="s">
        <v>262</v>
      </c>
      <c r="EA5" s="4" t="s">
        <v>262</v>
      </c>
      <c r="EB5" s="4" t="s">
        <v>262</v>
      </c>
      <c r="EC5" s="4" t="s">
        <v>262</v>
      </c>
      <c r="ED5" s="4" t="s">
        <v>262</v>
      </c>
      <c r="EE5" s="4" t="s">
        <v>262</v>
      </c>
      <c r="EF5" s="4" t="s">
        <v>262</v>
      </c>
      <c r="EG5" s="4" t="s">
        <v>262</v>
      </c>
      <c r="EH5" s="4" t="s">
        <v>262</v>
      </c>
      <c r="EI5" s="4" t="s">
        <v>262</v>
      </c>
      <c r="EJ5" s="4" t="s">
        <v>262</v>
      </c>
      <c r="EK5" s="4" t="s">
        <v>262</v>
      </c>
      <c r="EL5" s="4" t="s">
        <v>262</v>
      </c>
      <c r="EM5" s="4" t="s">
        <v>262</v>
      </c>
      <c r="EN5" s="4" t="s">
        <v>262</v>
      </c>
      <c r="EO5" s="4" t="s">
        <v>262</v>
      </c>
      <c r="EP5" s="4" t="s">
        <v>262</v>
      </c>
      <c r="EQ5" s="4" t="s">
        <v>262</v>
      </c>
      <c r="ER5" s="4" t="s">
        <v>262</v>
      </c>
      <c r="ES5" s="4" t="s">
        <v>262</v>
      </c>
      <c r="ET5" s="4" t="s">
        <v>262</v>
      </c>
      <c r="EU5" s="4" t="s">
        <v>262</v>
      </c>
      <c r="EV5" s="4" t="s">
        <v>262</v>
      </c>
      <c r="EW5" s="4" t="s">
        <v>262</v>
      </c>
      <c r="EX5" s="4" t="s">
        <v>262</v>
      </c>
      <c r="EY5" s="4" t="s">
        <v>262</v>
      </c>
      <c r="EZ5" s="4" t="s">
        <v>262</v>
      </c>
      <c r="FA5" s="4" t="s">
        <v>262</v>
      </c>
      <c r="FB5" s="4" t="s">
        <v>262</v>
      </c>
      <c r="FC5" s="4" t="s">
        <v>262</v>
      </c>
      <c r="FD5" s="4" t="s">
        <v>262</v>
      </c>
      <c r="FE5" s="4" t="s">
        <v>262</v>
      </c>
      <c r="FF5" s="4" t="s">
        <v>262</v>
      </c>
      <c r="FG5" s="4" t="s">
        <v>262</v>
      </c>
      <c r="FH5" s="4" t="s">
        <v>262</v>
      </c>
      <c r="FI5" s="4" t="s">
        <v>262</v>
      </c>
      <c r="FJ5" s="4" t="s">
        <v>262</v>
      </c>
      <c r="FK5" s="4" t="s">
        <v>262</v>
      </c>
      <c r="FL5" s="4" t="s">
        <v>262</v>
      </c>
      <c r="FM5" s="4" t="s">
        <v>262</v>
      </c>
      <c r="FN5" s="4" t="s">
        <v>262</v>
      </c>
      <c r="FO5" s="4" t="s">
        <v>262</v>
      </c>
      <c r="FP5" s="4" t="s">
        <v>262</v>
      </c>
      <c r="FQ5" s="4" t="s">
        <v>262</v>
      </c>
      <c r="FR5" s="4" t="s">
        <v>262</v>
      </c>
      <c r="FS5" s="4" t="s">
        <v>262</v>
      </c>
      <c r="FT5" s="4" t="s">
        <v>262</v>
      </c>
      <c r="FU5" s="4" t="s">
        <v>262</v>
      </c>
      <c r="FV5" s="4" t="s">
        <v>262</v>
      </c>
      <c r="FW5" s="4" t="s">
        <v>262</v>
      </c>
      <c r="FX5" s="4" t="s">
        <v>262</v>
      </c>
      <c r="FY5" s="4" t="s">
        <v>262</v>
      </c>
      <c r="FZ5" s="4" t="s">
        <v>262</v>
      </c>
      <c r="GA5" s="4" t="s">
        <v>262</v>
      </c>
      <c r="GB5" s="4" t="s">
        <v>262</v>
      </c>
      <c r="GC5" s="4" t="s">
        <v>262</v>
      </c>
      <c r="GD5" s="4" t="s">
        <v>262</v>
      </c>
      <c r="GE5" s="4" t="s">
        <v>262</v>
      </c>
      <c r="GF5" s="4" t="s">
        <v>262</v>
      </c>
      <c r="GG5" s="4" t="s">
        <v>262</v>
      </c>
      <c r="GH5" s="4" t="s">
        <v>262</v>
      </c>
      <c r="GI5" s="4" t="s">
        <v>262</v>
      </c>
      <c r="GJ5" s="4" t="s">
        <v>262</v>
      </c>
      <c r="GK5" s="4" t="s">
        <v>262</v>
      </c>
      <c r="GL5" s="4" t="s">
        <v>262</v>
      </c>
      <c r="GM5" s="4" t="s">
        <v>262</v>
      </c>
      <c r="GN5" s="4" t="s">
        <v>262</v>
      </c>
      <c r="GO5" s="4" t="s">
        <v>262</v>
      </c>
      <c r="GP5" s="4" t="s">
        <v>262</v>
      </c>
      <c r="GQ5" s="4" t="s">
        <v>262</v>
      </c>
      <c r="GR5" s="4" t="s">
        <v>262</v>
      </c>
      <c r="GS5" s="4" t="s">
        <v>262</v>
      </c>
      <c r="GT5" s="4" t="s">
        <v>262</v>
      </c>
      <c r="GU5" s="4" t="s">
        <v>262</v>
      </c>
      <c r="GV5" s="4" t="s">
        <v>262</v>
      </c>
      <c r="GW5" s="4" t="s">
        <v>262</v>
      </c>
      <c r="GX5" s="4" t="s">
        <v>262</v>
      </c>
      <c r="GY5" s="4" t="s">
        <v>262</v>
      </c>
      <c r="GZ5" s="4" t="s">
        <v>262</v>
      </c>
      <c r="HA5" s="4" t="s">
        <v>262</v>
      </c>
      <c r="HB5" s="4" t="s">
        <v>262</v>
      </c>
      <c r="HC5" s="4" t="s">
        <v>262</v>
      </c>
      <c r="HD5" s="4" t="s">
        <v>262</v>
      </c>
      <c r="HE5" s="4" t="s">
        <v>262</v>
      </c>
      <c r="HF5" s="4" t="s">
        <v>262</v>
      </c>
      <c r="HG5" s="4" t="s">
        <v>262</v>
      </c>
      <c r="HH5" s="4" t="s">
        <v>262</v>
      </c>
      <c r="HI5" s="4" t="s">
        <v>262</v>
      </c>
      <c r="HJ5" s="4" t="s">
        <v>262</v>
      </c>
      <c r="HK5" s="4" t="s">
        <v>262</v>
      </c>
      <c r="HL5" s="4" t="s">
        <v>262</v>
      </c>
      <c r="HM5" s="4" t="s">
        <v>262</v>
      </c>
      <c r="HN5" s="4" t="s">
        <v>262</v>
      </c>
      <c r="HO5" s="4" t="s">
        <v>262</v>
      </c>
      <c r="HP5" s="4" t="s">
        <v>262</v>
      </c>
      <c r="HQ5" s="4" t="s">
        <v>262</v>
      </c>
      <c r="HR5" s="4" t="s">
        <v>262</v>
      </c>
      <c r="HS5" s="4" t="s">
        <v>262</v>
      </c>
      <c r="HT5" s="4" t="s">
        <v>262</v>
      </c>
      <c r="HU5" s="4" t="s">
        <v>262</v>
      </c>
      <c r="HV5" s="4" t="s">
        <v>262</v>
      </c>
      <c r="HW5" s="4" t="s">
        <v>262</v>
      </c>
      <c r="HX5" s="4" t="s">
        <v>262</v>
      </c>
      <c r="HY5" s="4" t="s">
        <v>262</v>
      </c>
      <c r="HZ5" s="4" t="s">
        <v>262</v>
      </c>
      <c r="IA5" s="4" t="s">
        <v>262</v>
      </c>
      <c r="IB5" s="4" t="s">
        <v>262</v>
      </c>
      <c r="IC5" s="4" t="s">
        <v>262</v>
      </c>
      <c r="ID5" s="4" t="s">
        <v>262</v>
      </c>
      <c r="IE5" s="4" t="s">
        <v>262</v>
      </c>
      <c r="IF5" s="4" t="s">
        <v>262</v>
      </c>
      <c r="IG5" s="4" t="s">
        <v>262</v>
      </c>
      <c r="IH5" s="4" t="s">
        <v>262</v>
      </c>
      <c r="II5" s="4" t="s">
        <v>262</v>
      </c>
      <c r="IJ5" s="4" t="s">
        <v>262</v>
      </c>
      <c r="IK5" s="4" t="s">
        <v>262</v>
      </c>
      <c r="IL5" s="4" t="s">
        <v>262</v>
      </c>
      <c r="IM5" s="4" t="s">
        <v>262</v>
      </c>
      <c r="IN5" s="4" t="s">
        <v>262</v>
      </c>
      <c r="IO5" s="4" t="s">
        <v>262</v>
      </c>
      <c r="IP5" s="4" t="s">
        <v>262</v>
      </c>
      <c r="IQ5" s="4" t="s">
        <v>262</v>
      </c>
    </row>
    <row r="6" spans="1:251">
      <c r="A6" s="54" t="s">
        <v>254</v>
      </c>
      <c r="B6" s="55">
        <v>1</v>
      </c>
      <c r="C6" s="55">
        <v>1</v>
      </c>
      <c r="D6" s="55">
        <v>1</v>
      </c>
      <c r="E6" s="55">
        <v>1</v>
      </c>
      <c r="F6" s="55">
        <v>1</v>
      </c>
      <c r="G6" s="55">
        <v>1</v>
      </c>
      <c r="H6" s="55">
        <v>1</v>
      </c>
      <c r="I6" s="55">
        <v>1</v>
      </c>
      <c r="J6" s="55">
        <v>1</v>
      </c>
      <c r="K6" s="55">
        <v>1</v>
      </c>
      <c r="L6" s="55">
        <v>1</v>
      </c>
      <c r="M6" s="55">
        <v>1</v>
      </c>
      <c r="N6" s="55">
        <v>1</v>
      </c>
      <c r="O6" s="55">
        <v>1</v>
      </c>
      <c r="P6" s="55">
        <v>1</v>
      </c>
      <c r="Q6" s="55">
        <v>1</v>
      </c>
      <c r="R6" s="55">
        <v>1</v>
      </c>
      <c r="S6" s="55">
        <v>1</v>
      </c>
      <c r="T6" s="55">
        <v>1</v>
      </c>
      <c r="U6" s="55">
        <v>1</v>
      </c>
      <c r="V6" s="55">
        <v>1</v>
      </c>
      <c r="W6" s="55">
        <v>1</v>
      </c>
      <c r="X6" s="55">
        <v>1</v>
      </c>
      <c r="Y6" s="55">
        <v>1</v>
      </c>
      <c r="Z6" s="55">
        <v>1</v>
      </c>
      <c r="AA6" s="55">
        <v>1</v>
      </c>
      <c r="AB6" s="55">
        <v>1</v>
      </c>
      <c r="AC6" s="55">
        <v>1</v>
      </c>
      <c r="AD6" s="55">
        <v>1</v>
      </c>
      <c r="AE6" s="55">
        <v>1</v>
      </c>
      <c r="AF6" s="55">
        <v>1</v>
      </c>
      <c r="AG6" s="55">
        <v>1</v>
      </c>
      <c r="AH6" s="55">
        <v>1</v>
      </c>
      <c r="AI6" s="55">
        <v>1</v>
      </c>
      <c r="AJ6" s="55">
        <v>1</v>
      </c>
      <c r="AK6" s="55">
        <v>1</v>
      </c>
      <c r="AL6" s="55">
        <v>1</v>
      </c>
      <c r="AM6" s="55">
        <v>1</v>
      </c>
      <c r="AN6" s="55">
        <v>1</v>
      </c>
      <c r="AO6" s="55">
        <v>1</v>
      </c>
      <c r="AP6" s="55">
        <v>1</v>
      </c>
      <c r="AQ6" s="55">
        <v>1</v>
      </c>
      <c r="AR6" s="55">
        <v>1</v>
      </c>
      <c r="AS6" s="55">
        <v>1</v>
      </c>
      <c r="AT6" s="55">
        <v>1</v>
      </c>
      <c r="AU6" s="55">
        <v>1</v>
      </c>
      <c r="AV6" s="55">
        <v>1</v>
      </c>
      <c r="AW6" s="55">
        <v>1</v>
      </c>
      <c r="AX6" s="55">
        <v>1</v>
      </c>
      <c r="AY6" s="55">
        <v>1</v>
      </c>
      <c r="AZ6" s="55">
        <v>1</v>
      </c>
      <c r="BA6" s="55">
        <v>1</v>
      </c>
      <c r="BB6" s="55">
        <v>1</v>
      </c>
      <c r="BC6" s="55">
        <v>1</v>
      </c>
      <c r="BD6" s="55">
        <v>1</v>
      </c>
      <c r="BE6" s="55">
        <v>1</v>
      </c>
      <c r="BF6" s="55">
        <v>1</v>
      </c>
      <c r="BG6" s="55">
        <v>1</v>
      </c>
      <c r="BH6" s="55">
        <v>1</v>
      </c>
      <c r="BI6" s="55">
        <v>1</v>
      </c>
      <c r="BJ6" s="55">
        <v>1</v>
      </c>
      <c r="BK6" s="55">
        <v>1</v>
      </c>
      <c r="BL6" s="55">
        <v>1</v>
      </c>
      <c r="BM6" s="55">
        <v>1</v>
      </c>
      <c r="BN6" s="55">
        <v>1</v>
      </c>
      <c r="BO6" s="55">
        <v>1</v>
      </c>
      <c r="BP6" s="55">
        <v>1</v>
      </c>
      <c r="BQ6" s="55">
        <v>1</v>
      </c>
      <c r="BR6" s="55">
        <v>1</v>
      </c>
      <c r="BS6" s="55">
        <v>1</v>
      </c>
      <c r="BT6" s="55">
        <v>1</v>
      </c>
      <c r="BU6" s="55">
        <v>1</v>
      </c>
      <c r="BV6" s="55">
        <v>1</v>
      </c>
      <c r="BW6" s="55">
        <v>1</v>
      </c>
      <c r="BX6" s="55">
        <v>1</v>
      </c>
      <c r="BY6" s="55">
        <v>1</v>
      </c>
      <c r="BZ6" s="55">
        <v>1</v>
      </c>
      <c r="CA6" s="55">
        <v>1</v>
      </c>
      <c r="CB6" s="55">
        <v>1</v>
      </c>
      <c r="CC6" s="55">
        <v>1</v>
      </c>
      <c r="CD6" s="55">
        <v>1</v>
      </c>
      <c r="CE6" s="55">
        <v>1</v>
      </c>
      <c r="CF6" s="55">
        <v>1</v>
      </c>
      <c r="CG6" s="55">
        <v>1</v>
      </c>
      <c r="CH6" s="55">
        <v>1</v>
      </c>
      <c r="CI6" s="55">
        <v>1</v>
      </c>
      <c r="CJ6" s="55">
        <v>1</v>
      </c>
      <c r="CK6" s="55">
        <v>1</v>
      </c>
      <c r="CL6" s="55">
        <v>1</v>
      </c>
      <c r="CM6" s="55">
        <v>1</v>
      </c>
      <c r="CN6" s="55">
        <v>1</v>
      </c>
      <c r="CO6" s="55">
        <v>1</v>
      </c>
      <c r="CP6" s="55">
        <v>1</v>
      </c>
      <c r="CQ6" s="55">
        <v>1</v>
      </c>
      <c r="CR6" s="55">
        <v>1</v>
      </c>
      <c r="CS6" s="55">
        <v>1</v>
      </c>
      <c r="CT6" s="55">
        <v>1</v>
      </c>
      <c r="CU6" s="55">
        <v>1</v>
      </c>
      <c r="CV6" s="55">
        <v>1</v>
      </c>
      <c r="CW6" s="55">
        <v>1</v>
      </c>
      <c r="CX6" s="55">
        <v>1</v>
      </c>
      <c r="CY6" s="55">
        <v>1</v>
      </c>
      <c r="CZ6" s="55">
        <v>1</v>
      </c>
      <c r="DA6" s="55">
        <v>1</v>
      </c>
      <c r="DB6" s="55">
        <v>1</v>
      </c>
      <c r="DC6" s="55">
        <v>1</v>
      </c>
      <c r="DD6" s="55">
        <v>1</v>
      </c>
      <c r="DE6" s="55">
        <v>1</v>
      </c>
      <c r="DF6" s="55">
        <v>1</v>
      </c>
      <c r="DG6" s="55">
        <v>1</v>
      </c>
      <c r="DH6" s="55">
        <v>1</v>
      </c>
      <c r="DI6" s="55">
        <v>1</v>
      </c>
      <c r="DJ6" s="55">
        <v>1</v>
      </c>
      <c r="DK6" s="55">
        <v>1</v>
      </c>
      <c r="DL6" s="55">
        <v>1</v>
      </c>
      <c r="DM6" s="55">
        <v>1</v>
      </c>
      <c r="DN6" s="55">
        <v>1</v>
      </c>
      <c r="DO6" s="55">
        <v>1</v>
      </c>
      <c r="DP6" s="55">
        <v>1</v>
      </c>
      <c r="DQ6" s="55">
        <v>1</v>
      </c>
      <c r="DR6" s="55">
        <v>1</v>
      </c>
      <c r="DS6" s="55">
        <v>1</v>
      </c>
      <c r="DT6" s="55">
        <v>1</v>
      </c>
      <c r="DU6" s="55">
        <v>1</v>
      </c>
      <c r="DV6" s="55">
        <v>1</v>
      </c>
      <c r="DW6" s="55">
        <v>1</v>
      </c>
      <c r="DX6" s="55">
        <v>1</v>
      </c>
      <c r="DY6" s="55">
        <v>1</v>
      </c>
      <c r="DZ6" s="55">
        <v>1</v>
      </c>
      <c r="EA6" s="55">
        <v>1</v>
      </c>
      <c r="EB6" s="55">
        <v>1</v>
      </c>
      <c r="EC6" s="55">
        <v>1</v>
      </c>
      <c r="ED6" s="55">
        <v>1</v>
      </c>
      <c r="EE6" s="55">
        <v>1</v>
      </c>
      <c r="EF6" s="55">
        <v>1</v>
      </c>
      <c r="EG6" s="55">
        <v>1</v>
      </c>
      <c r="EH6" s="55">
        <v>1</v>
      </c>
      <c r="EI6" s="55">
        <v>1</v>
      </c>
      <c r="EJ6" s="55">
        <v>1</v>
      </c>
      <c r="EK6" s="55">
        <v>1</v>
      </c>
      <c r="EL6" s="55">
        <v>1</v>
      </c>
      <c r="EM6" s="55">
        <v>1</v>
      </c>
      <c r="EN6" s="55">
        <v>1</v>
      </c>
      <c r="EO6" s="55">
        <v>1</v>
      </c>
      <c r="EP6" s="55">
        <v>1</v>
      </c>
      <c r="EQ6" s="55">
        <v>1</v>
      </c>
      <c r="ER6" s="55">
        <v>1</v>
      </c>
      <c r="ES6" s="55">
        <v>1</v>
      </c>
      <c r="ET6" s="55">
        <v>1</v>
      </c>
      <c r="EU6" s="55">
        <v>1</v>
      </c>
      <c r="EV6" s="55">
        <v>1</v>
      </c>
      <c r="EW6" s="55">
        <v>1</v>
      </c>
      <c r="EX6" s="55">
        <v>1</v>
      </c>
      <c r="EY6" s="55">
        <v>1</v>
      </c>
      <c r="EZ6" s="55">
        <v>1</v>
      </c>
      <c r="FA6" s="55">
        <v>1</v>
      </c>
      <c r="FB6" s="55">
        <v>1</v>
      </c>
      <c r="FC6" s="55">
        <v>1</v>
      </c>
      <c r="FD6" s="55">
        <v>1</v>
      </c>
      <c r="FE6" s="55">
        <v>1</v>
      </c>
      <c r="FF6" s="55">
        <v>1</v>
      </c>
      <c r="FG6" s="55">
        <v>1</v>
      </c>
      <c r="FH6" s="55">
        <v>1</v>
      </c>
      <c r="FI6" s="55">
        <v>1</v>
      </c>
      <c r="FJ6" s="55">
        <v>1</v>
      </c>
      <c r="FK6" s="55">
        <v>1</v>
      </c>
      <c r="FL6" s="55">
        <v>1</v>
      </c>
      <c r="FM6" s="55">
        <v>1</v>
      </c>
      <c r="FN6" s="55">
        <v>1</v>
      </c>
      <c r="FO6" s="55">
        <v>1</v>
      </c>
      <c r="FP6" s="55">
        <v>1</v>
      </c>
      <c r="FQ6" s="55">
        <v>1</v>
      </c>
      <c r="FR6" s="55">
        <v>1</v>
      </c>
      <c r="FS6" s="55">
        <v>1</v>
      </c>
      <c r="FT6" s="55">
        <v>1</v>
      </c>
      <c r="FU6" s="55">
        <v>1</v>
      </c>
      <c r="FV6" s="55">
        <v>1</v>
      </c>
      <c r="FW6" s="55">
        <v>1</v>
      </c>
      <c r="FX6" s="55">
        <v>1</v>
      </c>
      <c r="FY6" s="55">
        <v>1</v>
      </c>
      <c r="FZ6" s="55">
        <v>1</v>
      </c>
      <c r="GA6" s="55">
        <v>1</v>
      </c>
      <c r="GB6" s="55">
        <v>1</v>
      </c>
      <c r="GC6" s="55">
        <v>1</v>
      </c>
      <c r="GD6" s="55">
        <v>1</v>
      </c>
      <c r="GE6" s="55">
        <v>1</v>
      </c>
      <c r="GF6" s="55">
        <v>1</v>
      </c>
      <c r="GG6" s="55">
        <v>1</v>
      </c>
      <c r="GH6" s="55">
        <v>1</v>
      </c>
      <c r="GI6" s="55">
        <v>1</v>
      </c>
      <c r="GJ6" s="55">
        <v>1</v>
      </c>
      <c r="GK6" s="55">
        <v>1</v>
      </c>
      <c r="GL6" s="55">
        <v>1</v>
      </c>
      <c r="GM6" s="55">
        <v>1</v>
      </c>
      <c r="GN6" s="55">
        <v>1</v>
      </c>
      <c r="GO6" s="55">
        <v>1</v>
      </c>
      <c r="GP6" s="55">
        <v>1</v>
      </c>
      <c r="GQ6" s="55">
        <v>1</v>
      </c>
      <c r="GR6" s="55">
        <v>1</v>
      </c>
      <c r="GS6" s="55">
        <v>1</v>
      </c>
      <c r="GT6" s="55">
        <v>1</v>
      </c>
      <c r="GU6" s="55">
        <v>1</v>
      </c>
      <c r="GV6" s="55">
        <v>1</v>
      </c>
      <c r="GW6" s="55">
        <v>1</v>
      </c>
      <c r="GX6" s="55">
        <v>1</v>
      </c>
      <c r="GY6" s="55">
        <v>1</v>
      </c>
      <c r="GZ6" s="55">
        <v>1</v>
      </c>
      <c r="HA6" s="55">
        <v>1</v>
      </c>
      <c r="HB6" s="55">
        <v>1</v>
      </c>
      <c r="HC6" s="55">
        <v>1</v>
      </c>
      <c r="HD6" s="55">
        <v>1</v>
      </c>
      <c r="HE6" s="55">
        <v>1</v>
      </c>
      <c r="HF6" s="55">
        <v>1</v>
      </c>
      <c r="HG6" s="55">
        <v>1</v>
      </c>
      <c r="HH6" s="55">
        <v>1</v>
      </c>
      <c r="HI6" s="55">
        <v>1</v>
      </c>
      <c r="HJ6" s="55">
        <v>1</v>
      </c>
      <c r="HK6" s="55">
        <v>1</v>
      </c>
      <c r="HL6" s="55">
        <v>1</v>
      </c>
      <c r="HM6" s="55">
        <v>1</v>
      </c>
      <c r="HN6" s="55">
        <v>1</v>
      </c>
      <c r="HO6" s="55">
        <v>1</v>
      </c>
      <c r="HP6" s="55">
        <v>1</v>
      </c>
      <c r="HQ6" s="55">
        <v>1</v>
      </c>
      <c r="HR6" s="55">
        <v>1</v>
      </c>
      <c r="HS6" s="55">
        <v>1</v>
      </c>
      <c r="HT6" s="55">
        <v>1</v>
      </c>
      <c r="HU6" s="55">
        <v>1</v>
      </c>
      <c r="HV6" s="55">
        <v>1</v>
      </c>
      <c r="HW6" s="55">
        <v>1</v>
      </c>
      <c r="HX6" s="55">
        <v>1</v>
      </c>
      <c r="HY6" s="55">
        <v>1</v>
      </c>
      <c r="HZ6" s="55">
        <v>1</v>
      </c>
      <c r="IA6" s="55">
        <v>1</v>
      </c>
      <c r="IB6" s="55">
        <v>1</v>
      </c>
      <c r="IC6" s="55">
        <v>1</v>
      </c>
      <c r="ID6" s="55">
        <v>1</v>
      </c>
      <c r="IE6" s="55">
        <v>1</v>
      </c>
      <c r="IF6" s="55">
        <v>1</v>
      </c>
      <c r="IG6" s="55">
        <v>1</v>
      </c>
      <c r="IH6" s="55">
        <v>1</v>
      </c>
      <c r="II6" s="55">
        <v>1</v>
      </c>
      <c r="IJ6" s="55">
        <v>1</v>
      </c>
      <c r="IK6" s="55">
        <v>1</v>
      </c>
      <c r="IL6" s="55">
        <v>1</v>
      </c>
      <c r="IM6" s="55">
        <v>1</v>
      </c>
      <c r="IN6" s="55">
        <v>1</v>
      </c>
      <c r="IO6" s="55">
        <v>1</v>
      </c>
      <c r="IP6" s="55">
        <v>1</v>
      </c>
      <c r="IQ6" s="55">
        <v>1</v>
      </c>
    </row>
    <row r="7" spans="1:251" s="57" customFormat="1">
      <c r="A7" s="56" t="s">
        <v>255</v>
      </c>
      <c r="B7" s="57">
        <v>41821</v>
      </c>
      <c r="C7" s="57">
        <v>41821</v>
      </c>
      <c r="D7" s="57">
        <v>41821</v>
      </c>
      <c r="E7" s="57">
        <v>41821</v>
      </c>
      <c r="F7" s="57">
        <v>41821</v>
      </c>
      <c r="G7" s="57">
        <v>41821</v>
      </c>
      <c r="H7" s="57">
        <v>41821</v>
      </c>
      <c r="I7" s="57">
        <v>41821</v>
      </c>
      <c r="J7" s="57">
        <v>41821</v>
      </c>
      <c r="K7" s="57">
        <v>41821</v>
      </c>
      <c r="L7" s="57">
        <v>41821</v>
      </c>
      <c r="M7" s="57">
        <v>41821</v>
      </c>
      <c r="N7" s="57">
        <v>41821</v>
      </c>
      <c r="O7" s="57">
        <v>41821</v>
      </c>
      <c r="P7" s="57">
        <v>41821</v>
      </c>
      <c r="Q7" s="57">
        <v>41821</v>
      </c>
      <c r="R7" s="57">
        <v>41821</v>
      </c>
      <c r="S7" s="57">
        <v>41821</v>
      </c>
      <c r="T7" s="57">
        <v>41821</v>
      </c>
      <c r="U7" s="57">
        <v>41821</v>
      </c>
      <c r="V7" s="57">
        <v>41821</v>
      </c>
      <c r="W7" s="57">
        <v>41821</v>
      </c>
      <c r="X7" s="57">
        <v>41821</v>
      </c>
      <c r="Y7" s="57">
        <v>41821</v>
      </c>
      <c r="Z7" s="57">
        <v>41821</v>
      </c>
      <c r="AA7" s="57">
        <v>41821</v>
      </c>
      <c r="AB7" s="57">
        <v>41821</v>
      </c>
      <c r="AC7" s="57">
        <v>41821</v>
      </c>
      <c r="AD7" s="57">
        <v>41821</v>
      </c>
      <c r="AE7" s="57">
        <v>41821</v>
      </c>
      <c r="AF7" s="57">
        <v>41821</v>
      </c>
      <c r="AG7" s="57">
        <v>41821</v>
      </c>
      <c r="AH7" s="57">
        <v>41821</v>
      </c>
      <c r="AI7" s="57">
        <v>41821</v>
      </c>
      <c r="AJ7" s="57">
        <v>41821</v>
      </c>
      <c r="AK7" s="57">
        <v>41821</v>
      </c>
      <c r="AL7" s="57">
        <v>41821</v>
      </c>
      <c r="AM7" s="57">
        <v>41821</v>
      </c>
      <c r="AN7" s="57">
        <v>41821</v>
      </c>
      <c r="AO7" s="57">
        <v>41821</v>
      </c>
      <c r="AP7" s="57">
        <v>41821</v>
      </c>
      <c r="AQ7" s="57">
        <v>41821</v>
      </c>
      <c r="AR7" s="57">
        <v>41821</v>
      </c>
      <c r="AS7" s="57">
        <v>41821</v>
      </c>
      <c r="AT7" s="57">
        <v>41821</v>
      </c>
      <c r="AU7" s="57">
        <v>41821</v>
      </c>
      <c r="AV7" s="57">
        <v>41821</v>
      </c>
      <c r="AW7" s="57">
        <v>41821</v>
      </c>
      <c r="AX7" s="57">
        <v>41821</v>
      </c>
      <c r="AY7" s="57">
        <v>41821</v>
      </c>
      <c r="AZ7" s="57">
        <v>41821</v>
      </c>
      <c r="BA7" s="57">
        <v>41821</v>
      </c>
      <c r="BB7" s="57">
        <v>41821</v>
      </c>
      <c r="BC7" s="57">
        <v>41821</v>
      </c>
      <c r="BD7" s="57">
        <v>41821</v>
      </c>
      <c r="BE7" s="57">
        <v>41821</v>
      </c>
      <c r="BF7" s="57">
        <v>41821</v>
      </c>
      <c r="BG7" s="57">
        <v>41821</v>
      </c>
      <c r="BH7" s="57">
        <v>41821</v>
      </c>
      <c r="BI7" s="57">
        <v>41821</v>
      </c>
      <c r="BJ7" s="57">
        <v>41821</v>
      </c>
      <c r="BK7" s="57">
        <v>41821</v>
      </c>
      <c r="BL7" s="57">
        <v>41821</v>
      </c>
      <c r="BM7" s="57">
        <v>41821</v>
      </c>
      <c r="BN7" s="57">
        <v>41821</v>
      </c>
      <c r="BO7" s="57">
        <v>41821</v>
      </c>
      <c r="BP7" s="57">
        <v>41821</v>
      </c>
      <c r="BQ7" s="57">
        <v>41821</v>
      </c>
      <c r="BR7" s="57">
        <v>41821</v>
      </c>
      <c r="BS7" s="57">
        <v>41821</v>
      </c>
      <c r="BT7" s="57">
        <v>41821</v>
      </c>
      <c r="BU7" s="57">
        <v>41821</v>
      </c>
      <c r="BV7" s="57">
        <v>41821</v>
      </c>
      <c r="BW7" s="57">
        <v>41821</v>
      </c>
      <c r="BX7" s="57">
        <v>41821</v>
      </c>
      <c r="BY7" s="57">
        <v>41821</v>
      </c>
      <c r="BZ7" s="57">
        <v>41821</v>
      </c>
      <c r="CA7" s="57">
        <v>41821</v>
      </c>
      <c r="CB7" s="57">
        <v>41821</v>
      </c>
      <c r="CC7" s="57">
        <v>41821</v>
      </c>
      <c r="CD7" s="57">
        <v>41821</v>
      </c>
      <c r="CE7" s="57">
        <v>41821</v>
      </c>
      <c r="CF7" s="57">
        <v>41821</v>
      </c>
      <c r="CG7" s="57">
        <v>41821</v>
      </c>
      <c r="CH7" s="57">
        <v>41821</v>
      </c>
      <c r="CI7" s="57">
        <v>41821</v>
      </c>
      <c r="CJ7" s="57">
        <v>41821</v>
      </c>
      <c r="CK7" s="57">
        <v>41821</v>
      </c>
      <c r="CL7" s="57">
        <v>41821</v>
      </c>
      <c r="CM7" s="57">
        <v>41821</v>
      </c>
      <c r="CN7" s="57">
        <v>41821</v>
      </c>
      <c r="CO7" s="57">
        <v>41821</v>
      </c>
      <c r="CP7" s="57">
        <v>41821</v>
      </c>
      <c r="CQ7" s="57">
        <v>41821</v>
      </c>
      <c r="CR7" s="57">
        <v>41821</v>
      </c>
      <c r="CS7" s="57">
        <v>41821</v>
      </c>
      <c r="CT7" s="57">
        <v>41821</v>
      </c>
      <c r="CU7" s="57">
        <v>41821</v>
      </c>
      <c r="CV7" s="57">
        <v>41821</v>
      </c>
      <c r="CW7" s="57">
        <v>41821</v>
      </c>
      <c r="CX7" s="57">
        <v>41821</v>
      </c>
      <c r="CY7" s="57">
        <v>41821</v>
      </c>
      <c r="CZ7" s="57">
        <v>41821</v>
      </c>
      <c r="DA7" s="57">
        <v>41821</v>
      </c>
      <c r="DB7" s="57">
        <v>41821</v>
      </c>
      <c r="DC7" s="57">
        <v>41821</v>
      </c>
      <c r="DD7" s="57">
        <v>41821</v>
      </c>
      <c r="DE7" s="57">
        <v>41821</v>
      </c>
      <c r="DF7" s="57">
        <v>41821</v>
      </c>
      <c r="DG7" s="57">
        <v>41821</v>
      </c>
      <c r="DH7" s="57">
        <v>41821</v>
      </c>
      <c r="DI7" s="57">
        <v>41821</v>
      </c>
      <c r="DJ7" s="57">
        <v>41821</v>
      </c>
      <c r="DK7" s="57">
        <v>41821</v>
      </c>
      <c r="DL7" s="57">
        <v>41821</v>
      </c>
      <c r="DM7" s="57">
        <v>41821</v>
      </c>
      <c r="DN7" s="57">
        <v>41821</v>
      </c>
      <c r="DO7" s="57">
        <v>41821</v>
      </c>
      <c r="DP7" s="57">
        <v>41821</v>
      </c>
      <c r="DQ7" s="57">
        <v>41821</v>
      </c>
      <c r="DR7" s="57">
        <v>41821</v>
      </c>
      <c r="DS7" s="57">
        <v>41821</v>
      </c>
      <c r="DT7" s="57">
        <v>41821</v>
      </c>
      <c r="DU7" s="57">
        <v>41821</v>
      </c>
      <c r="DV7" s="57">
        <v>41821</v>
      </c>
      <c r="DW7" s="57">
        <v>41821</v>
      </c>
      <c r="DX7" s="57">
        <v>41821</v>
      </c>
      <c r="DY7" s="57">
        <v>41821</v>
      </c>
      <c r="DZ7" s="57">
        <v>41821</v>
      </c>
      <c r="EA7" s="57">
        <v>41821</v>
      </c>
      <c r="EB7" s="57">
        <v>41821</v>
      </c>
      <c r="EC7" s="57">
        <v>41821</v>
      </c>
      <c r="ED7" s="57">
        <v>41821</v>
      </c>
      <c r="EE7" s="57">
        <v>41821</v>
      </c>
      <c r="EF7" s="57">
        <v>41821</v>
      </c>
      <c r="EG7" s="57">
        <v>41821</v>
      </c>
      <c r="EH7" s="57">
        <v>41821</v>
      </c>
      <c r="EI7" s="57">
        <v>41821</v>
      </c>
      <c r="EJ7" s="57">
        <v>41821</v>
      </c>
      <c r="EK7" s="57">
        <v>41821</v>
      </c>
      <c r="EL7" s="57">
        <v>41821</v>
      </c>
      <c r="EM7" s="57">
        <v>41821</v>
      </c>
      <c r="EN7" s="57">
        <v>41821</v>
      </c>
      <c r="EO7" s="57">
        <v>41821</v>
      </c>
      <c r="EP7" s="57">
        <v>41821</v>
      </c>
      <c r="EQ7" s="57">
        <v>41821</v>
      </c>
      <c r="ER7" s="57">
        <v>41821</v>
      </c>
      <c r="ES7" s="57">
        <v>41821</v>
      </c>
      <c r="ET7" s="57">
        <v>41821</v>
      </c>
      <c r="EU7" s="57">
        <v>41821</v>
      </c>
      <c r="EV7" s="57">
        <v>41821</v>
      </c>
      <c r="EW7" s="57">
        <v>41821</v>
      </c>
      <c r="EX7" s="57">
        <v>41821</v>
      </c>
      <c r="EY7" s="57">
        <v>41821</v>
      </c>
      <c r="EZ7" s="57">
        <v>41821</v>
      </c>
      <c r="FA7" s="57">
        <v>41821</v>
      </c>
      <c r="FB7" s="57">
        <v>41821</v>
      </c>
      <c r="FC7" s="57">
        <v>41821</v>
      </c>
      <c r="FD7" s="57">
        <v>41821</v>
      </c>
      <c r="FE7" s="57">
        <v>41821</v>
      </c>
      <c r="FF7" s="57">
        <v>41821</v>
      </c>
      <c r="FG7" s="57">
        <v>41821</v>
      </c>
      <c r="FH7" s="57">
        <v>41821</v>
      </c>
      <c r="FI7" s="57">
        <v>41821</v>
      </c>
      <c r="FJ7" s="57">
        <v>41821</v>
      </c>
      <c r="FK7" s="57">
        <v>41821</v>
      </c>
      <c r="FL7" s="57">
        <v>41821</v>
      </c>
      <c r="FM7" s="57">
        <v>41821</v>
      </c>
      <c r="FN7" s="57">
        <v>41821</v>
      </c>
      <c r="FO7" s="57">
        <v>41821</v>
      </c>
      <c r="FP7" s="57">
        <v>41821</v>
      </c>
      <c r="FQ7" s="57">
        <v>41821</v>
      </c>
      <c r="FR7" s="57">
        <v>41821</v>
      </c>
      <c r="FS7" s="57">
        <v>41821</v>
      </c>
      <c r="FT7" s="57">
        <v>41821</v>
      </c>
      <c r="FU7" s="57">
        <v>41821</v>
      </c>
      <c r="FV7" s="57">
        <v>41821</v>
      </c>
      <c r="FW7" s="57">
        <v>41821</v>
      </c>
      <c r="FX7" s="57">
        <v>41821</v>
      </c>
      <c r="FY7" s="57">
        <v>41821</v>
      </c>
      <c r="FZ7" s="57">
        <v>41821</v>
      </c>
      <c r="GA7" s="57">
        <v>41821</v>
      </c>
      <c r="GB7" s="57">
        <v>41821</v>
      </c>
      <c r="GC7" s="57">
        <v>41821</v>
      </c>
      <c r="GD7" s="57">
        <v>41821</v>
      </c>
      <c r="GE7" s="57">
        <v>41821</v>
      </c>
      <c r="GF7" s="57">
        <v>41821</v>
      </c>
      <c r="GG7" s="57">
        <v>41821</v>
      </c>
      <c r="GH7" s="57">
        <v>41821</v>
      </c>
      <c r="GI7" s="57">
        <v>41821</v>
      </c>
      <c r="GJ7" s="57">
        <v>41821</v>
      </c>
      <c r="GK7" s="57">
        <v>41821</v>
      </c>
      <c r="GL7" s="57">
        <v>41821</v>
      </c>
      <c r="GM7" s="57">
        <v>41821</v>
      </c>
      <c r="GN7" s="57">
        <v>41821</v>
      </c>
      <c r="GO7" s="57">
        <v>41821</v>
      </c>
      <c r="GP7" s="57">
        <v>41821</v>
      </c>
      <c r="GQ7" s="57">
        <v>41821</v>
      </c>
      <c r="GR7" s="57">
        <v>41821</v>
      </c>
      <c r="GS7" s="57">
        <v>41821</v>
      </c>
      <c r="GT7" s="57">
        <v>41821</v>
      </c>
      <c r="GU7" s="57">
        <v>41821</v>
      </c>
      <c r="GV7" s="57">
        <v>41821</v>
      </c>
      <c r="GW7" s="57">
        <v>41821</v>
      </c>
      <c r="GX7" s="57">
        <v>41821</v>
      </c>
      <c r="GY7" s="57">
        <v>41821</v>
      </c>
      <c r="GZ7" s="57">
        <v>41821</v>
      </c>
      <c r="HA7" s="57">
        <v>41821</v>
      </c>
      <c r="HB7" s="57">
        <v>41821</v>
      </c>
      <c r="HC7" s="57">
        <v>41821</v>
      </c>
      <c r="HD7" s="57">
        <v>41821</v>
      </c>
      <c r="HE7" s="57">
        <v>41821</v>
      </c>
      <c r="HF7" s="57">
        <v>41821</v>
      </c>
      <c r="HG7" s="57">
        <v>41821</v>
      </c>
      <c r="HH7" s="57">
        <v>41821</v>
      </c>
      <c r="HI7" s="57">
        <v>41821</v>
      </c>
      <c r="HJ7" s="57">
        <v>41821</v>
      </c>
      <c r="HK7" s="57">
        <v>41821</v>
      </c>
      <c r="HL7" s="57">
        <v>41821</v>
      </c>
      <c r="HM7" s="57">
        <v>41821</v>
      </c>
      <c r="HN7" s="57">
        <v>41821</v>
      </c>
      <c r="HO7" s="57">
        <v>41821</v>
      </c>
      <c r="HP7" s="57">
        <v>41821</v>
      </c>
      <c r="HQ7" s="57">
        <v>41821</v>
      </c>
      <c r="HR7" s="57">
        <v>41821</v>
      </c>
      <c r="HS7" s="57">
        <v>41821</v>
      </c>
      <c r="HT7" s="57">
        <v>41821</v>
      </c>
      <c r="HU7" s="57">
        <v>41821</v>
      </c>
      <c r="HV7" s="57">
        <v>41821</v>
      </c>
      <c r="HW7" s="57">
        <v>41821</v>
      </c>
      <c r="HX7" s="57">
        <v>41821</v>
      </c>
      <c r="HY7" s="57">
        <v>41821</v>
      </c>
      <c r="HZ7" s="57">
        <v>41821</v>
      </c>
      <c r="IA7" s="57">
        <v>41821</v>
      </c>
      <c r="IB7" s="57">
        <v>41821</v>
      </c>
      <c r="IC7" s="57">
        <v>41821</v>
      </c>
      <c r="ID7" s="57">
        <v>41821</v>
      </c>
      <c r="IE7" s="57">
        <v>41821</v>
      </c>
      <c r="IF7" s="57">
        <v>41821</v>
      </c>
      <c r="IG7" s="57">
        <v>41821</v>
      </c>
      <c r="IH7" s="57">
        <v>41821</v>
      </c>
      <c r="II7" s="57">
        <v>41821</v>
      </c>
      <c r="IJ7" s="57">
        <v>41821</v>
      </c>
      <c r="IK7" s="57">
        <v>41821</v>
      </c>
      <c r="IL7" s="57">
        <v>41821</v>
      </c>
      <c r="IM7" s="57">
        <v>41821</v>
      </c>
      <c r="IN7" s="57">
        <v>41821</v>
      </c>
      <c r="IO7" s="57">
        <v>41821</v>
      </c>
      <c r="IP7" s="57">
        <v>41821</v>
      </c>
      <c r="IQ7" s="57">
        <v>41821</v>
      </c>
    </row>
    <row r="8" spans="1:251" s="57" customFormat="1">
      <c r="A8" s="56" t="s">
        <v>256</v>
      </c>
      <c r="B8" s="57">
        <v>44593</v>
      </c>
      <c r="C8" s="57">
        <v>44593</v>
      </c>
      <c r="D8" s="57">
        <v>44593</v>
      </c>
      <c r="E8" s="57">
        <v>44593</v>
      </c>
      <c r="F8" s="57">
        <v>44593</v>
      </c>
      <c r="G8" s="57">
        <v>44593</v>
      </c>
      <c r="H8" s="57">
        <v>44593</v>
      </c>
      <c r="I8" s="57">
        <v>44593</v>
      </c>
      <c r="J8" s="57">
        <v>44593</v>
      </c>
      <c r="K8" s="57">
        <v>44593</v>
      </c>
      <c r="L8" s="57">
        <v>44593</v>
      </c>
      <c r="M8" s="57">
        <v>44593</v>
      </c>
      <c r="N8" s="57">
        <v>44593</v>
      </c>
      <c r="O8" s="57">
        <v>44593</v>
      </c>
      <c r="P8" s="57">
        <v>44593</v>
      </c>
      <c r="Q8" s="57">
        <v>44593</v>
      </c>
      <c r="R8" s="57">
        <v>44593</v>
      </c>
      <c r="S8" s="57">
        <v>44593</v>
      </c>
      <c r="T8" s="57">
        <v>44593</v>
      </c>
      <c r="U8" s="57">
        <v>44593</v>
      </c>
      <c r="V8" s="57">
        <v>44593</v>
      </c>
      <c r="W8" s="57">
        <v>44593</v>
      </c>
      <c r="X8" s="57">
        <v>44593</v>
      </c>
      <c r="Y8" s="57">
        <v>44593</v>
      </c>
      <c r="Z8" s="57">
        <v>44593</v>
      </c>
      <c r="AA8" s="57">
        <v>44593</v>
      </c>
      <c r="AB8" s="57">
        <v>44593</v>
      </c>
      <c r="AC8" s="57">
        <v>44593</v>
      </c>
      <c r="AD8" s="57">
        <v>44593</v>
      </c>
      <c r="AE8" s="57">
        <v>44593</v>
      </c>
      <c r="AF8" s="57">
        <v>44593</v>
      </c>
      <c r="AG8" s="57">
        <v>44593</v>
      </c>
      <c r="AH8" s="57">
        <v>44593</v>
      </c>
      <c r="AI8" s="57">
        <v>44593</v>
      </c>
      <c r="AJ8" s="57">
        <v>44593</v>
      </c>
      <c r="AK8" s="57">
        <v>44593</v>
      </c>
      <c r="AL8" s="57">
        <v>44593</v>
      </c>
      <c r="AM8" s="57">
        <v>44593</v>
      </c>
      <c r="AN8" s="57">
        <v>44593</v>
      </c>
      <c r="AO8" s="57">
        <v>44593</v>
      </c>
      <c r="AP8" s="57">
        <v>44593</v>
      </c>
      <c r="AQ8" s="57">
        <v>44593</v>
      </c>
      <c r="AR8" s="57">
        <v>44593</v>
      </c>
      <c r="AS8" s="57">
        <v>44593</v>
      </c>
      <c r="AT8" s="57">
        <v>44593</v>
      </c>
      <c r="AU8" s="57">
        <v>44593</v>
      </c>
      <c r="AV8" s="57">
        <v>44593</v>
      </c>
      <c r="AW8" s="57">
        <v>44593</v>
      </c>
      <c r="AX8" s="57">
        <v>44593</v>
      </c>
      <c r="AY8" s="57">
        <v>44593</v>
      </c>
      <c r="AZ8" s="57">
        <v>44593</v>
      </c>
      <c r="BA8" s="57">
        <v>44593</v>
      </c>
      <c r="BB8" s="57">
        <v>44593</v>
      </c>
      <c r="BC8" s="57">
        <v>44593</v>
      </c>
      <c r="BD8" s="57">
        <v>44593</v>
      </c>
      <c r="BE8" s="57">
        <v>44593</v>
      </c>
      <c r="BF8" s="57">
        <v>44593</v>
      </c>
      <c r="BG8" s="57">
        <v>44593</v>
      </c>
      <c r="BH8" s="57">
        <v>44593</v>
      </c>
      <c r="BI8" s="57">
        <v>44593</v>
      </c>
      <c r="BJ8" s="57">
        <v>44593</v>
      </c>
      <c r="BK8" s="57">
        <v>44593</v>
      </c>
      <c r="BL8" s="57">
        <v>44593</v>
      </c>
      <c r="BM8" s="57">
        <v>44593</v>
      </c>
      <c r="BN8" s="57">
        <v>44593</v>
      </c>
      <c r="BO8" s="57">
        <v>44593</v>
      </c>
      <c r="BP8" s="57">
        <v>44593</v>
      </c>
      <c r="BQ8" s="57">
        <v>44593</v>
      </c>
      <c r="BR8" s="57">
        <v>44593</v>
      </c>
      <c r="BS8" s="57">
        <v>44593</v>
      </c>
      <c r="BT8" s="57">
        <v>44593</v>
      </c>
      <c r="BU8" s="57">
        <v>44593</v>
      </c>
      <c r="BV8" s="57">
        <v>44593</v>
      </c>
      <c r="BW8" s="57">
        <v>44593</v>
      </c>
      <c r="BX8" s="57">
        <v>44593</v>
      </c>
      <c r="BY8" s="57">
        <v>44593</v>
      </c>
      <c r="BZ8" s="57">
        <v>44593</v>
      </c>
      <c r="CA8" s="57">
        <v>44593</v>
      </c>
      <c r="CB8" s="57">
        <v>44593</v>
      </c>
      <c r="CC8" s="57">
        <v>44593</v>
      </c>
      <c r="CD8" s="57">
        <v>44593</v>
      </c>
      <c r="CE8" s="57">
        <v>44593</v>
      </c>
      <c r="CF8" s="57">
        <v>44593</v>
      </c>
      <c r="CG8" s="57">
        <v>44593</v>
      </c>
      <c r="CH8" s="57">
        <v>44593</v>
      </c>
      <c r="CI8" s="57">
        <v>44593</v>
      </c>
      <c r="CJ8" s="57">
        <v>44593</v>
      </c>
      <c r="CK8" s="57">
        <v>44593</v>
      </c>
      <c r="CL8" s="57">
        <v>44593</v>
      </c>
      <c r="CM8" s="57">
        <v>44593</v>
      </c>
      <c r="CN8" s="57">
        <v>44593</v>
      </c>
      <c r="CO8" s="57">
        <v>44593</v>
      </c>
      <c r="CP8" s="57">
        <v>44593</v>
      </c>
      <c r="CQ8" s="57">
        <v>44593</v>
      </c>
      <c r="CR8" s="57">
        <v>44593</v>
      </c>
      <c r="CS8" s="57">
        <v>44593</v>
      </c>
      <c r="CT8" s="57">
        <v>44593</v>
      </c>
      <c r="CU8" s="57">
        <v>44593</v>
      </c>
      <c r="CV8" s="57">
        <v>44593</v>
      </c>
      <c r="CW8" s="57">
        <v>44593</v>
      </c>
      <c r="CX8" s="57">
        <v>44593</v>
      </c>
      <c r="CY8" s="57">
        <v>44593</v>
      </c>
      <c r="CZ8" s="57">
        <v>44593</v>
      </c>
      <c r="DA8" s="57">
        <v>44593</v>
      </c>
      <c r="DB8" s="57">
        <v>44593</v>
      </c>
      <c r="DC8" s="57">
        <v>44593</v>
      </c>
      <c r="DD8" s="57">
        <v>44593</v>
      </c>
      <c r="DE8" s="57">
        <v>44593</v>
      </c>
      <c r="DF8" s="57">
        <v>44593</v>
      </c>
      <c r="DG8" s="57">
        <v>44593</v>
      </c>
      <c r="DH8" s="57">
        <v>44593</v>
      </c>
      <c r="DI8" s="57">
        <v>44593</v>
      </c>
      <c r="DJ8" s="57">
        <v>44593</v>
      </c>
      <c r="DK8" s="57">
        <v>44593</v>
      </c>
      <c r="DL8" s="57">
        <v>44593</v>
      </c>
      <c r="DM8" s="57">
        <v>44593</v>
      </c>
      <c r="DN8" s="57">
        <v>44593</v>
      </c>
      <c r="DO8" s="57">
        <v>44593</v>
      </c>
      <c r="DP8" s="57">
        <v>44593</v>
      </c>
      <c r="DQ8" s="57">
        <v>44593</v>
      </c>
      <c r="DR8" s="57">
        <v>44593</v>
      </c>
      <c r="DS8" s="57">
        <v>44593</v>
      </c>
      <c r="DT8" s="57">
        <v>44593</v>
      </c>
      <c r="DU8" s="57">
        <v>44593</v>
      </c>
      <c r="DV8" s="57">
        <v>44593</v>
      </c>
      <c r="DW8" s="57">
        <v>44593</v>
      </c>
      <c r="DX8" s="57">
        <v>44593</v>
      </c>
      <c r="DY8" s="57">
        <v>44593</v>
      </c>
      <c r="DZ8" s="57">
        <v>44593</v>
      </c>
      <c r="EA8" s="57">
        <v>44593</v>
      </c>
      <c r="EB8" s="57">
        <v>44593</v>
      </c>
      <c r="EC8" s="57">
        <v>44593</v>
      </c>
      <c r="ED8" s="57">
        <v>44593</v>
      </c>
      <c r="EE8" s="57">
        <v>44593</v>
      </c>
      <c r="EF8" s="57">
        <v>44593</v>
      </c>
      <c r="EG8" s="57">
        <v>44593</v>
      </c>
      <c r="EH8" s="57">
        <v>44593</v>
      </c>
      <c r="EI8" s="57">
        <v>44593</v>
      </c>
      <c r="EJ8" s="57">
        <v>44593</v>
      </c>
      <c r="EK8" s="57">
        <v>44593</v>
      </c>
      <c r="EL8" s="57">
        <v>44593</v>
      </c>
      <c r="EM8" s="57">
        <v>44593</v>
      </c>
      <c r="EN8" s="57">
        <v>44593</v>
      </c>
      <c r="EO8" s="57">
        <v>44593</v>
      </c>
      <c r="EP8" s="57">
        <v>44593</v>
      </c>
      <c r="EQ8" s="57">
        <v>44593</v>
      </c>
      <c r="ER8" s="57">
        <v>44593</v>
      </c>
      <c r="ES8" s="57">
        <v>44593</v>
      </c>
      <c r="ET8" s="57">
        <v>44593</v>
      </c>
      <c r="EU8" s="57">
        <v>44593</v>
      </c>
      <c r="EV8" s="57">
        <v>44593</v>
      </c>
      <c r="EW8" s="57">
        <v>44593</v>
      </c>
      <c r="EX8" s="57">
        <v>44593</v>
      </c>
      <c r="EY8" s="57">
        <v>44593</v>
      </c>
      <c r="EZ8" s="57">
        <v>44593</v>
      </c>
      <c r="FA8" s="57">
        <v>44593</v>
      </c>
      <c r="FB8" s="57">
        <v>44593</v>
      </c>
      <c r="FC8" s="57">
        <v>44593</v>
      </c>
      <c r="FD8" s="57">
        <v>44593</v>
      </c>
      <c r="FE8" s="57">
        <v>44593</v>
      </c>
      <c r="FF8" s="57">
        <v>44593</v>
      </c>
      <c r="FG8" s="57">
        <v>44593</v>
      </c>
      <c r="FH8" s="57">
        <v>44593</v>
      </c>
      <c r="FI8" s="57">
        <v>44593</v>
      </c>
      <c r="FJ8" s="57">
        <v>44593</v>
      </c>
      <c r="FK8" s="57">
        <v>44593</v>
      </c>
      <c r="FL8" s="57">
        <v>44593</v>
      </c>
      <c r="FM8" s="57">
        <v>44593</v>
      </c>
      <c r="FN8" s="57">
        <v>44593</v>
      </c>
      <c r="FO8" s="57">
        <v>44593</v>
      </c>
      <c r="FP8" s="57">
        <v>44593</v>
      </c>
      <c r="FQ8" s="57">
        <v>44593</v>
      </c>
      <c r="FR8" s="57">
        <v>44593</v>
      </c>
      <c r="FS8" s="57">
        <v>44593</v>
      </c>
      <c r="FT8" s="57">
        <v>44593</v>
      </c>
      <c r="FU8" s="57">
        <v>44593</v>
      </c>
      <c r="FV8" s="57">
        <v>44593</v>
      </c>
      <c r="FW8" s="57">
        <v>44593</v>
      </c>
      <c r="FX8" s="57">
        <v>44593</v>
      </c>
      <c r="FY8" s="57">
        <v>44593</v>
      </c>
      <c r="FZ8" s="57">
        <v>44593</v>
      </c>
      <c r="GA8" s="57">
        <v>44593</v>
      </c>
      <c r="GB8" s="57">
        <v>44593</v>
      </c>
      <c r="GC8" s="57">
        <v>44593</v>
      </c>
      <c r="GD8" s="57">
        <v>44593</v>
      </c>
      <c r="GE8" s="57">
        <v>44593</v>
      </c>
      <c r="GF8" s="57">
        <v>44593</v>
      </c>
      <c r="GG8" s="57">
        <v>44593</v>
      </c>
      <c r="GH8" s="57">
        <v>44593</v>
      </c>
      <c r="GI8" s="57">
        <v>44593</v>
      </c>
      <c r="GJ8" s="57">
        <v>44593</v>
      </c>
      <c r="GK8" s="57">
        <v>44593</v>
      </c>
      <c r="GL8" s="57">
        <v>44593</v>
      </c>
      <c r="GM8" s="57">
        <v>44593</v>
      </c>
      <c r="GN8" s="57">
        <v>44593</v>
      </c>
      <c r="GO8" s="57">
        <v>44593</v>
      </c>
      <c r="GP8" s="57">
        <v>44593</v>
      </c>
      <c r="GQ8" s="57">
        <v>44593</v>
      </c>
      <c r="GR8" s="57">
        <v>44593</v>
      </c>
      <c r="GS8" s="57">
        <v>44593</v>
      </c>
      <c r="GT8" s="57">
        <v>44593</v>
      </c>
      <c r="GU8" s="57">
        <v>44593</v>
      </c>
      <c r="GV8" s="57">
        <v>44593</v>
      </c>
      <c r="GW8" s="57">
        <v>44593</v>
      </c>
      <c r="GX8" s="57">
        <v>44593</v>
      </c>
      <c r="GY8" s="57">
        <v>44593</v>
      </c>
      <c r="GZ8" s="57">
        <v>44593</v>
      </c>
      <c r="HA8" s="57">
        <v>44593</v>
      </c>
      <c r="HB8" s="57">
        <v>44593</v>
      </c>
      <c r="HC8" s="57">
        <v>44593</v>
      </c>
      <c r="HD8" s="57">
        <v>44593</v>
      </c>
      <c r="HE8" s="57">
        <v>44593</v>
      </c>
      <c r="HF8" s="57">
        <v>44593</v>
      </c>
      <c r="HG8" s="57">
        <v>44593</v>
      </c>
      <c r="HH8" s="57">
        <v>44593</v>
      </c>
      <c r="HI8" s="57">
        <v>44593</v>
      </c>
      <c r="HJ8" s="57">
        <v>44593</v>
      </c>
      <c r="HK8" s="57">
        <v>44593</v>
      </c>
      <c r="HL8" s="57">
        <v>44593</v>
      </c>
      <c r="HM8" s="57">
        <v>44593</v>
      </c>
      <c r="HN8" s="57">
        <v>44593</v>
      </c>
      <c r="HO8" s="57">
        <v>44593</v>
      </c>
      <c r="HP8" s="57">
        <v>44593</v>
      </c>
      <c r="HQ8" s="57">
        <v>44593</v>
      </c>
      <c r="HR8" s="57">
        <v>44593</v>
      </c>
      <c r="HS8" s="57">
        <v>44593</v>
      </c>
      <c r="HT8" s="57">
        <v>44593</v>
      </c>
      <c r="HU8" s="57">
        <v>44593</v>
      </c>
      <c r="HV8" s="57">
        <v>44593</v>
      </c>
      <c r="HW8" s="57">
        <v>44593</v>
      </c>
      <c r="HX8" s="57">
        <v>44593</v>
      </c>
      <c r="HY8" s="57">
        <v>44593</v>
      </c>
      <c r="HZ8" s="57">
        <v>44593</v>
      </c>
      <c r="IA8" s="57">
        <v>44593</v>
      </c>
      <c r="IB8" s="57">
        <v>44593</v>
      </c>
      <c r="IC8" s="57">
        <v>44593</v>
      </c>
      <c r="ID8" s="57">
        <v>44593</v>
      </c>
      <c r="IE8" s="57">
        <v>44593</v>
      </c>
      <c r="IF8" s="57">
        <v>44593</v>
      </c>
      <c r="IG8" s="57">
        <v>44593</v>
      </c>
      <c r="IH8" s="57">
        <v>44593</v>
      </c>
      <c r="II8" s="57">
        <v>44593</v>
      </c>
      <c r="IJ8" s="57">
        <v>44593</v>
      </c>
      <c r="IK8" s="57">
        <v>44593</v>
      </c>
      <c r="IL8" s="57">
        <v>44593</v>
      </c>
      <c r="IM8" s="57">
        <v>44593</v>
      </c>
      <c r="IN8" s="57">
        <v>44593</v>
      </c>
      <c r="IO8" s="57">
        <v>44593</v>
      </c>
      <c r="IP8" s="57">
        <v>44593</v>
      </c>
      <c r="IQ8" s="57">
        <v>44593</v>
      </c>
    </row>
    <row r="9" spans="1:251">
      <c r="A9" s="54" t="s">
        <v>257</v>
      </c>
      <c r="B9" s="55">
        <v>92</v>
      </c>
      <c r="C9" s="55">
        <v>92</v>
      </c>
      <c r="D9" s="55">
        <v>92</v>
      </c>
      <c r="E9" s="55">
        <v>92</v>
      </c>
      <c r="F9" s="55">
        <v>92</v>
      </c>
      <c r="G9" s="55">
        <v>92</v>
      </c>
      <c r="H9" s="55">
        <v>92</v>
      </c>
      <c r="I9" s="55">
        <v>92</v>
      </c>
      <c r="J9" s="55">
        <v>92</v>
      </c>
      <c r="K9" s="55">
        <v>92</v>
      </c>
      <c r="L9" s="55">
        <v>92</v>
      </c>
      <c r="M9" s="55">
        <v>92</v>
      </c>
      <c r="N9" s="55">
        <v>92</v>
      </c>
      <c r="O9" s="55">
        <v>92</v>
      </c>
      <c r="P9" s="55">
        <v>92</v>
      </c>
      <c r="Q9" s="55">
        <v>92</v>
      </c>
      <c r="R9" s="55">
        <v>92</v>
      </c>
      <c r="S9" s="55">
        <v>92</v>
      </c>
      <c r="T9" s="55">
        <v>92</v>
      </c>
      <c r="U9" s="55">
        <v>92</v>
      </c>
      <c r="V9" s="55">
        <v>92</v>
      </c>
      <c r="W9" s="55">
        <v>92</v>
      </c>
      <c r="X9" s="55">
        <v>92</v>
      </c>
      <c r="Y9" s="55">
        <v>92</v>
      </c>
      <c r="Z9" s="55">
        <v>92</v>
      </c>
      <c r="AA9" s="55">
        <v>92</v>
      </c>
      <c r="AB9" s="55">
        <v>92</v>
      </c>
      <c r="AC9" s="55">
        <v>92</v>
      </c>
      <c r="AD9" s="55">
        <v>92</v>
      </c>
      <c r="AE9" s="55">
        <v>92</v>
      </c>
      <c r="AF9" s="55">
        <v>92</v>
      </c>
      <c r="AG9" s="55">
        <v>92</v>
      </c>
      <c r="AH9" s="55">
        <v>92</v>
      </c>
      <c r="AI9" s="55">
        <v>92</v>
      </c>
      <c r="AJ9" s="55">
        <v>92</v>
      </c>
      <c r="AK9" s="55">
        <v>92</v>
      </c>
      <c r="AL9" s="55">
        <v>92</v>
      </c>
      <c r="AM9" s="55">
        <v>92</v>
      </c>
      <c r="AN9" s="55">
        <v>92</v>
      </c>
      <c r="AO9" s="55">
        <v>92</v>
      </c>
      <c r="AP9" s="55">
        <v>92</v>
      </c>
      <c r="AQ9" s="55">
        <v>92</v>
      </c>
      <c r="AR9" s="55">
        <v>92</v>
      </c>
      <c r="AS9" s="55">
        <v>92</v>
      </c>
      <c r="AT9" s="55">
        <v>92</v>
      </c>
      <c r="AU9" s="55">
        <v>92</v>
      </c>
      <c r="AV9" s="55">
        <v>92</v>
      </c>
      <c r="AW9" s="55">
        <v>92</v>
      </c>
      <c r="AX9" s="55">
        <v>92</v>
      </c>
      <c r="AY9" s="55">
        <v>92</v>
      </c>
      <c r="AZ9" s="55">
        <v>92</v>
      </c>
      <c r="BA9" s="55">
        <v>92</v>
      </c>
      <c r="BB9" s="55">
        <v>92</v>
      </c>
      <c r="BC9" s="55">
        <v>92</v>
      </c>
      <c r="BD9" s="55">
        <v>92</v>
      </c>
      <c r="BE9" s="55">
        <v>92</v>
      </c>
      <c r="BF9" s="55">
        <v>92</v>
      </c>
      <c r="BG9" s="55">
        <v>92</v>
      </c>
      <c r="BH9" s="55">
        <v>92</v>
      </c>
      <c r="BI9" s="55">
        <v>92</v>
      </c>
      <c r="BJ9" s="55">
        <v>92</v>
      </c>
      <c r="BK9" s="55">
        <v>92</v>
      </c>
      <c r="BL9" s="55">
        <v>92</v>
      </c>
      <c r="BM9" s="55">
        <v>92</v>
      </c>
      <c r="BN9" s="55">
        <v>92</v>
      </c>
      <c r="BO9" s="55">
        <v>92</v>
      </c>
      <c r="BP9" s="55">
        <v>92</v>
      </c>
      <c r="BQ9" s="55">
        <v>92</v>
      </c>
      <c r="BR9" s="55">
        <v>92</v>
      </c>
      <c r="BS9" s="55">
        <v>92</v>
      </c>
      <c r="BT9" s="55">
        <v>92</v>
      </c>
      <c r="BU9" s="55">
        <v>92</v>
      </c>
      <c r="BV9" s="55">
        <v>92</v>
      </c>
      <c r="BW9" s="55">
        <v>92</v>
      </c>
      <c r="BX9" s="55">
        <v>92</v>
      </c>
      <c r="BY9" s="55">
        <v>92</v>
      </c>
      <c r="BZ9" s="55">
        <v>92</v>
      </c>
      <c r="CA9" s="55">
        <v>92</v>
      </c>
      <c r="CB9" s="55">
        <v>92</v>
      </c>
      <c r="CC9" s="55">
        <v>92</v>
      </c>
      <c r="CD9" s="55">
        <v>92</v>
      </c>
      <c r="CE9" s="55">
        <v>92</v>
      </c>
      <c r="CF9" s="55">
        <v>92</v>
      </c>
      <c r="CG9" s="55">
        <v>92</v>
      </c>
      <c r="CH9" s="55">
        <v>92</v>
      </c>
      <c r="CI9" s="55">
        <v>92</v>
      </c>
      <c r="CJ9" s="55">
        <v>92</v>
      </c>
      <c r="CK9" s="55">
        <v>92</v>
      </c>
      <c r="CL9" s="55">
        <v>92</v>
      </c>
      <c r="CM9" s="55">
        <v>92</v>
      </c>
      <c r="CN9" s="55">
        <v>92</v>
      </c>
      <c r="CO9" s="55">
        <v>92</v>
      </c>
      <c r="CP9" s="55">
        <v>92</v>
      </c>
      <c r="CQ9" s="55">
        <v>92</v>
      </c>
      <c r="CR9" s="55">
        <v>92</v>
      </c>
      <c r="CS9" s="55">
        <v>92</v>
      </c>
      <c r="CT9" s="55">
        <v>92</v>
      </c>
      <c r="CU9" s="55">
        <v>92</v>
      </c>
      <c r="CV9" s="55">
        <v>92</v>
      </c>
      <c r="CW9" s="55">
        <v>92</v>
      </c>
      <c r="CX9" s="55">
        <v>92</v>
      </c>
      <c r="CY9" s="55">
        <v>92</v>
      </c>
      <c r="CZ9" s="55">
        <v>92</v>
      </c>
      <c r="DA9" s="55">
        <v>92</v>
      </c>
      <c r="DB9" s="55">
        <v>92</v>
      </c>
      <c r="DC9" s="55">
        <v>92</v>
      </c>
      <c r="DD9" s="55">
        <v>92</v>
      </c>
      <c r="DE9" s="55">
        <v>92</v>
      </c>
      <c r="DF9" s="55">
        <v>92</v>
      </c>
      <c r="DG9" s="55">
        <v>92</v>
      </c>
      <c r="DH9" s="55">
        <v>92</v>
      </c>
      <c r="DI9" s="55">
        <v>92</v>
      </c>
      <c r="DJ9" s="55">
        <v>92</v>
      </c>
      <c r="DK9" s="55">
        <v>92</v>
      </c>
      <c r="DL9" s="55">
        <v>92</v>
      </c>
      <c r="DM9" s="55">
        <v>92</v>
      </c>
      <c r="DN9" s="55">
        <v>92</v>
      </c>
      <c r="DO9" s="55">
        <v>92</v>
      </c>
      <c r="DP9" s="55">
        <v>92</v>
      </c>
      <c r="DQ9" s="55">
        <v>92</v>
      </c>
      <c r="DR9" s="55">
        <v>92</v>
      </c>
      <c r="DS9" s="55">
        <v>92</v>
      </c>
      <c r="DT9" s="55">
        <v>92</v>
      </c>
      <c r="DU9" s="55">
        <v>92</v>
      </c>
      <c r="DV9" s="55">
        <v>92</v>
      </c>
      <c r="DW9" s="55">
        <v>92</v>
      </c>
      <c r="DX9" s="55">
        <v>92</v>
      </c>
      <c r="DY9" s="55">
        <v>92</v>
      </c>
      <c r="DZ9" s="55">
        <v>92</v>
      </c>
      <c r="EA9" s="55">
        <v>92</v>
      </c>
      <c r="EB9" s="55">
        <v>92</v>
      </c>
      <c r="EC9" s="55">
        <v>92</v>
      </c>
      <c r="ED9" s="55">
        <v>92</v>
      </c>
      <c r="EE9" s="55">
        <v>92</v>
      </c>
      <c r="EF9" s="55">
        <v>92</v>
      </c>
      <c r="EG9" s="55">
        <v>92</v>
      </c>
      <c r="EH9" s="55">
        <v>92</v>
      </c>
      <c r="EI9" s="55">
        <v>92</v>
      </c>
      <c r="EJ9" s="55">
        <v>92</v>
      </c>
      <c r="EK9" s="55">
        <v>92</v>
      </c>
      <c r="EL9" s="55">
        <v>92</v>
      </c>
      <c r="EM9" s="55">
        <v>92</v>
      </c>
      <c r="EN9" s="55">
        <v>92</v>
      </c>
      <c r="EO9" s="55">
        <v>92</v>
      </c>
      <c r="EP9" s="55">
        <v>92</v>
      </c>
      <c r="EQ9" s="55">
        <v>92</v>
      </c>
      <c r="ER9" s="55">
        <v>92</v>
      </c>
      <c r="ES9" s="55">
        <v>92</v>
      </c>
      <c r="ET9" s="55">
        <v>92</v>
      </c>
      <c r="EU9" s="55">
        <v>92</v>
      </c>
      <c r="EV9" s="55">
        <v>92</v>
      </c>
      <c r="EW9" s="55">
        <v>92</v>
      </c>
      <c r="EX9" s="55">
        <v>92</v>
      </c>
      <c r="EY9" s="55">
        <v>92</v>
      </c>
      <c r="EZ9" s="55">
        <v>92</v>
      </c>
      <c r="FA9" s="55">
        <v>92</v>
      </c>
      <c r="FB9" s="55">
        <v>92</v>
      </c>
      <c r="FC9" s="55">
        <v>92</v>
      </c>
      <c r="FD9" s="55">
        <v>92</v>
      </c>
      <c r="FE9" s="55">
        <v>92</v>
      </c>
      <c r="FF9" s="55">
        <v>92</v>
      </c>
      <c r="FG9" s="55">
        <v>92</v>
      </c>
      <c r="FH9" s="55">
        <v>92</v>
      </c>
      <c r="FI9" s="55">
        <v>92</v>
      </c>
      <c r="FJ9" s="55">
        <v>92</v>
      </c>
      <c r="FK9" s="55">
        <v>92</v>
      </c>
      <c r="FL9" s="55">
        <v>92</v>
      </c>
      <c r="FM9" s="55">
        <v>92</v>
      </c>
      <c r="FN9" s="55">
        <v>92</v>
      </c>
      <c r="FO9" s="55">
        <v>92</v>
      </c>
      <c r="FP9" s="55">
        <v>92</v>
      </c>
      <c r="FQ9" s="55">
        <v>92</v>
      </c>
      <c r="FR9" s="55">
        <v>92</v>
      </c>
      <c r="FS9" s="55">
        <v>92</v>
      </c>
      <c r="FT9" s="55">
        <v>92</v>
      </c>
      <c r="FU9" s="55">
        <v>92</v>
      </c>
      <c r="FV9" s="55">
        <v>92</v>
      </c>
      <c r="FW9" s="55">
        <v>92</v>
      </c>
      <c r="FX9" s="55">
        <v>92</v>
      </c>
      <c r="FY9" s="55">
        <v>92</v>
      </c>
      <c r="FZ9" s="55">
        <v>92</v>
      </c>
      <c r="GA9" s="55">
        <v>92</v>
      </c>
      <c r="GB9" s="55">
        <v>92</v>
      </c>
      <c r="GC9" s="55">
        <v>92</v>
      </c>
      <c r="GD9" s="55">
        <v>92</v>
      </c>
      <c r="GE9" s="55">
        <v>92</v>
      </c>
      <c r="GF9" s="55">
        <v>92</v>
      </c>
      <c r="GG9" s="55">
        <v>92</v>
      </c>
      <c r="GH9" s="55">
        <v>92</v>
      </c>
      <c r="GI9" s="55">
        <v>92</v>
      </c>
      <c r="GJ9" s="55">
        <v>92</v>
      </c>
      <c r="GK9" s="55">
        <v>92</v>
      </c>
      <c r="GL9" s="55">
        <v>92</v>
      </c>
      <c r="GM9" s="55">
        <v>92</v>
      </c>
      <c r="GN9" s="55">
        <v>92</v>
      </c>
      <c r="GO9" s="55">
        <v>92</v>
      </c>
      <c r="GP9" s="55">
        <v>92</v>
      </c>
      <c r="GQ9" s="55">
        <v>92</v>
      </c>
      <c r="GR9" s="55">
        <v>92</v>
      </c>
      <c r="GS9" s="55">
        <v>92</v>
      </c>
      <c r="GT9" s="55">
        <v>92</v>
      </c>
      <c r="GU9" s="55">
        <v>92</v>
      </c>
      <c r="GV9" s="55">
        <v>92</v>
      </c>
      <c r="GW9" s="55">
        <v>92</v>
      </c>
      <c r="GX9" s="55">
        <v>92</v>
      </c>
      <c r="GY9" s="55">
        <v>92</v>
      </c>
      <c r="GZ9" s="55">
        <v>92</v>
      </c>
      <c r="HA9" s="55">
        <v>92</v>
      </c>
      <c r="HB9" s="55">
        <v>92</v>
      </c>
      <c r="HC9" s="55">
        <v>92</v>
      </c>
      <c r="HD9" s="55">
        <v>92</v>
      </c>
      <c r="HE9" s="55">
        <v>92</v>
      </c>
      <c r="HF9" s="55">
        <v>92</v>
      </c>
      <c r="HG9" s="55">
        <v>92</v>
      </c>
      <c r="HH9" s="55">
        <v>92</v>
      </c>
      <c r="HI9" s="55">
        <v>92</v>
      </c>
      <c r="HJ9" s="55">
        <v>92</v>
      </c>
      <c r="HK9" s="55">
        <v>92</v>
      </c>
      <c r="HL9" s="55">
        <v>92</v>
      </c>
      <c r="HM9" s="55">
        <v>92</v>
      </c>
      <c r="HN9" s="55">
        <v>92</v>
      </c>
      <c r="HO9" s="55">
        <v>92</v>
      </c>
      <c r="HP9" s="55">
        <v>92</v>
      </c>
      <c r="HQ9" s="55">
        <v>92</v>
      </c>
      <c r="HR9" s="55">
        <v>92</v>
      </c>
      <c r="HS9" s="55">
        <v>92</v>
      </c>
      <c r="HT9" s="55">
        <v>92</v>
      </c>
      <c r="HU9" s="55">
        <v>92</v>
      </c>
      <c r="HV9" s="55">
        <v>92</v>
      </c>
      <c r="HW9" s="55">
        <v>92</v>
      </c>
      <c r="HX9" s="55">
        <v>92</v>
      </c>
      <c r="HY9" s="55">
        <v>92</v>
      </c>
      <c r="HZ9" s="55">
        <v>92</v>
      </c>
      <c r="IA9" s="55">
        <v>92</v>
      </c>
      <c r="IB9" s="55">
        <v>92</v>
      </c>
      <c r="IC9" s="55">
        <v>92</v>
      </c>
      <c r="ID9" s="55">
        <v>92</v>
      </c>
      <c r="IE9" s="55">
        <v>92</v>
      </c>
      <c r="IF9" s="55">
        <v>92</v>
      </c>
      <c r="IG9" s="55">
        <v>92</v>
      </c>
      <c r="IH9" s="55">
        <v>92</v>
      </c>
      <c r="II9" s="55">
        <v>92</v>
      </c>
      <c r="IJ9" s="55">
        <v>92</v>
      </c>
      <c r="IK9" s="55">
        <v>92</v>
      </c>
      <c r="IL9" s="55">
        <v>92</v>
      </c>
      <c r="IM9" s="55">
        <v>92</v>
      </c>
      <c r="IN9" s="55">
        <v>92</v>
      </c>
      <c r="IO9" s="55">
        <v>92</v>
      </c>
      <c r="IP9" s="55">
        <v>92</v>
      </c>
      <c r="IQ9" s="55">
        <v>92</v>
      </c>
    </row>
    <row r="10" spans="1:251">
      <c r="A10" s="54" t="s">
        <v>258</v>
      </c>
      <c r="B10" s="4" t="s">
        <v>763</v>
      </c>
      <c r="C10" s="4" t="s">
        <v>764</v>
      </c>
      <c r="D10" s="4" t="s">
        <v>765</v>
      </c>
      <c r="E10" s="4" t="s">
        <v>766</v>
      </c>
      <c r="F10" s="4" t="s">
        <v>767</v>
      </c>
      <c r="G10" s="4" t="s">
        <v>768</v>
      </c>
      <c r="H10" s="4" t="s">
        <v>769</v>
      </c>
      <c r="I10" s="4" t="s">
        <v>770</v>
      </c>
      <c r="J10" s="4" t="s">
        <v>771</v>
      </c>
      <c r="K10" s="4" t="s">
        <v>772</v>
      </c>
      <c r="L10" s="4" t="s">
        <v>773</v>
      </c>
      <c r="M10" s="4" t="s">
        <v>774</v>
      </c>
      <c r="N10" s="4" t="s">
        <v>775</v>
      </c>
      <c r="O10" s="4" t="s">
        <v>776</v>
      </c>
      <c r="P10" s="4" t="s">
        <v>777</v>
      </c>
      <c r="Q10" s="4" t="s">
        <v>778</v>
      </c>
      <c r="R10" s="4" t="s">
        <v>779</v>
      </c>
      <c r="S10" s="4" t="s">
        <v>780</v>
      </c>
      <c r="T10" s="4" t="s">
        <v>781</v>
      </c>
      <c r="U10" s="4" t="s">
        <v>782</v>
      </c>
      <c r="V10" s="4" t="s">
        <v>783</v>
      </c>
      <c r="W10" s="4" t="s">
        <v>784</v>
      </c>
      <c r="X10" s="4" t="s">
        <v>785</v>
      </c>
      <c r="Y10" s="4" t="s">
        <v>786</v>
      </c>
      <c r="Z10" s="4" t="s">
        <v>787</v>
      </c>
      <c r="AA10" s="4" t="s">
        <v>788</v>
      </c>
      <c r="AB10" s="4" t="s">
        <v>789</v>
      </c>
      <c r="AC10" s="4" t="s">
        <v>790</v>
      </c>
      <c r="AD10" s="4" t="s">
        <v>791</v>
      </c>
      <c r="AE10" s="4" t="s">
        <v>792</v>
      </c>
      <c r="AF10" s="4" t="s">
        <v>793</v>
      </c>
      <c r="AG10" s="4" t="s">
        <v>794</v>
      </c>
      <c r="AH10" s="4" t="s">
        <v>795</v>
      </c>
      <c r="AI10" s="4" t="s">
        <v>796</v>
      </c>
      <c r="AJ10" s="4" t="s">
        <v>797</v>
      </c>
      <c r="AK10" s="4" t="s">
        <v>798</v>
      </c>
      <c r="AL10" s="4" t="s">
        <v>799</v>
      </c>
      <c r="AM10" s="4" t="s">
        <v>800</v>
      </c>
      <c r="AN10" s="4" t="s">
        <v>801</v>
      </c>
      <c r="AO10" s="4" t="s">
        <v>802</v>
      </c>
      <c r="AP10" s="4" t="s">
        <v>803</v>
      </c>
      <c r="AQ10" s="4" t="s">
        <v>804</v>
      </c>
      <c r="AR10" s="4" t="s">
        <v>805</v>
      </c>
      <c r="AS10" s="4" t="s">
        <v>806</v>
      </c>
      <c r="AT10" s="4" t="s">
        <v>807</v>
      </c>
      <c r="AU10" s="4" t="s">
        <v>808</v>
      </c>
      <c r="AV10" s="4" t="s">
        <v>809</v>
      </c>
      <c r="AW10" s="4" t="s">
        <v>810</v>
      </c>
      <c r="AX10" s="4" t="s">
        <v>811</v>
      </c>
      <c r="AY10" s="4" t="s">
        <v>812</v>
      </c>
      <c r="AZ10" s="4" t="s">
        <v>813</v>
      </c>
      <c r="BA10" s="4" t="s">
        <v>814</v>
      </c>
      <c r="BB10" s="4" t="s">
        <v>815</v>
      </c>
      <c r="BC10" s="4" t="s">
        <v>816</v>
      </c>
      <c r="BD10" s="4" t="s">
        <v>817</v>
      </c>
      <c r="BE10" s="4" t="s">
        <v>818</v>
      </c>
      <c r="BF10" s="4" t="s">
        <v>819</v>
      </c>
      <c r="BG10" s="4" t="s">
        <v>820</v>
      </c>
      <c r="BH10" s="4" t="s">
        <v>821</v>
      </c>
      <c r="BI10" s="4" t="s">
        <v>822</v>
      </c>
      <c r="BJ10" s="4" t="s">
        <v>823</v>
      </c>
      <c r="BK10" s="4" t="s">
        <v>824</v>
      </c>
      <c r="BL10" s="4" t="s">
        <v>825</v>
      </c>
      <c r="BM10" s="4" t="s">
        <v>826</v>
      </c>
      <c r="BN10" s="4" t="s">
        <v>827</v>
      </c>
      <c r="BO10" s="4" t="s">
        <v>828</v>
      </c>
      <c r="BP10" s="4" t="s">
        <v>829</v>
      </c>
      <c r="BQ10" s="4" t="s">
        <v>830</v>
      </c>
      <c r="BR10" s="4" t="s">
        <v>831</v>
      </c>
      <c r="BS10" s="4" t="s">
        <v>832</v>
      </c>
      <c r="BT10" s="4" t="s">
        <v>833</v>
      </c>
      <c r="BU10" s="4" t="s">
        <v>834</v>
      </c>
      <c r="BV10" s="4" t="s">
        <v>835</v>
      </c>
      <c r="BW10" s="4" t="s">
        <v>836</v>
      </c>
      <c r="BX10" s="4" t="s">
        <v>837</v>
      </c>
      <c r="BY10" s="4" t="s">
        <v>838</v>
      </c>
      <c r="BZ10" s="4" t="s">
        <v>839</v>
      </c>
      <c r="CA10" s="4" t="s">
        <v>840</v>
      </c>
      <c r="CB10" s="4" t="s">
        <v>841</v>
      </c>
      <c r="CC10" s="4" t="s">
        <v>842</v>
      </c>
      <c r="CD10" s="4" t="s">
        <v>843</v>
      </c>
      <c r="CE10" s="4" t="s">
        <v>844</v>
      </c>
      <c r="CF10" s="4" t="s">
        <v>845</v>
      </c>
      <c r="CG10" s="4" t="s">
        <v>846</v>
      </c>
      <c r="CH10" s="4" t="s">
        <v>847</v>
      </c>
      <c r="CI10" s="4" t="s">
        <v>848</v>
      </c>
      <c r="CJ10" s="4" t="s">
        <v>849</v>
      </c>
      <c r="CK10" s="4" t="s">
        <v>850</v>
      </c>
      <c r="CL10" s="4" t="s">
        <v>851</v>
      </c>
      <c r="CM10" s="4" t="s">
        <v>852</v>
      </c>
      <c r="CN10" s="4" t="s">
        <v>853</v>
      </c>
      <c r="CO10" s="4" t="s">
        <v>854</v>
      </c>
      <c r="CP10" s="4" t="s">
        <v>855</v>
      </c>
      <c r="CQ10" s="4" t="s">
        <v>856</v>
      </c>
      <c r="CR10" s="4" t="s">
        <v>857</v>
      </c>
      <c r="CS10" s="4" t="s">
        <v>858</v>
      </c>
      <c r="CT10" s="4" t="s">
        <v>859</v>
      </c>
      <c r="CU10" s="4" t="s">
        <v>860</v>
      </c>
      <c r="CV10" s="4" t="s">
        <v>861</v>
      </c>
      <c r="CW10" s="4" t="s">
        <v>862</v>
      </c>
      <c r="CX10" s="4" t="s">
        <v>863</v>
      </c>
      <c r="CY10" s="4" t="s">
        <v>864</v>
      </c>
      <c r="CZ10" s="4" t="s">
        <v>865</v>
      </c>
      <c r="DA10" s="4" t="s">
        <v>866</v>
      </c>
      <c r="DB10" s="4" t="s">
        <v>867</v>
      </c>
      <c r="DC10" s="4" t="s">
        <v>868</v>
      </c>
      <c r="DD10" s="4" t="s">
        <v>869</v>
      </c>
      <c r="DE10" s="4" t="s">
        <v>870</v>
      </c>
      <c r="DF10" s="4" t="s">
        <v>871</v>
      </c>
      <c r="DG10" s="4" t="s">
        <v>872</v>
      </c>
      <c r="DH10" s="4" t="s">
        <v>873</v>
      </c>
      <c r="DI10" s="4" t="s">
        <v>874</v>
      </c>
      <c r="DJ10" s="4" t="s">
        <v>875</v>
      </c>
      <c r="DK10" s="4" t="s">
        <v>876</v>
      </c>
      <c r="DL10" s="4" t="s">
        <v>877</v>
      </c>
      <c r="DM10" s="4" t="s">
        <v>878</v>
      </c>
      <c r="DN10" s="4" t="s">
        <v>879</v>
      </c>
      <c r="DO10" s="4" t="s">
        <v>880</v>
      </c>
      <c r="DP10" s="4" t="s">
        <v>881</v>
      </c>
      <c r="DQ10" s="4" t="s">
        <v>882</v>
      </c>
      <c r="DR10" s="4" t="s">
        <v>883</v>
      </c>
      <c r="DS10" s="4" t="s">
        <v>884</v>
      </c>
      <c r="DT10" s="4" t="s">
        <v>885</v>
      </c>
      <c r="DU10" s="4" t="s">
        <v>886</v>
      </c>
      <c r="DV10" s="4" t="s">
        <v>887</v>
      </c>
      <c r="DW10" s="4" t="s">
        <v>888</v>
      </c>
      <c r="DX10" s="4" t="s">
        <v>889</v>
      </c>
      <c r="DY10" s="4" t="s">
        <v>890</v>
      </c>
      <c r="DZ10" s="4" t="s">
        <v>891</v>
      </c>
      <c r="EA10" s="4" t="s">
        <v>892</v>
      </c>
      <c r="EB10" s="4" t="s">
        <v>893</v>
      </c>
      <c r="EC10" s="4" t="s">
        <v>894</v>
      </c>
      <c r="ED10" s="4" t="s">
        <v>895</v>
      </c>
      <c r="EE10" s="4" t="s">
        <v>896</v>
      </c>
      <c r="EF10" s="4" t="s">
        <v>897</v>
      </c>
      <c r="EG10" s="4" t="s">
        <v>898</v>
      </c>
      <c r="EH10" s="4" t="s">
        <v>899</v>
      </c>
      <c r="EI10" s="4" t="s">
        <v>900</v>
      </c>
      <c r="EJ10" s="4" t="s">
        <v>901</v>
      </c>
      <c r="EK10" s="4" t="s">
        <v>902</v>
      </c>
      <c r="EL10" s="4" t="s">
        <v>903</v>
      </c>
      <c r="EM10" s="4" t="s">
        <v>904</v>
      </c>
      <c r="EN10" s="4" t="s">
        <v>905</v>
      </c>
      <c r="EO10" s="4" t="s">
        <v>906</v>
      </c>
      <c r="EP10" s="4" t="s">
        <v>907</v>
      </c>
      <c r="EQ10" s="4" t="s">
        <v>908</v>
      </c>
      <c r="ER10" s="4" t="s">
        <v>909</v>
      </c>
      <c r="ES10" s="4" t="s">
        <v>910</v>
      </c>
      <c r="ET10" s="4" t="s">
        <v>911</v>
      </c>
      <c r="EU10" s="4" t="s">
        <v>912</v>
      </c>
      <c r="EV10" s="4" t="s">
        <v>913</v>
      </c>
      <c r="EW10" s="4" t="s">
        <v>914</v>
      </c>
      <c r="EX10" s="4" t="s">
        <v>915</v>
      </c>
      <c r="EY10" s="4" t="s">
        <v>916</v>
      </c>
      <c r="EZ10" s="4" t="s">
        <v>917</v>
      </c>
      <c r="FA10" s="4" t="s">
        <v>918</v>
      </c>
      <c r="FB10" s="4" t="s">
        <v>919</v>
      </c>
      <c r="FC10" s="4" t="s">
        <v>920</v>
      </c>
      <c r="FD10" s="4" t="s">
        <v>921</v>
      </c>
      <c r="FE10" s="4" t="s">
        <v>922</v>
      </c>
      <c r="FF10" s="4" t="s">
        <v>923</v>
      </c>
      <c r="FG10" s="4" t="s">
        <v>924</v>
      </c>
      <c r="FH10" s="4" t="s">
        <v>925</v>
      </c>
      <c r="FI10" s="4" t="s">
        <v>926</v>
      </c>
      <c r="FJ10" s="4" t="s">
        <v>927</v>
      </c>
      <c r="FK10" s="4" t="s">
        <v>928</v>
      </c>
      <c r="FL10" s="4" t="s">
        <v>929</v>
      </c>
      <c r="FM10" s="4" t="s">
        <v>930</v>
      </c>
      <c r="FN10" s="4" t="s">
        <v>931</v>
      </c>
      <c r="FO10" s="4" t="s">
        <v>932</v>
      </c>
      <c r="FP10" s="4" t="s">
        <v>933</v>
      </c>
      <c r="FQ10" s="4" t="s">
        <v>934</v>
      </c>
      <c r="FR10" s="4" t="s">
        <v>935</v>
      </c>
      <c r="FS10" s="4" t="s">
        <v>936</v>
      </c>
      <c r="FT10" s="4" t="s">
        <v>937</v>
      </c>
      <c r="FU10" s="4" t="s">
        <v>938</v>
      </c>
      <c r="FV10" s="4" t="s">
        <v>939</v>
      </c>
      <c r="FW10" s="4" t="s">
        <v>940</v>
      </c>
      <c r="FX10" s="4" t="s">
        <v>941</v>
      </c>
      <c r="FY10" s="4" t="s">
        <v>942</v>
      </c>
      <c r="FZ10" s="4" t="s">
        <v>943</v>
      </c>
      <c r="GA10" s="4" t="s">
        <v>944</v>
      </c>
      <c r="GB10" s="4" t="s">
        <v>945</v>
      </c>
      <c r="GC10" s="4" t="s">
        <v>946</v>
      </c>
      <c r="GD10" s="4" t="s">
        <v>947</v>
      </c>
      <c r="GE10" s="4" t="s">
        <v>948</v>
      </c>
      <c r="GF10" s="4" t="s">
        <v>949</v>
      </c>
      <c r="GG10" s="4" t="s">
        <v>950</v>
      </c>
      <c r="GH10" s="4" t="s">
        <v>951</v>
      </c>
      <c r="GI10" s="4" t="s">
        <v>952</v>
      </c>
      <c r="GJ10" s="4" t="s">
        <v>953</v>
      </c>
      <c r="GK10" s="4" t="s">
        <v>954</v>
      </c>
      <c r="GL10" s="4" t="s">
        <v>955</v>
      </c>
      <c r="GM10" s="4" t="s">
        <v>956</v>
      </c>
      <c r="GN10" s="4" t="s">
        <v>957</v>
      </c>
      <c r="GO10" s="4" t="s">
        <v>958</v>
      </c>
      <c r="GP10" s="4" t="s">
        <v>959</v>
      </c>
      <c r="GQ10" s="4" t="s">
        <v>960</v>
      </c>
      <c r="GR10" s="4" t="s">
        <v>961</v>
      </c>
      <c r="GS10" s="4" t="s">
        <v>962</v>
      </c>
      <c r="GT10" s="4" t="s">
        <v>963</v>
      </c>
      <c r="GU10" s="4" t="s">
        <v>964</v>
      </c>
      <c r="GV10" s="4" t="s">
        <v>965</v>
      </c>
      <c r="GW10" s="4" t="s">
        <v>966</v>
      </c>
      <c r="GX10" s="4" t="s">
        <v>967</v>
      </c>
      <c r="GY10" s="4" t="s">
        <v>968</v>
      </c>
      <c r="GZ10" s="4" t="s">
        <v>969</v>
      </c>
      <c r="HA10" s="4" t="s">
        <v>970</v>
      </c>
      <c r="HB10" s="4" t="s">
        <v>971</v>
      </c>
      <c r="HC10" s="4" t="s">
        <v>972</v>
      </c>
      <c r="HD10" s="4" t="s">
        <v>973</v>
      </c>
      <c r="HE10" s="4" t="s">
        <v>974</v>
      </c>
      <c r="HF10" s="4" t="s">
        <v>975</v>
      </c>
      <c r="HG10" s="4" t="s">
        <v>976</v>
      </c>
      <c r="HH10" s="4" t="s">
        <v>977</v>
      </c>
      <c r="HI10" s="4" t="s">
        <v>978</v>
      </c>
      <c r="HJ10" s="4" t="s">
        <v>979</v>
      </c>
      <c r="HK10" s="4" t="s">
        <v>980</v>
      </c>
      <c r="HL10" s="4" t="s">
        <v>981</v>
      </c>
      <c r="HM10" s="4" t="s">
        <v>982</v>
      </c>
      <c r="HN10" s="4" t="s">
        <v>983</v>
      </c>
      <c r="HO10" s="4" t="s">
        <v>984</v>
      </c>
      <c r="HP10" s="4" t="s">
        <v>985</v>
      </c>
      <c r="HQ10" s="4" t="s">
        <v>986</v>
      </c>
      <c r="HR10" s="4" t="s">
        <v>987</v>
      </c>
      <c r="HS10" s="4" t="s">
        <v>988</v>
      </c>
      <c r="HT10" s="4" t="s">
        <v>989</v>
      </c>
      <c r="HU10" s="4" t="s">
        <v>990</v>
      </c>
      <c r="HV10" s="4" t="s">
        <v>991</v>
      </c>
      <c r="HW10" s="4" t="s">
        <v>992</v>
      </c>
      <c r="HX10" s="4" t="s">
        <v>993</v>
      </c>
      <c r="HY10" s="4" t="s">
        <v>994</v>
      </c>
      <c r="HZ10" s="4" t="s">
        <v>995</v>
      </c>
      <c r="IA10" s="4" t="s">
        <v>996</v>
      </c>
      <c r="IB10" s="4" t="s">
        <v>997</v>
      </c>
      <c r="IC10" s="4" t="s">
        <v>998</v>
      </c>
      <c r="ID10" s="4" t="s">
        <v>999</v>
      </c>
      <c r="IE10" s="4" t="s">
        <v>1000</v>
      </c>
      <c r="IF10" s="4" t="s">
        <v>1001</v>
      </c>
      <c r="IG10" s="4" t="s">
        <v>1002</v>
      </c>
      <c r="IH10" s="4" t="s">
        <v>1003</v>
      </c>
      <c r="II10" s="4" t="s">
        <v>1004</v>
      </c>
      <c r="IJ10" s="4" t="s">
        <v>1005</v>
      </c>
      <c r="IK10" s="4" t="s">
        <v>1006</v>
      </c>
      <c r="IL10" s="4" t="s">
        <v>1007</v>
      </c>
      <c r="IM10" s="4" t="s">
        <v>1008</v>
      </c>
      <c r="IN10" s="4" t="s">
        <v>1009</v>
      </c>
      <c r="IO10" s="4" t="s">
        <v>1010</v>
      </c>
      <c r="IP10" s="4" t="s">
        <v>1011</v>
      </c>
      <c r="IQ10" s="4" t="s">
        <v>1012</v>
      </c>
    </row>
    <row r="11" spans="1:251">
      <c r="A11" s="5">
        <v>41821</v>
      </c>
      <c r="B11" s="58">
        <v>13.968999999999999</v>
      </c>
      <c r="C11" s="58">
        <v>18.701000000000001</v>
      </c>
      <c r="D11" s="58">
        <v>355.37799999999999</v>
      </c>
      <c r="E11" s="58">
        <v>212.91399999999999</v>
      </c>
      <c r="F11" s="58">
        <v>142.464</v>
      </c>
      <c r="G11" s="58">
        <v>179.73</v>
      </c>
      <c r="H11" s="58">
        <v>134.72800000000001</v>
      </c>
      <c r="I11" s="58">
        <v>45.002000000000002</v>
      </c>
      <c r="J11" s="58">
        <v>175.648</v>
      </c>
      <c r="K11" s="58">
        <v>78.186000000000007</v>
      </c>
      <c r="L11" s="58">
        <v>97.462000000000003</v>
      </c>
      <c r="M11" s="58">
        <v>197.99600000000001</v>
      </c>
      <c r="N11" s="58">
        <v>145.84800000000001</v>
      </c>
      <c r="O11" s="58">
        <v>52.148000000000003</v>
      </c>
      <c r="P11" s="58">
        <v>185.209</v>
      </c>
      <c r="Q11" s="58">
        <v>81.447999999999993</v>
      </c>
      <c r="R11" s="58">
        <v>103.761</v>
      </c>
      <c r="S11" s="58">
        <v>188.84200000000001</v>
      </c>
      <c r="T11" s="58">
        <v>85.268000000000001</v>
      </c>
      <c r="U11" s="58">
        <v>103.57299999999999</v>
      </c>
      <c r="V11" s="58">
        <v>2536.7060000000001</v>
      </c>
      <c r="W11" s="58">
        <v>1385.354</v>
      </c>
      <c r="X11" s="58">
        <v>1151.3520000000001</v>
      </c>
      <c r="Y11" s="58">
        <v>1875.83</v>
      </c>
      <c r="Z11" s="58">
        <v>1267.8440000000001</v>
      </c>
      <c r="AA11" s="58">
        <v>607.98599999999999</v>
      </c>
      <c r="AB11" s="58">
        <v>660.87599999999998</v>
      </c>
      <c r="AC11" s="58">
        <v>117.51</v>
      </c>
      <c r="AD11" s="58">
        <v>543.36599999999999</v>
      </c>
      <c r="AE11" s="58">
        <v>301.93200000000002</v>
      </c>
      <c r="AF11" s="58">
        <v>158.36199999999999</v>
      </c>
      <c r="AG11" s="58">
        <v>143.571</v>
      </c>
      <c r="AH11" s="58">
        <v>55.271999999999998</v>
      </c>
      <c r="AI11" s="58">
        <v>34.634999999999998</v>
      </c>
      <c r="AJ11" s="58">
        <v>20.637</v>
      </c>
      <c r="AK11" s="58">
        <v>22.2</v>
      </c>
      <c r="AL11" s="58">
        <v>18.927</v>
      </c>
      <c r="AM11" s="58">
        <v>3.2730000000000001</v>
      </c>
      <c r="AN11" s="58">
        <v>10.034000000000001</v>
      </c>
      <c r="AO11" s="58">
        <v>8.5280000000000005</v>
      </c>
      <c r="AP11" s="58">
        <v>1.506</v>
      </c>
      <c r="AQ11" s="58">
        <v>12.166</v>
      </c>
      <c r="AR11" s="58">
        <v>10.398999999999999</v>
      </c>
      <c r="AS11" s="58">
        <v>1.7669999999999999</v>
      </c>
      <c r="AT11" s="58">
        <v>33.072000000000003</v>
      </c>
      <c r="AU11" s="58">
        <v>15.709</v>
      </c>
      <c r="AV11" s="58">
        <v>17.364000000000001</v>
      </c>
      <c r="AW11" s="58">
        <v>269.13400000000001</v>
      </c>
      <c r="AX11" s="58">
        <v>140.434</v>
      </c>
      <c r="AY11" s="58">
        <v>128.69999999999999</v>
      </c>
      <c r="AZ11" s="58">
        <v>113.58</v>
      </c>
      <c r="BA11" s="58">
        <v>91.100999999999999</v>
      </c>
      <c r="BB11" s="58">
        <v>22.478999999999999</v>
      </c>
      <c r="BC11" s="58">
        <v>155.554</v>
      </c>
      <c r="BD11" s="58">
        <v>49.332999999999998</v>
      </c>
      <c r="BE11" s="58">
        <v>106.22</v>
      </c>
      <c r="BF11" s="58">
        <v>129.976</v>
      </c>
      <c r="BG11" s="58">
        <v>104.32299999999999</v>
      </c>
      <c r="BH11" s="58">
        <v>25.654</v>
      </c>
      <c r="BI11" s="58">
        <v>171.95599999999999</v>
      </c>
      <c r="BJ11" s="58">
        <v>54.039000000000001</v>
      </c>
      <c r="BK11" s="58">
        <v>117.917</v>
      </c>
      <c r="BL11" s="58">
        <v>165.58799999999999</v>
      </c>
      <c r="BM11" s="58">
        <v>57.860999999999997</v>
      </c>
      <c r="BN11" s="58">
        <v>107.727</v>
      </c>
      <c r="BO11" s="58">
        <v>2449.808</v>
      </c>
      <c r="BP11" s="58">
        <v>1283.999</v>
      </c>
      <c r="BQ11" s="58">
        <v>1165.808</v>
      </c>
      <c r="BR11" s="58">
        <v>1842.58</v>
      </c>
      <c r="BS11" s="58">
        <v>1166.9490000000001</v>
      </c>
      <c r="BT11" s="58">
        <v>675.63099999999997</v>
      </c>
      <c r="BU11" s="58">
        <v>607.22799999999995</v>
      </c>
      <c r="BV11" s="58">
        <v>117.05</v>
      </c>
      <c r="BW11" s="58">
        <v>490.178</v>
      </c>
      <c r="BX11" s="58">
        <v>306.34899999999999</v>
      </c>
      <c r="BY11" s="58">
        <v>155.06100000000001</v>
      </c>
      <c r="BZ11" s="58">
        <v>151.28800000000001</v>
      </c>
      <c r="CA11" s="58">
        <v>65.724000000000004</v>
      </c>
      <c r="CB11" s="58">
        <v>42.058999999999997</v>
      </c>
      <c r="CC11" s="58">
        <v>23.666</v>
      </c>
      <c r="CD11" s="58">
        <v>31.888000000000002</v>
      </c>
      <c r="CE11" s="58">
        <v>26.611000000000001</v>
      </c>
      <c r="CF11" s="58">
        <v>5.2770000000000001</v>
      </c>
      <c r="CG11" s="58">
        <v>16.998999999999999</v>
      </c>
      <c r="CH11" s="58">
        <v>13.414999999999999</v>
      </c>
      <c r="CI11" s="58">
        <v>3.5840000000000001</v>
      </c>
      <c r="CJ11" s="58">
        <v>14.888999999999999</v>
      </c>
      <c r="CK11" s="58">
        <v>13.196</v>
      </c>
      <c r="CL11" s="58">
        <v>1.6930000000000001</v>
      </c>
      <c r="CM11" s="58">
        <v>33.835999999999999</v>
      </c>
      <c r="CN11" s="58">
        <v>15.448</v>
      </c>
      <c r="CO11" s="58">
        <v>18.388999999999999</v>
      </c>
      <c r="CP11" s="58">
        <v>269.00400000000002</v>
      </c>
      <c r="CQ11" s="58">
        <v>130.565</v>
      </c>
      <c r="CR11" s="58">
        <v>138.43899999999999</v>
      </c>
      <c r="CS11" s="58">
        <v>113.41</v>
      </c>
      <c r="CT11" s="58">
        <v>83.951999999999998</v>
      </c>
      <c r="CU11" s="58">
        <v>29.457000000000001</v>
      </c>
      <c r="CV11" s="58">
        <v>155.59399999999999</v>
      </c>
      <c r="CW11" s="58">
        <v>46.613</v>
      </c>
      <c r="CX11" s="58">
        <v>108.98099999999999</v>
      </c>
      <c r="CY11" s="58">
        <v>137.572</v>
      </c>
      <c r="CZ11" s="58">
        <v>103.83499999999999</v>
      </c>
      <c r="DA11" s="58">
        <v>33.737000000000002</v>
      </c>
      <c r="DB11" s="58">
        <v>168.77699999999999</v>
      </c>
      <c r="DC11" s="58">
        <v>51.225999999999999</v>
      </c>
      <c r="DD11" s="58">
        <v>117.551</v>
      </c>
      <c r="DE11" s="58">
        <v>172.59399999999999</v>
      </c>
      <c r="DF11" s="58">
        <v>60.027999999999999</v>
      </c>
      <c r="DG11" s="58">
        <v>112.566</v>
      </c>
      <c r="DH11" s="58">
        <v>2083.9639999999999</v>
      </c>
      <c r="DI11" s="58">
        <v>1185.3219999999999</v>
      </c>
      <c r="DJ11" s="58">
        <v>898.64300000000003</v>
      </c>
      <c r="DK11" s="58">
        <v>1322.2619999999999</v>
      </c>
      <c r="DL11" s="58">
        <v>899.52200000000005</v>
      </c>
      <c r="DM11" s="58">
        <v>422.74099999999999</v>
      </c>
      <c r="DN11" s="58">
        <v>761.702</v>
      </c>
      <c r="DO11" s="58">
        <v>285.8</v>
      </c>
      <c r="DP11" s="58">
        <v>475.90199999999999</v>
      </c>
      <c r="DQ11" s="58">
        <v>231.489</v>
      </c>
      <c r="DR11" s="58">
        <v>136.488</v>
      </c>
      <c r="DS11" s="58">
        <v>95.001999999999995</v>
      </c>
      <c r="DT11" s="58">
        <v>66.789000000000001</v>
      </c>
      <c r="DU11" s="58">
        <v>47.414000000000001</v>
      </c>
      <c r="DV11" s="58">
        <v>19.375</v>
      </c>
      <c r="DW11" s="58">
        <v>26.355</v>
      </c>
      <c r="DX11" s="58">
        <v>22.334</v>
      </c>
      <c r="DY11" s="58">
        <v>4.0199999999999996</v>
      </c>
      <c r="DZ11" s="58">
        <v>16.724</v>
      </c>
      <c r="EA11" s="58">
        <v>12.93</v>
      </c>
      <c r="EB11" s="58">
        <v>3.794</v>
      </c>
      <c r="EC11" s="58">
        <v>9.6310000000000002</v>
      </c>
      <c r="ED11" s="58">
        <v>9.4049999999999994</v>
      </c>
      <c r="EE11" s="58">
        <v>0.22600000000000001</v>
      </c>
      <c r="EF11" s="58">
        <v>40.433999999999997</v>
      </c>
      <c r="EG11" s="58">
        <v>25.08</v>
      </c>
      <c r="EH11" s="58">
        <v>15.353999999999999</v>
      </c>
      <c r="EI11" s="58">
        <v>189.45599999999999</v>
      </c>
      <c r="EJ11" s="58">
        <v>106.015</v>
      </c>
      <c r="EK11" s="58">
        <v>83.441000000000003</v>
      </c>
      <c r="EL11" s="58">
        <v>64.710999999999999</v>
      </c>
      <c r="EM11" s="58">
        <v>48.558999999999997</v>
      </c>
      <c r="EN11" s="58">
        <v>16.151</v>
      </c>
      <c r="EO11" s="58">
        <v>124.746</v>
      </c>
      <c r="EP11" s="58">
        <v>57.456000000000003</v>
      </c>
      <c r="EQ11" s="58">
        <v>67.290000000000006</v>
      </c>
      <c r="ER11" s="58">
        <v>85.888000000000005</v>
      </c>
      <c r="ES11" s="58">
        <v>66.247</v>
      </c>
      <c r="ET11" s="58">
        <v>19.640999999999998</v>
      </c>
      <c r="EU11" s="58">
        <v>145.601</v>
      </c>
      <c r="EV11" s="58">
        <v>70.241</v>
      </c>
      <c r="EW11" s="58">
        <v>75.36</v>
      </c>
      <c r="EX11" s="58">
        <v>141.47</v>
      </c>
      <c r="EY11" s="58">
        <v>70.385999999999996</v>
      </c>
      <c r="EZ11" s="58">
        <v>71.084000000000003</v>
      </c>
      <c r="FA11" s="58">
        <v>1673.7460000000001</v>
      </c>
      <c r="FB11" s="58">
        <v>926.41700000000003</v>
      </c>
      <c r="FC11" s="58">
        <v>747.32899999999995</v>
      </c>
      <c r="FD11" s="58">
        <v>1150.9960000000001</v>
      </c>
      <c r="FE11" s="58">
        <v>771.35500000000002</v>
      </c>
      <c r="FF11" s="58">
        <v>379.64100000000002</v>
      </c>
      <c r="FG11" s="58">
        <v>522.75</v>
      </c>
      <c r="FH11" s="58">
        <v>155.06200000000001</v>
      </c>
      <c r="FI11" s="58">
        <v>367.68799999999999</v>
      </c>
      <c r="FJ11" s="58">
        <v>190.44399999999999</v>
      </c>
      <c r="FK11" s="58">
        <v>108.154</v>
      </c>
      <c r="FL11" s="58">
        <v>82.29</v>
      </c>
      <c r="FM11" s="58">
        <v>49.887</v>
      </c>
      <c r="FN11" s="58">
        <v>34.384</v>
      </c>
      <c r="FO11" s="58">
        <v>15.502000000000001</v>
      </c>
      <c r="FP11" s="58">
        <v>22.655000000000001</v>
      </c>
      <c r="FQ11" s="58">
        <v>19.093</v>
      </c>
      <c r="FR11" s="58">
        <v>3.5619999999999998</v>
      </c>
      <c r="FS11" s="58">
        <v>13.976000000000001</v>
      </c>
      <c r="FT11" s="58">
        <v>10.641</v>
      </c>
      <c r="FU11" s="58">
        <v>3.3359999999999999</v>
      </c>
      <c r="FV11" s="58">
        <v>8.6790000000000003</v>
      </c>
      <c r="FW11" s="58">
        <v>8.4529999999999994</v>
      </c>
      <c r="FX11" s="58">
        <v>0.22600000000000001</v>
      </c>
      <c r="FY11" s="58">
        <v>27.231999999999999</v>
      </c>
      <c r="FZ11" s="58">
        <v>15.291</v>
      </c>
      <c r="GA11" s="58">
        <v>11.94</v>
      </c>
      <c r="GB11" s="58">
        <v>161.459</v>
      </c>
      <c r="GC11" s="58">
        <v>87.244</v>
      </c>
      <c r="GD11" s="58">
        <v>74.215000000000003</v>
      </c>
      <c r="GE11" s="58">
        <v>58.223999999999997</v>
      </c>
      <c r="GF11" s="58">
        <v>43.277999999999999</v>
      </c>
      <c r="GG11" s="58">
        <v>14.946</v>
      </c>
      <c r="GH11" s="58">
        <v>103.235</v>
      </c>
      <c r="GI11" s="58">
        <v>43.966000000000001</v>
      </c>
      <c r="GJ11" s="58">
        <v>59.268999999999998</v>
      </c>
      <c r="GK11" s="58">
        <v>76.405000000000001</v>
      </c>
      <c r="GL11" s="58">
        <v>58.427</v>
      </c>
      <c r="GM11" s="58">
        <v>17.978000000000002</v>
      </c>
      <c r="GN11" s="58">
        <v>114.039</v>
      </c>
      <c r="GO11" s="58">
        <v>49.726999999999997</v>
      </c>
      <c r="GP11" s="58">
        <v>64.311999999999998</v>
      </c>
      <c r="GQ11" s="58">
        <v>117.211</v>
      </c>
      <c r="GR11" s="58">
        <v>54.606999999999999</v>
      </c>
      <c r="GS11" s="58">
        <v>62.603999999999999</v>
      </c>
      <c r="GT11" s="58">
        <v>410.21800000000002</v>
      </c>
      <c r="GU11" s="58">
        <v>258.90499999999997</v>
      </c>
      <c r="GV11" s="58">
        <v>151.31399999999999</v>
      </c>
      <c r="GW11" s="58">
        <v>171.26599999999999</v>
      </c>
      <c r="GX11" s="58">
        <v>128.166</v>
      </c>
      <c r="GY11" s="58">
        <v>43.1</v>
      </c>
      <c r="GZ11" s="58">
        <v>238.952</v>
      </c>
      <c r="HA11" s="58">
        <v>130.738</v>
      </c>
      <c r="HB11" s="58">
        <v>108.214</v>
      </c>
      <c r="HC11" s="58">
        <v>41.045999999999999</v>
      </c>
      <c r="HD11" s="58">
        <v>28.334</v>
      </c>
      <c r="HE11" s="58">
        <v>12.712</v>
      </c>
      <c r="HF11" s="58">
        <v>16.902000000000001</v>
      </c>
      <c r="HG11" s="58">
        <v>13.03</v>
      </c>
      <c r="HH11" s="58">
        <v>3.8719999999999999</v>
      </c>
      <c r="HI11" s="58">
        <v>3.7</v>
      </c>
      <c r="HJ11" s="58">
        <v>3.2410000000000001</v>
      </c>
      <c r="HK11" s="58">
        <v>0.45800000000000002</v>
      </c>
      <c r="HL11" s="58">
        <v>2.7480000000000002</v>
      </c>
      <c r="HM11" s="58">
        <v>2.2890000000000001</v>
      </c>
      <c r="HN11" s="58">
        <v>0.45800000000000002</v>
      </c>
      <c r="HO11" s="58">
        <v>0.95199999999999996</v>
      </c>
      <c r="HP11" s="58">
        <v>0.95199999999999996</v>
      </c>
      <c r="HQ11" s="58">
        <v>0</v>
      </c>
      <c r="HR11" s="58">
        <v>13.202999999999999</v>
      </c>
      <c r="HS11" s="58">
        <v>9.7889999999999997</v>
      </c>
      <c r="HT11" s="58">
        <v>3.4140000000000001</v>
      </c>
      <c r="HU11" s="58">
        <v>27.998000000000001</v>
      </c>
      <c r="HV11" s="58">
        <v>18.771000000000001</v>
      </c>
      <c r="HW11" s="58">
        <v>9.2260000000000009</v>
      </c>
      <c r="HX11" s="58">
        <v>6.4870000000000001</v>
      </c>
      <c r="HY11" s="58">
        <v>5.282</v>
      </c>
      <c r="HZ11" s="58">
        <v>1.2050000000000001</v>
      </c>
      <c r="IA11" s="58">
        <v>21.510999999999999</v>
      </c>
      <c r="IB11" s="58">
        <v>13.49</v>
      </c>
      <c r="IC11" s="58">
        <v>8.0210000000000008</v>
      </c>
      <c r="ID11" s="58">
        <v>9.484</v>
      </c>
      <c r="IE11" s="58">
        <v>7.82</v>
      </c>
      <c r="IF11" s="58">
        <v>1.663</v>
      </c>
      <c r="IG11" s="58">
        <v>31.562000000000001</v>
      </c>
      <c r="IH11" s="58">
        <v>20.513999999999999</v>
      </c>
      <c r="II11" s="58">
        <v>11.048</v>
      </c>
      <c r="IJ11" s="58">
        <v>24.257999999999999</v>
      </c>
      <c r="IK11" s="58">
        <v>15.779</v>
      </c>
      <c r="IL11" s="58">
        <v>8.48</v>
      </c>
      <c r="IM11" s="58">
        <v>3611.4639999999999</v>
      </c>
      <c r="IN11" s="58">
        <v>1965.35</v>
      </c>
      <c r="IO11" s="58">
        <v>1646.114</v>
      </c>
      <c r="IP11" s="58">
        <v>2565.8969999999999</v>
      </c>
      <c r="IQ11" s="58">
        <v>1651.894</v>
      </c>
    </row>
    <row r="12" spans="1:251">
      <c r="A12" s="5">
        <v>41852</v>
      </c>
      <c r="B12" s="58">
        <v>12.005000000000001</v>
      </c>
      <c r="C12" s="58">
        <v>15.853999999999999</v>
      </c>
      <c r="D12" s="58">
        <v>361.75299999999999</v>
      </c>
      <c r="E12" s="58">
        <v>220.56100000000001</v>
      </c>
      <c r="F12" s="58">
        <v>141.191</v>
      </c>
      <c r="G12" s="58">
        <v>171.86</v>
      </c>
      <c r="H12" s="58">
        <v>136.20500000000001</v>
      </c>
      <c r="I12" s="58">
        <v>35.655000000000001</v>
      </c>
      <c r="J12" s="58">
        <v>189.893</v>
      </c>
      <c r="K12" s="58">
        <v>84.355999999999995</v>
      </c>
      <c r="L12" s="58">
        <v>105.53700000000001</v>
      </c>
      <c r="M12" s="58">
        <v>186.995</v>
      </c>
      <c r="N12" s="58">
        <v>146.524</v>
      </c>
      <c r="O12" s="58">
        <v>40.470999999999997</v>
      </c>
      <c r="P12" s="58">
        <v>198.852</v>
      </c>
      <c r="Q12" s="58">
        <v>86.668999999999997</v>
      </c>
      <c r="R12" s="58">
        <v>112.18300000000001</v>
      </c>
      <c r="S12" s="58">
        <v>200.12</v>
      </c>
      <c r="T12" s="58">
        <v>92.411000000000001</v>
      </c>
      <c r="U12" s="58">
        <v>107.709</v>
      </c>
      <c r="V12" s="58">
        <v>2544.4580000000001</v>
      </c>
      <c r="W12" s="58">
        <v>1388.768</v>
      </c>
      <c r="X12" s="58">
        <v>1155.691</v>
      </c>
      <c r="Y12" s="58">
        <v>1876.848</v>
      </c>
      <c r="Z12" s="58">
        <v>1272.904</v>
      </c>
      <c r="AA12" s="58">
        <v>603.94399999999996</v>
      </c>
      <c r="AB12" s="58">
        <v>667.61</v>
      </c>
      <c r="AC12" s="58">
        <v>115.863</v>
      </c>
      <c r="AD12" s="58">
        <v>551.74699999999996</v>
      </c>
      <c r="AE12" s="58">
        <v>322.541</v>
      </c>
      <c r="AF12" s="58">
        <v>163.245</v>
      </c>
      <c r="AG12" s="58">
        <v>159.29599999999999</v>
      </c>
      <c r="AH12" s="58">
        <v>65.86</v>
      </c>
      <c r="AI12" s="58">
        <v>37.314999999999998</v>
      </c>
      <c r="AJ12" s="58">
        <v>28.544</v>
      </c>
      <c r="AK12" s="58">
        <v>31.648</v>
      </c>
      <c r="AL12" s="58">
        <v>25.356000000000002</v>
      </c>
      <c r="AM12" s="58">
        <v>6.2919999999999998</v>
      </c>
      <c r="AN12" s="58">
        <v>17.899000000000001</v>
      </c>
      <c r="AO12" s="58">
        <v>13.678000000000001</v>
      </c>
      <c r="AP12" s="58">
        <v>4.2210000000000001</v>
      </c>
      <c r="AQ12" s="58">
        <v>13.749000000000001</v>
      </c>
      <c r="AR12" s="58">
        <v>11.677</v>
      </c>
      <c r="AS12" s="58">
        <v>2.0710000000000002</v>
      </c>
      <c r="AT12" s="58">
        <v>34.212000000000003</v>
      </c>
      <c r="AU12" s="58">
        <v>11.96</v>
      </c>
      <c r="AV12" s="58">
        <v>22.251999999999999</v>
      </c>
      <c r="AW12" s="58">
        <v>277.089</v>
      </c>
      <c r="AX12" s="58">
        <v>137.46700000000001</v>
      </c>
      <c r="AY12" s="58">
        <v>139.62100000000001</v>
      </c>
      <c r="AZ12" s="58">
        <v>112.494</v>
      </c>
      <c r="BA12" s="58">
        <v>90.846000000000004</v>
      </c>
      <c r="BB12" s="58">
        <v>21.648</v>
      </c>
      <c r="BC12" s="58">
        <v>164.595</v>
      </c>
      <c r="BD12" s="58">
        <v>46.621000000000002</v>
      </c>
      <c r="BE12" s="58">
        <v>117.974</v>
      </c>
      <c r="BF12" s="58">
        <v>139.79599999999999</v>
      </c>
      <c r="BG12" s="58">
        <v>112.717</v>
      </c>
      <c r="BH12" s="58">
        <v>27.079000000000001</v>
      </c>
      <c r="BI12" s="58">
        <v>182.745</v>
      </c>
      <c r="BJ12" s="58">
        <v>50.527999999999999</v>
      </c>
      <c r="BK12" s="58">
        <v>132.21700000000001</v>
      </c>
      <c r="BL12" s="58">
        <v>182.494</v>
      </c>
      <c r="BM12" s="58">
        <v>60.298999999999999</v>
      </c>
      <c r="BN12" s="58">
        <v>122.194</v>
      </c>
      <c r="BO12" s="58">
        <v>2461.7359999999999</v>
      </c>
      <c r="BP12" s="58">
        <v>1286.5239999999999</v>
      </c>
      <c r="BQ12" s="58">
        <v>1175.212</v>
      </c>
      <c r="BR12" s="58">
        <v>1842.9380000000001</v>
      </c>
      <c r="BS12" s="58">
        <v>1159.9880000000001</v>
      </c>
      <c r="BT12" s="58">
        <v>682.95</v>
      </c>
      <c r="BU12" s="58">
        <v>618.798</v>
      </c>
      <c r="BV12" s="58">
        <v>126.535</v>
      </c>
      <c r="BW12" s="58">
        <v>492.262</v>
      </c>
      <c r="BX12" s="58">
        <v>313.14800000000002</v>
      </c>
      <c r="BY12" s="58">
        <v>153.63999999999999</v>
      </c>
      <c r="BZ12" s="58">
        <v>159.50700000000001</v>
      </c>
      <c r="CA12" s="58">
        <v>70.75</v>
      </c>
      <c r="CB12" s="58">
        <v>44.045000000000002</v>
      </c>
      <c r="CC12" s="58">
        <v>26.704999999999998</v>
      </c>
      <c r="CD12" s="58">
        <v>35.101999999999997</v>
      </c>
      <c r="CE12" s="58">
        <v>28.710999999999999</v>
      </c>
      <c r="CF12" s="58">
        <v>6.391</v>
      </c>
      <c r="CG12" s="58">
        <v>17.832999999999998</v>
      </c>
      <c r="CH12" s="58">
        <v>14.66</v>
      </c>
      <c r="CI12" s="58">
        <v>3.1739999999999999</v>
      </c>
      <c r="CJ12" s="58">
        <v>17.268999999999998</v>
      </c>
      <c r="CK12" s="58">
        <v>14.051</v>
      </c>
      <c r="CL12" s="58">
        <v>3.218</v>
      </c>
      <c r="CM12" s="58">
        <v>35.648000000000003</v>
      </c>
      <c r="CN12" s="58">
        <v>15.334</v>
      </c>
      <c r="CO12" s="58">
        <v>20.312999999999999</v>
      </c>
      <c r="CP12" s="58">
        <v>269.995</v>
      </c>
      <c r="CQ12" s="58">
        <v>126.46599999999999</v>
      </c>
      <c r="CR12" s="58">
        <v>143.529</v>
      </c>
      <c r="CS12" s="58">
        <v>109.907</v>
      </c>
      <c r="CT12" s="58">
        <v>75.992999999999995</v>
      </c>
      <c r="CU12" s="58">
        <v>33.914999999999999</v>
      </c>
      <c r="CV12" s="58">
        <v>160.08799999999999</v>
      </c>
      <c r="CW12" s="58">
        <v>50.472999999999999</v>
      </c>
      <c r="CX12" s="58">
        <v>109.61499999999999</v>
      </c>
      <c r="CY12" s="58">
        <v>137.75200000000001</v>
      </c>
      <c r="CZ12" s="58">
        <v>99.31</v>
      </c>
      <c r="DA12" s="58">
        <v>38.442</v>
      </c>
      <c r="DB12" s="58">
        <v>175.39599999999999</v>
      </c>
      <c r="DC12" s="58">
        <v>54.33</v>
      </c>
      <c r="DD12" s="58">
        <v>121.066</v>
      </c>
      <c r="DE12" s="58">
        <v>177.92099999999999</v>
      </c>
      <c r="DF12" s="58">
        <v>65.132999999999996</v>
      </c>
      <c r="DG12" s="58">
        <v>112.788</v>
      </c>
      <c r="DH12" s="58">
        <v>2114.6529999999998</v>
      </c>
      <c r="DI12" s="58">
        <v>1193.008</v>
      </c>
      <c r="DJ12" s="58">
        <v>921.64499999999998</v>
      </c>
      <c r="DK12" s="58">
        <v>1319.4280000000001</v>
      </c>
      <c r="DL12" s="58">
        <v>898.57600000000002</v>
      </c>
      <c r="DM12" s="58">
        <v>420.85199999999998</v>
      </c>
      <c r="DN12" s="58">
        <v>795.22500000000002</v>
      </c>
      <c r="DO12" s="58">
        <v>294.43200000000002</v>
      </c>
      <c r="DP12" s="58">
        <v>500.79300000000001</v>
      </c>
      <c r="DQ12" s="58">
        <v>242.113</v>
      </c>
      <c r="DR12" s="58">
        <v>136.863</v>
      </c>
      <c r="DS12" s="58">
        <v>105.251</v>
      </c>
      <c r="DT12" s="58">
        <v>63.881</v>
      </c>
      <c r="DU12" s="58">
        <v>40.872</v>
      </c>
      <c r="DV12" s="58">
        <v>23.009</v>
      </c>
      <c r="DW12" s="58">
        <v>18.501999999999999</v>
      </c>
      <c r="DX12" s="58">
        <v>15.964</v>
      </c>
      <c r="DY12" s="58">
        <v>2.5379999999999998</v>
      </c>
      <c r="DZ12" s="58">
        <v>13.888999999999999</v>
      </c>
      <c r="EA12" s="58">
        <v>11.351000000000001</v>
      </c>
      <c r="EB12" s="58">
        <v>2.5379999999999998</v>
      </c>
      <c r="EC12" s="58">
        <v>4.6130000000000004</v>
      </c>
      <c r="ED12" s="58">
        <v>4.6130000000000004</v>
      </c>
      <c r="EE12" s="58">
        <v>0</v>
      </c>
      <c r="EF12" s="58">
        <v>45.378</v>
      </c>
      <c r="EG12" s="58">
        <v>24.908000000000001</v>
      </c>
      <c r="EH12" s="58">
        <v>20.471</v>
      </c>
      <c r="EI12" s="58">
        <v>202.327</v>
      </c>
      <c r="EJ12" s="58">
        <v>112.04300000000001</v>
      </c>
      <c r="EK12" s="58">
        <v>90.284000000000006</v>
      </c>
      <c r="EL12" s="58">
        <v>66.543000000000006</v>
      </c>
      <c r="EM12" s="58">
        <v>49.095999999999997</v>
      </c>
      <c r="EN12" s="58">
        <v>17.446999999999999</v>
      </c>
      <c r="EO12" s="58">
        <v>135.78399999999999</v>
      </c>
      <c r="EP12" s="58">
        <v>62.947000000000003</v>
      </c>
      <c r="EQ12" s="58">
        <v>72.837000000000003</v>
      </c>
      <c r="ER12" s="58">
        <v>80.399000000000001</v>
      </c>
      <c r="ES12" s="58">
        <v>60.414000000000001</v>
      </c>
      <c r="ET12" s="58">
        <v>19.984999999999999</v>
      </c>
      <c r="EU12" s="58">
        <v>161.714</v>
      </c>
      <c r="EV12" s="58">
        <v>76.447999999999993</v>
      </c>
      <c r="EW12" s="58">
        <v>85.266000000000005</v>
      </c>
      <c r="EX12" s="58">
        <v>149.673</v>
      </c>
      <c r="EY12" s="58">
        <v>74.298000000000002</v>
      </c>
      <c r="EZ12" s="58">
        <v>75.375</v>
      </c>
      <c r="FA12" s="58">
        <v>1679.6420000000001</v>
      </c>
      <c r="FB12" s="58">
        <v>920.04399999999998</v>
      </c>
      <c r="FC12" s="58">
        <v>759.59799999999996</v>
      </c>
      <c r="FD12" s="58">
        <v>1142.2929999999999</v>
      </c>
      <c r="FE12" s="58">
        <v>762.84299999999996</v>
      </c>
      <c r="FF12" s="58">
        <v>379.45</v>
      </c>
      <c r="FG12" s="58">
        <v>537.34900000000005</v>
      </c>
      <c r="FH12" s="58">
        <v>157.20099999999999</v>
      </c>
      <c r="FI12" s="58">
        <v>380.14800000000002</v>
      </c>
      <c r="FJ12" s="58">
        <v>194.16499999999999</v>
      </c>
      <c r="FK12" s="58">
        <v>104.07</v>
      </c>
      <c r="FL12" s="58">
        <v>90.094999999999999</v>
      </c>
      <c r="FM12" s="58">
        <v>43.607999999999997</v>
      </c>
      <c r="FN12" s="58">
        <v>26.562999999999999</v>
      </c>
      <c r="FO12" s="58">
        <v>17.044</v>
      </c>
      <c r="FP12" s="58">
        <v>13.675000000000001</v>
      </c>
      <c r="FQ12" s="58">
        <v>11.964</v>
      </c>
      <c r="FR12" s="58">
        <v>1.7110000000000001</v>
      </c>
      <c r="FS12" s="58">
        <v>9.5410000000000004</v>
      </c>
      <c r="FT12" s="58">
        <v>7.83</v>
      </c>
      <c r="FU12" s="58">
        <v>1.7110000000000001</v>
      </c>
      <c r="FV12" s="58">
        <v>4.1349999999999998</v>
      </c>
      <c r="FW12" s="58">
        <v>4.1349999999999998</v>
      </c>
      <c r="FX12" s="58">
        <v>0</v>
      </c>
      <c r="FY12" s="58">
        <v>29.931999999999999</v>
      </c>
      <c r="FZ12" s="58">
        <v>14.599</v>
      </c>
      <c r="GA12" s="58">
        <v>15.333</v>
      </c>
      <c r="GB12" s="58">
        <v>169.99799999999999</v>
      </c>
      <c r="GC12" s="58">
        <v>89.655000000000001</v>
      </c>
      <c r="GD12" s="58">
        <v>80.343000000000004</v>
      </c>
      <c r="GE12" s="58">
        <v>59.543999999999997</v>
      </c>
      <c r="GF12" s="58">
        <v>43.506</v>
      </c>
      <c r="GG12" s="58">
        <v>16.038</v>
      </c>
      <c r="GH12" s="58">
        <v>110.45399999999999</v>
      </c>
      <c r="GI12" s="58">
        <v>46.149000000000001</v>
      </c>
      <c r="GJ12" s="58">
        <v>64.305000000000007</v>
      </c>
      <c r="GK12" s="58">
        <v>68.572999999999993</v>
      </c>
      <c r="GL12" s="58">
        <v>50.823999999999998</v>
      </c>
      <c r="GM12" s="58">
        <v>17.748999999999999</v>
      </c>
      <c r="GN12" s="58">
        <v>125.592</v>
      </c>
      <c r="GO12" s="58">
        <v>53.246000000000002</v>
      </c>
      <c r="GP12" s="58">
        <v>72.346000000000004</v>
      </c>
      <c r="GQ12" s="58">
        <v>119.995</v>
      </c>
      <c r="GR12" s="58">
        <v>53.978999999999999</v>
      </c>
      <c r="GS12" s="58">
        <v>66.016000000000005</v>
      </c>
      <c r="GT12" s="58">
        <v>435.01100000000002</v>
      </c>
      <c r="GU12" s="58">
        <v>272.964</v>
      </c>
      <c r="GV12" s="58">
        <v>162.047</v>
      </c>
      <c r="GW12" s="58">
        <v>177.13499999999999</v>
      </c>
      <c r="GX12" s="58">
        <v>135.733</v>
      </c>
      <c r="GY12" s="58">
        <v>41.402000000000001</v>
      </c>
      <c r="GZ12" s="58">
        <v>257.87599999999998</v>
      </c>
      <c r="HA12" s="58">
        <v>137.23099999999999</v>
      </c>
      <c r="HB12" s="58">
        <v>120.645</v>
      </c>
      <c r="HC12" s="58">
        <v>47.948999999999998</v>
      </c>
      <c r="HD12" s="58">
        <v>32.792999999999999</v>
      </c>
      <c r="HE12" s="58">
        <v>15.156000000000001</v>
      </c>
      <c r="HF12" s="58">
        <v>20.273</v>
      </c>
      <c r="HG12" s="58">
        <v>14.308999999999999</v>
      </c>
      <c r="HH12" s="58">
        <v>5.9640000000000004</v>
      </c>
      <c r="HI12" s="58">
        <v>4.827</v>
      </c>
      <c r="HJ12" s="58">
        <v>4</v>
      </c>
      <c r="HK12" s="58">
        <v>0.82699999999999996</v>
      </c>
      <c r="HL12" s="58">
        <v>4.3479999999999999</v>
      </c>
      <c r="HM12" s="58">
        <v>3.5209999999999999</v>
      </c>
      <c r="HN12" s="58">
        <v>0.82699999999999996</v>
      </c>
      <c r="HO12" s="58">
        <v>0.47899999999999998</v>
      </c>
      <c r="HP12" s="58">
        <v>0.47899999999999998</v>
      </c>
      <c r="HQ12" s="58">
        <v>0</v>
      </c>
      <c r="HR12" s="58">
        <v>15.446</v>
      </c>
      <c r="HS12" s="58">
        <v>10.308999999999999</v>
      </c>
      <c r="HT12" s="58">
        <v>5.1369999999999996</v>
      </c>
      <c r="HU12" s="58">
        <v>32.33</v>
      </c>
      <c r="HV12" s="58">
        <v>22.388000000000002</v>
      </c>
      <c r="HW12" s="58">
        <v>9.9410000000000007</v>
      </c>
      <c r="HX12" s="58">
        <v>6.9989999999999997</v>
      </c>
      <c r="HY12" s="58">
        <v>5.59</v>
      </c>
      <c r="HZ12" s="58">
        <v>1.409</v>
      </c>
      <c r="IA12" s="58">
        <v>25.33</v>
      </c>
      <c r="IB12" s="58">
        <v>16.797999999999998</v>
      </c>
      <c r="IC12" s="58">
        <v>8.532</v>
      </c>
      <c r="ID12" s="58">
        <v>11.827</v>
      </c>
      <c r="IE12" s="58">
        <v>9.5909999999999993</v>
      </c>
      <c r="IF12" s="58">
        <v>2.2360000000000002</v>
      </c>
      <c r="IG12" s="58">
        <v>36.122</v>
      </c>
      <c r="IH12" s="58">
        <v>23.202000000000002</v>
      </c>
      <c r="II12" s="58">
        <v>12.92</v>
      </c>
      <c r="IJ12" s="58">
        <v>29.678999999999998</v>
      </c>
      <c r="IK12" s="58">
        <v>20.318999999999999</v>
      </c>
      <c r="IL12" s="58">
        <v>9.359</v>
      </c>
      <c r="IM12" s="58">
        <v>3623.1930000000002</v>
      </c>
      <c r="IN12" s="58">
        <v>1953.9349999999999</v>
      </c>
      <c r="IO12" s="58">
        <v>1669.258</v>
      </c>
      <c r="IP12" s="58">
        <v>2520.3090000000002</v>
      </c>
      <c r="IQ12" s="58">
        <v>1615.046</v>
      </c>
    </row>
    <row r="13" spans="1:251">
      <c r="A13" s="5">
        <v>41883</v>
      </c>
      <c r="B13" s="58">
        <v>14.882</v>
      </c>
      <c r="C13" s="58">
        <v>11.481</v>
      </c>
      <c r="D13" s="58">
        <v>375.791</v>
      </c>
      <c r="E13" s="58">
        <v>232.387</v>
      </c>
      <c r="F13" s="58">
        <v>143.40299999999999</v>
      </c>
      <c r="G13" s="58">
        <v>196.899</v>
      </c>
      <c r="H13" s="58">
        <v>154.119</v>
      </c>
      <c r="I13" s="58">
        <v>42.78</v>
      </c>
      <c r="J13" s="58">
        <v>178.892</v>
      </c>
      <c r="K13" s="58">
        <v>78.269000000000005</v>
      </c>
      <c r="L13" s="58">
        <v>100.623</v>
      </c>
      <c r="M13" s="58">
        <v>222.327</v>
      </c>
      <c r="N13" s="58">
        <v>170.66900000000001</v>
      </c>
      <c r="O13" s="58">
        <v>51.658000000000001</v>
      </c>
      <c r="P13" s="58">
        <v>186.45500000000001</v>
      </c>
      <c r="Q13" s="58">
        <v>80.332999999999998</v>
      </c>
      <c r="R13" s="58">
        <v>106.122</v>
      </c>
      <c r="S13" s="58">
        <v>196.19499999999999</v>
      </c>
      <c r="T13" s="58">
        <v>89.834000000000003</v>
      </c>
      <c r="U13" s="58">
        <v>106.361</v>
      </c>
      <c r="V13" s="58">
        <v>2525.5160000000001</v>
      </c>
      <c r="W13" s="58">
        <v>1373.2909999999999</v>
      </c>
      <c r="X13" s="58">
        <v>1152.2249999999999</v>
      </c>
      <c r="Y13" s="58">
        <v>1865.425</v>
      </c>
      <c r="Z13" s="58">
        <v>1259.7660000000001</v>
      </c>
      <c r="AA13" s="58">
        <v>605.65899999999999</v>
      </c>
      <c r="AB13" s="58">
        <v>660.09100000000001</v>
      </c>
      <c r="AC13" s="58">
        <v>113.52500000000001</v>
      </c>
      <c r="AD13" s="58">
        <v>546.56600000000003</v>
      </c>
      <c r="AE13" s="58">
        <v>341.358</v>
      </c>
      <c r="AF13" s="58">
        <v>180.274</v>
      </c>
      <c r="AG13" s="58">
        <v>161.084</v>
      </c>
      <c r="AH13" s="58">
        <v>65.165000000000006</v>
      </c>
      <c r="AI13" s="58">
        <v>38.109000000000002</v>
      </c>
      <c r="AJ13" s="58">
        <v>27.056000000000001</v>
      </c>
      <c r="AK13" s="58">
        <v>31.274999999999999</v>
      </c>
      <c r="AL13" s="58">
        <v>25.225999999999999</v>
      </c>
      <c r="AM13" s="58">
        <v>6.0490000000000004</v>
      </c>
      <c r="AN13" s="58">
        <v>16.096</v>
      </c>
      <c r="AO13" s="58">
        <v>14.506</v>
      </c>
      <c r="AP13" s="58">
        <v>1.59</v>
      </c>
      <c r="AQ13" s="58">
        <v>15.179</v>
      </c>
      <c r="AR13" s="58">
        <v>10.718999999999999</v>
      </c>
      <c r="AS13" s="58">
        <v>4.4589999999999996</v>
      </c>
      <c r="AT13" s="58">
        <v>33.89</v>
      </c>
      <c r="AU13" s="58">
        <v>12.882999999999999</v>
      </c>
      <c r="AV13" s="58">
        <v>21.007000000000001</v>
      </c>
      <c r="AW13" s="58">
        <v>301.82499999999999</v>
      </c>
      <c r="AX13" s="58">
        <v>158.62</v>
      </c>
      <c r="AY13" s="58">
        <v>143.20599999999999</v>
      </c>
      <c r="AZ13" s="58">
        <v>126.84099999999999</v>
      </c>
      <c r="BA13" s="58">
        <v>106.33</v>
      </c>
      <c r="BB13" s="58">
        <v>20.512</v>
      </c>
      <c r="BC13" s="58">
        <v>174.98400000000001</v>
      </c>
      <c r="BD13" s="58">
        <v>52.29</v>
      </c>
      <c r="BE13" s="58">
        <v>122.694</v>
      </c>
      <c r="BF13" s="58">
        <v>150.154</v>
      </c>
      <c r="BG13" s="58">
        <v>124.751</v>
      </c>
      <c r="BH13" s="58">
        <v>25.402999999999999</v>
      </c>
      <c r="BI13" s="58">
        <v>191.20400000000001</v>
      </c>
      <c r="BJ13" s="58">
        <v>55.523000000000003</v>
      </c>
      <c r="BK13" s="58">
        <v>135.68100000000001</v>
      </c>
      <c r="BL13" s="58">
        <v>191.08</v>
      </c>
      <c r="BM13" s="58">
        <v>66.796999999999997</v>
      </c>
      <c r="BN13" s="58">
        <v>124.28400000000001</v>
      </c>
      <c r="BO13" s="58">
        <v>2455.2559999999999</v>
      </c>
      <c r="BP13" s="58">
        <v>1278.508</v>
      </c>
      <c r="BQ13" s="58">
        <v>1176.748</v>
      </c>
      <c r="BR13" s="58">
        <v>1837.54</v>
      </c>
      <c r="BS13" s="58">
        <v>1157.559</v>
      </c>
      <c r="BT13" s="58">
        <v>679.98199999999997</v>
      </c>
      <c r="BU13" s="58">
        <v>617.71600000000001</v>
      </c>
      <c r="BV13" s="58">
        <v>120.949</v>
      </c>
      <c r="BW13" s="58">
        <v>496.76600000000002</v>
      </c>
      <c r="BX13" s="58">
        <v>323.53899999999999</v>
      </c>
      <c r="BY13" s="58">
        <v>152.51499999999999</v>
      </c>
      <c r="BZ13" s="58">
        <v>171.024</v>
      </c>
      <c r="CA13" s="58">
        <v>65.728999999999999</v>
      </c>
      <c r="CB13" s="58">
        <v>34.454999999999998</v>
      </c>
      <c r="CC13" s="58">
        <v>31.273</v>
      </c>
      <c r="CD13" s="58">
        <v>29.97</v>
      </c>
      <c r="CE13" s="58">
        <v>20.786000000000001</v>
      </c>
      <c r="CF13" s="58">
        <v>9.1839999999999993</v>
      </c>
      <c r="CG13" s="58">
        <v>15.43</v>
      </c>
      <c r="CH13" s="58">
        <v>11.712999999999999</v>
      </c>
      <c r="CI13" s="58">
        <v>3.7170000000000001</v>
      </c>
      <c r="CJ13" s="58">
        <v>14.54</v>
      </c>
      <c r="CK13" s="58">
        <v>9.0730000000000004</v>
      </c>
      <c r="CL13" s="58">
        <v>5.468</v>
      </c>
      <c r="CM13" s="58">
        <v>35.759</v>
      </c>
      <c r="CN13" s="58">
        <v>13.67</v>
      </c>
      <c r="CO13" s="58">
        <v>22.088999999999999</v>
      </c>
      <c r="CP13" s="58">
        <v>283.45800000000003</v>
      </c>
      <c r="CQ13" s="58">
        <v>132.161</v>
      </c>
      <c r="CR13" s="58">
        <v>151.297</v>
      </c>
      <c r="CS13" s="58">
        <v>125.836</v>
      </c>
      <c r="CT13" s="58">
        <v>88.100999999999999</v>
      </c>
      <c r="CU13" s="58">
        <v>37.734999999999999</v>
      </c>
      <c r="CV13" s="58">
        <v>157.62100000000001</v>
      </c>
      <c r="CW13" s="58">
        <v>44.06</v>
      </c>
      <c r="CX13" s="58">
        <v>113.56100000000001</v>
      </c>
      <c r="CY13" s="58">
        <v>149.55699999999999</v>
      </c>
      <c r="CZ13" s="58">
        <v>104.271</v>
      </c>
      <c r="DA13" s="58">
        <v>45.286000000000001</v>
      </c>
      <c r="DB13" s="58">
        <v>173.982</v>
      </c>
      <c r="DC13" s="58">
        <v>48.244</v>
      </c>
      <c r="DD13" s="58">
        <v>125.738</v>
      </c>
      <c r="DE13" s="58">
        <v>173.05099999999999</v>
      </c>
      <c r="DF13" s="58">
        <v>55.773000000000003</v>
      </c>
      <c r="DG13" s="58">
        <v>117.27800000000001</v>
      </c>
      <c r="DH13" s="58">
        <v>2083.8910000000001</v>
      </c>
      <c r="DI13" s="58">
        <v>1182.3530000000001</v>
      </c>
      <c r="DJ13" s="58">
        <v>901.53800000000001</v>
      </c>
      <c r="DK13" s="58">
        <v>1310.8489999999999</v>
      </c>
      <c r="DL13" s="58">
        <v>891.23099999999999</v>
      </c>
      <c r="DM13" s="58">
        <v>419.61799999999999</v>
      </c>
      <c r="DN13" s="58">
        <v>773.04200000000003</v>
      </c>
      <c r="DO13" s="58">
        <v>291.12299999999999</v>
      </c>
      <c r="DP13" s="58">
        <v>481.91899999999998</v>
      </c>
      <c r="DQ13" s="58">
        <v>246.48699999999999</v>
      </c>
      <c r="DR13" s="58">
        <v>140.91800000000001</v>
      </c>
      <c r="DS13" s="58">
        <v>105.569</v>
      </c>
      <c r="DT13" s="58">
        <v>71.081000000000003</v>
      </c>
      <c r="DU13" s="58">
        <v>47.484999999999999</v>
      </c>
      <c r="DV13" s="58">
        <v>23.594999999999999</v>
      </c>
      <c r="DW13" s="58">
        <v>26.850999999999999</v>
      </c>
      <c r="DX13" s="58">
        <v>22.064</v>
      </c>
      <c r="DY13" s="58">
        <v>4.7869999999999999</v>
      </c>
      <c r="DZ13" s="58">
        <v>17.739000000000001</v>
      </c>
      <c r="EA13" s="58">
        <v>14.744999999999999</v>
      </c>
      <c r="EB13" s="58">
        <v>2.9940000000000002</v>
      </c>
      <c r="EC13" s="58">
        <v>9.1120000000000001</v>
      </c>
      <c r="ED13" s="58">
        <v>7.319</v>
      </c>
      <c r="EE13" s="58">
        <v>1.7929999999999999</v>
      </c>
      <c r="EF13" s="58">
        <v>44.228999999999999</v>
      </c>
      <c r="EG13" s="58">
        <v>25.420999999999999</v>
      </c>
      <c r="EH13" s="58">
        <v>18.808</v>
      </c>
      <c r="EI13" s="58">
        <v>196.29400000000001</v>
      </c>
      <c r="EJ13" s="58">
        <v>107.117</v>
      </c>
      <c r="EK13" s="58">
        <v>89.177000000000007</v>
      </c>
      <c r="EL13" s="58">
        <v>73.59</v>
      </c>
      <c r="EM13" s="58">
        <v>53.366999999999997</v>
      </c>
      <c r="EN13" s="58">
        <v>20.222999999999999</v>
      </c>
      <c r="EO13" s="58">
        <v>122.705</v>
      </c>
      <c r="EP13" s="58">
        <v>53.75</v>
      </c>
      <c r="EQ13" s="58">
        <v>68.953999999999994</v>
      </c>
      <c r="ER13" s="58">
        <v>96.058000000000007</v>
      </c>
      <c r="ES13" s="58">
        <v>71.528999999999996</v>
      </c>
      <c r="ET13" s="58">
        <v>24.529</v>
      </c>
      <c r="EU13" s="58">
        <v>150.429</v>
      </c>
      <c r="EV13" s="58">
        <v>69.388999999999996</v>
      </c>
      <c r="EW13" s="58">
        <v>81.040000000000006</v>
      </c>
      <c r="EX13" s="58">
        <v>140.44399999999999</v>
      </c>
      <c r="EY13" s="58">
        <v>68.495000000000005</v>
      </c>
      <c r="EZ13" s="58">
        <v>71.948999999999998</v>
      </c>
      <c r="FA13" s="58">
        <v>1660.0619999999999</v>
      </c>
      <c r="FB13" s="58">
        <v>916.24800000000005</v>
      </c>
      <c r="FC13" s="58">
        <v>743.81399999999996</v>
      </c>
      <c r="FD13" s="58">
        <v>1137.2750000000001</v>
      </c>
      <c r="FE13" s="58">
        <v>757.13599999999997</v>
      </c>
      <c r="FF13" s="58">
        <v>380.13900000000001</v>
      </c>
      <c r="FG13" s="58">
        <v>522.78700000000003</v>
      </c>
      <c r="FH13" s="58">
        <v>159.11199999999999</v>
      </c>
      <c r="FI13" s="58">
        <v>363.67500000000001</v>
      </c>
      <c r="FJ13" s="58">
        <v>197.31700000000001</v>
      </c>
      <c r="FK13" s="58">
        <v>106.21599999999999</v>
      </c>
      <c r="FL13" s="58">
        <v>91.100999999999999</v>
      </c>
      <c r="FM13" s="58">
        <v>46.762999999999998</v>
      </c>
      <c r="FN13" s="58">
        <v>30.754000000000001</v>
      </c>
      <c r="FO13" s="58">
        <v>16.009</v>
      </c>
      <c r="FP13" s="58">
        <v>20.385999999999999</v>
      </c>
      <c r="FQ13" s="58">
        <v>16.742999999999999</v>
      </c>
      <c r="FR13" s="58">
        <v>3.6429999999999998</v>
      </c>
      <c r="FS13" s="58">
        <v>12.577</v>
      </c>
      <c r="FT13" s="58">
        <v>10.294</v>
      </c>
      <c r="FU13" s="58">
        <v>2.2829999999999999</v>
      </c>
      <c r="FV13" s="58">
        <v>7.8090000000000002</v>
      </c>
      <c r="FW13" s="58">
        <v>6.4489999999999998</v>
      </c>
      <c r="FX13" s="58">
        <v>1.36</v>
      </c>
      <c r="FY13" s="58">
        <v>26.376999999999999</v>
      </c>
      <c r="FZ13" s="58">
        <v>14.010999999999999</v>
      </c>
      <c r="GA13" s="58">
        <v>12.366</v>
      </c>
      <c r="GB13" s="58">
        <v>166.791</v>
      </c>
      <c r="GC13" s="58">
        <v>85.768000000000001</v>
      </c>
      <c r="GD13" s="58">
        <v>81.022999999999996</v>
      </c>
      <c r="GE13" s="58">
        <v>64.338999999999999</v>
      </c>
      <c r="GF13" s="58">
        <v>45.741999999999997</v>
      </c>
      <c r="GG13" s="58">
        <v>18.597000000000001</v>
      </c>
      <c r="GH13" s="58">
        <v>102.452</v>
      </c>
      <c r="GI13" s="58">
        <v>40.026000000000003</v>
      </c>
      <c r="GJ13" s="58">
        <v>62.426000000000002</v>
      </c>
      <c r="GK13" s="58">
        <v>81.216999999999999</v>
      </c>
      <c r="GL13" s="58">
        <v>59.457999999999998</v>
      </c>
      <c r="GM13" s="58">
        <v>21.759</v>
      </c>
      <c r="GN13" s="58">
        <v>116.1</v>
      </c>
      <c r="GO13" s="58">
        <v>46.758000000000003</v>
      </c>
      <c r="GP13" s="58">
        <v>69.341999999999999</v>
      </c>
      <c r="GQ13" s="58">
        <v>115.03</v>
      </c>
      <c r="GR13" s="58">
        <v>50.320999999999998</v>
      </c>
      <c r="GS13" s="58">
        <v>64.709000000000003</v>
      </c>
      <c r="GT13" s="58">
        <v>423.82900000000001</v>
      </c>
      <c r="GU13" s="58">
        <v>266.10500000000002</v>
      </c>
      <c r="GV13" s="58">
        <v>157.72399999999999</v>
      </c>
      <c r="GW13" s="58">
        <v>173.57400000000001</v>
      </c>
      <c r="GX13" s="58">
        <v>134.09399999999999</v>
      </c>
      <c r="GY13" s="58">
        <v>39.479999999999997</v>
      </c>
      <c r="GZ13" s="58">
        <v>250.255</v>
      </c>
      <c r="HA13" s="58">
        <v>132.011</v>
      </c>
      <c r="HB13" s="58">
        <v>118.244</v>
      </c>
      <c r="HC13" s="58">
        <v>49.170999999999999</v>
      </c>
      <c r="HD13" s="58">
        <v>34.703000000000003</v>
      </c>
      <c r="HE13" s="58">
        <v>14.468</v>
      </c>
      <c r="HF13" s="58">
        <v>24.318000000000001</v>
      </c>
      <c r="HG13" s="58">
        <v>16.731000000000002</v>
      </c>
      <c r="HH13" s="58">
        <v>7.5869999999999997</v>
      </c>
      <c r="HI13" s="58">
        <v>6.4660000000000002</v>
      </c>
      <c r="HJ13" s="58">
        <v>5.3209999999999997</v>
      </c>
      <c r="HK13" s="58">
        <v>1.1439999999999999</v>
      </c>
      <c r="HL13" s="58">
        <v>5.1619999999999999</v>
      </c>
      <c r="HM13" s="58">
        <v>4.4509999999999996</v>
      </c>
      <c r="HN13" s="58">
        <v>0.71199999999999997</v>
      </c>
      <c r="HO13" s="58">
        <v>1.3029999999999999</v>
      </c>
      <c r="HP13" s="58">
        <v>0.871</v>
      </c>
      <c r="HQ13" s="58">
        <v>0.433</v>
      </c>
      <c r="HR13" s="58">
        <v>17.852</v>
      </c>
      <c r="HS13" s="58">
        <v>11.41</v>
      </c>
      <c r="HT13" s="58">
        <v>6.4420000000000002</v>
      </c>
      <c r="HU13" s="58">
        <v>29.503</v>
      </c>
      <c r="HV13" s="58">
        <v>21.349</v>
      </c>
      <c r="HW13" s="58">
        <v>8.1539999999999999</v>
      </c>
      <c r="HX13" s="58">
        <v>9.2509999999999994</v>
      </c>
      <c r="HY13" s="58">
        <v>7.625</v>
      </c>
      <c r="HZ13" s="58">
        <v>1.6259999999999999</v>
      </c>
      <c r="IA13" s="58">
        <v>20.251999999999999</v>
      </c>
      <c r="IB13" s="58">
        <v>13.724</v>
      </c>
      <c r="IC13" s="58">
        <v>6.5279999999999996</v>
      </c>
      <c r="ID13" s="58">
        <v>14.840999999999999</v>
      </c>
      <c r="IE13" s="58">
        <v>12.071</v>
      </c>
      <c r="IF13" s="58">
        <v>2.77</v>
      </c>
      <c r="IG13" s="58">
        <v>34.329000000000001</v>
      </c>
      <c r="IH13" s="58">
        <v>22.631</v>
      </c>
      <c r="II13" s="58">
        <v>11.698</v>
      </c>
      <c r="IJ13" s="58">
        <v>25.414000000000001</v>
      </c>
      <c r="IK13" s="58">
        <v>18.173999999999999</v>
      </c>
      <c r="IL13" s="58">
        <v>7.24</v>
      </c>
      <c r="IM13" s="58">
        <v>3613.1709999999998</v>
      </c>
      <c r="IN13" s="58">
        <v>1961.1</v>
      </c>
      <c r="IO13" s="58">
        <v>1652.0719999999999</v>
      </c>
      <c r="IP13" s="58">
        <v>2525.777</v>
      </c>
      <c r="IQ13" s="58">
        <v>1624.9449999999999</v>
      </c>
    </row>
    <row r="14" spans="1:251">
      <c r="A14" s="5">
        <v>41913</v>
      </c>
      <c r="B14" s="58">
        <v>10.179</v>
      </c>
      <c r="C14" s="58">
        <v>13.755000000000001</v>
      </c>
      <c r="D14" s="58">
        <v>348.63499999999999</v>
      </c>
      <c r="E14" s="58">
        <v>205.05099999999999</v>
      </c>
      <c r="F14" s="58">
        <v>143.58500000000001</v>
      </c>
      <c r="G14" s="58">
        <v>178.17699999999999</v>
      </c>
      <c r="H14" s="58">
        <v>135.423</v>
      </c>
      <c r="I14" s="58">
        <v>42.753</v>
      </c>
      <c r="J14" s="58">
        <v>170.459</v>
      </c>
      <c r="K14" s="58">
        <v>69.626999999999995</v>
      </c>
      <c r="L14" s="58">
        <v>100.831</v>
      </c>
      <c r="M14" s="58">
        <v>195.63300000000001</v>
      </c>
      <c r="N14" s="58">
        <v>147.87200000000001</v>
      </c>
      <c r="O14" s="58">
        <v>47.761000000000003</v>
      </c>
      <c r="P14" s="58">
        <v>178.08600000000001</v>
      </c>
      <c r="Q14" s="58">
        <v>70.804000000000002</v>
      </c>
      <c r="R14" s="58">
        <v>107.283</v>
      </c>
      <c r="S14" s="58">
        <v>180.01499999999999</v>
      </c>
      <c r="T14" s="58">
        <v>77.075999999999993</v>
      </c>
      <c r="U14" s="58">
        <v>102.94</v>
      </c>
      <c r="V14" s="58">
        <v>2521.2060000000001</v>
      </c>
      <c r="W14" s="58">
        <v>1365.232</v>
      </c>
      <c r="X14" s="58">
        <v>1155.9739999999999</v>
      </c>
      <c r="Y14" s="58">
        <v>1855.6769999999999</v>
      </c>
      <c r="Z14" s="58">
        <v>1256.579</v>
      </c>
      <c r="AA14" s="58">
        <v>599.09699999999998</v>
      </c>
      <c r="AB14" s="58">
        <v>665.529</v>
      </c>
      <c r="AC14" s="58">
        <v>108.65300000000001</v>
      </c>
      <c r="AD14" s="58">
        <v>556.87699999999995</v>
      </c>
      <c r="AE14" s="58">
        <v>313.27300000000002</v>
      </c>
      <c r="AF14" s="58">
        <v>168.61500000000001</v>
      </c>
      <c r="AG14" s="58">
        <v>144.65799999999999</v>
      </c>
      <c r="AH14" s="58">
        <v>46.851999999999997</v>
      </c>
      <c r="AI14" s="58">
        <v>26.555</v>
      </c>
      <c r="AJ14" s="58">
        <v>20.297000000000001</v>
      </c>
      <c r="AK14" s="58">
        <v>22.562999999999999</v>
      </c>
      <c r="AL14" s="58">
        <v>18.172000000000001</v>
      </c>
      <c r="AM14" s="58">
        <v>4.391</v>
      </c>
      <c r="AN14" s="58">
        <v>12.319000000000001</v>
      </c>
      <c r="AO14" s="58">
        <v>9.2439999999999998</v>
      </c>
      <c r="AP14" s="58">
        <v>3.0760000000000001</v>
      </c>
      <c r="AQ14" s="58">
        <v>10.243</v>
      </c>
      <c r="AR14" s="58">
        <v>8.9280000000000008</v>
      </c>
      <c r="AS14" s="58">
        <v>1.3149999999999999</v>
      </c>
      <c r="AT14" s="58">
        <v>24.29</v>
      </c>
      <c r="AU14" s="58">
        <v>8.3829999999999991</v>
      </c>
      <c r="AV14" s="58">
        <v>15.906000000000001</v>
      </c>
      <c r="AW14" s="58">
        <v>283.05900000000003</v>
      </c>
      <c r="AX14" s="58">
        <v>150.33199999999999</v>
      </c>
      <c r="AY14" s="58">
        <v>132.72800000000001</v>
      </c>
      <c r="AZ14" s="58">
        <v>131.23500000000001</v>
      </c>
      <c r="BA14" s="58">
        <v>104.611</v>
      </c>
      <c r="BB14" s="58">
        <v>26.623999999999999</v>
      </c>
      <c r="BC14" s="58">
        <v>151.82400000000001</v>
      </c>
      <c r="BD14" s="58">
        <v>45.720999999999997</v>
      </c>
      <c r="BE14" s="58">
        <v>106.10299999999999</v>
      </c>
      <c r="BF14" s="58">
        <v>149.345</v>
      </c>
      <c r="BG14" s="58">
        <v>119.03400000000001</v>
      </c>
      <c r="BH14" s="58">
        <v>30.311</v>
      </c>
      <c r="BI14" s="58">
        <v>163.929</v>
      </c>
      <c r="BJ14" s="58">
        <v>49.581000000000003</v>
      </c>
      <c r="BK14" s="58">
        <v>114.348</v>
      </c>
      <c r="BL14" s="58">
        <v>164.14400000000001</v>
      </c>
      <c r="BM14" s="58">
        <v>54.963999999999999</v>
      </c>
      <c r="BN14" s="58">
        <v>109.179</v>
      </c>
      <c r="BO14" s="58">
        <v>2450.665</v>
      </c>
      <c r="BP14" s="58">
        <v>1285.7840000000001</v>
      </c>
      <c r="BQ14" s="58">
        <v>1164.8800000000001</v>
      </c>
      <c r="BR14" s="58">
        <v>1843.127</v>
      </c>
      <c r="BS14" s="58">
        <v>1165.6769999999999</v>
      </c>
      <c r="BT14" s="58">
        <v>677.45100000000002</v>
      </c>
      <c r="BU14" s="58">
        <v>607.53700000000003</v>
      </c>
      <c r="BV14" s="58">
        <v>120.108</v>
      </c>
      <c r="BW14" s="58">
        <v>487.43</v>
      </c>
      <c r="BX14" s="58">
        <v>292.959</v>
      </c>
      <c r="BY14" s="58">
        <v>141.47499999999999</v>
      </c>
      <c r="BZ14" s="58">
        <v>151.48400000000001</v>
      </c>
      <c r="CA14" s="58">
        <v>60.231999999999999</v>
      </c>
      <c r="CB14" s="58">
        <v>33.776000000000003</v>
      </c>
      <c r="CC14" s="58">
        <v>26.456</v>
      </c>
      <c r="CD14" s="58">
        <v>25.338999999999999</v>
      </c>
      <c r="CE14" s="58">
        <v>21.353000000000002</v>
      </c>
      <c r="CF14" s="58">
        <v>3.9860000000000002</v>
      </c>
      <c r="CG14" s="58">
        <v>14.302</v>
      </c>
      <c r="CH14" s="58">
        <v>11.718</v>
      </c>
      <c r="CI14" s="58">
        <v>2.5840000000000001</v>
      </c>
      <c r="CJ14" s="58">
        <v>11.037000000000001</v>
      </c>
      <c r="CK14" s="58">
        <v>9.6349999999999998</v>
      </c>
      <c r="CL14" s="58">
        <v>1.4019999999999999</v>
      </c>
      <c r="CM14" s="58">
        <v>34.893000000000001</v>
      </c>
      <c r="CN14" s="58">
        <v>12.423</v>
      </c>
      <c r="CO14" s="58">
        <v>22.47</v>
      </c>
      <c r="CP14" s="58">
        <v>260.23399999999998</v>
      </c>
      <c r="CQ14" s="58">
        <v>124.247</v>
      </c>
      <c r="CR14" s="58">
        <v>135.98599999999999</v>
      </c>
      <c r="CS14" s="58">
        <v>109.16</v>
      </c>
      <c r="CT14" s="58">
        <v>80.247</v>
      </c>
      <c r="CU14" s="58">
        <v>28.913</v>
      </c>
      <c r="CV14" s="58">
        <v>151.07400000000001</v>
      </c>
      <c r="CW14" s="58">
        <v>44.000999999999998</v>
      </c>
      <c r="CX14" s="58">
        <v>107.074</v>
      </c>
      <c r="CY14" s="58">
        <v>124.67700000000001</v>
      </c>
      <c r="CZ14" s="58">
        <v>92.840999999999994</v>
      </c>
      <c r="DA14" s="58">
        <v>31.835999999999999</v>
      </c>
      <c r="DB14" s="58">
        <v>168.28299999999999</v>
      </c>
      <c r="DC14" s="58">
        <v>48.634</v>
      </c>
      <c r="DD14" s="58">
        <v>119.649</v>
      </c>
      <c r="DE14" s="58">
        <v>165.376</v>
      </c>
      <c r="DF14" s="58">
        <v>55.719000000000001</v>
      </c>
      <c r="DG14" s="58">
        <v>109.657</v>
      </c>
      <c r="DH14" s="58">
        <v>2075.3069999999998</v>
      </c>
      <c r="DI14" s="58">
        <v>1183.9580000000001</v>
      </c>
      <c r="DJ14" s="58">
        <v>891.34900000000005</v>
      </c>
      <c r="DK14" s="58">
        <v>1302.4280000000001</v>
      </c>
      <c r="DL14" s="58">
        <v>886.17700000000002</v>
      </c>
      <c r="DM14" s="58">
        <v>416.25099999999998</v>
      </c>
      <c r="DN14" s="58">
        <v>772.87900000000002</v>
      </c>
      <c r="DO14" s="58">
        <v>297.78100000000001</v>
      </c>
      <c r="DP14" s="58">
        <v>475.09800000000001</v>
      </c>
      <c r="DQ14" s="58">
        <v>239.65</v>
      </c>
      <c r="DR14" s="58">
        <v>136.01400000000001</v>
      </c>
      <c r="DS14" s="58">
        <v>103.636</v>
      </c>
      <c r="DT14" s="58">
        <v>65.575000000000003</v>
      </c>
      <c r="DU14" s="58">
        <v>43.491</v>
      </c>
      <c r="DV14" s="58">
        <v>22.082999999999998</v>
      </c>
      <c r="DW14" s="58">
        <v>18.995999999999999</v>
      </c>
      <c r="DX14" s="58">
        <v>14.808999999999999</v>
      </c>
      <c r="DY14" s="58">
        <v>4.1879999999999997</v>
      </c>
      <c r="DZ14" s="58">
        <v>8.9260000000000002</v>
      </c>
      <c r="EA14" s="58">
        <v>6.141</v>
      </c>
      <c r="EB14" s="58">
        <v>2.7850000000000001</v>
      </c>
      <c r="EC14" s="58">
        <v>10.07</v>
      </c>
      <c r="ED14" s="58">
        <v>8.6669999999999998</v>
      </c>
      <c r="EE14" s="58">
        <v>1.403</v>
      </c>
      <c r="EF14" s="58">
        <v>46.578000000000003</v>
      </c>
      <c r="EG14" s="58">
        <v>28.683</v>
      </c>
      <c r="EH14" s="58">
        <v>17.896000000000001</v>
      </c>
      <c r="EI14" s="58">
        <v>194.203</v>
      </c>
      <c r="EJ14" s="58">
        <v>106.324</v>
      </c>
      <c r="EK14" s="58">
        <v>87.88</v>
      </c>
      <c r="EL14" s="58">
        <v>64.795000000000002</v>
      </c>
      <c r="EM14" s="58">
        <v>50.223999999999997</v>
      </c>
      <c r="EN14" s="58">
        <v>14.571</v>
      </c>
      <c r="EO14" s="58">
        <v>129.40799999999999</v>
      </c>
      <c r="EP14" s="58">
        <v>56.1</v>
      </c>
      <c r="EQ14" s="58">
        <v>73.308000000000007</v>
      </c>
      <c r="ER14" s="58">
        <v>80.974999999999994</v>
      </c>
      <c r="ES14" s="58">
        <v>62.216000000000001</v>
      </c>
      <c r="ET14" s="58">
        <v>18.759</v>
      </c>
      <c r="EU14" s="58">
        <v>158.67500000000001</v>
      </c>
      <c r="EV14" s="58">
        <v>73.798000000000002</v>
      </c>
      <c r="EW14" s="58">
        <v>84.876999999999995</v>
      </c>
      <c r="EX14" s="58">
        <v>138.334</v>
      </c>
      <c r="EY14" s="58">
        <v>62.241999999999997</v>
      </c>
      <c r="EZ14" s="58">
        <v>76.093000000000004</v>
      </c>
      <c r="FA14" s="58">
        <v>1660.0029999999999</v>
      </c>
      <c r="FB14" s="58">
        <v>919.41399999999999</v>
      </c>
      <c r="FC14" s="58">
        <v>740.58900000000006</v>
      </c>
      <c r="FD14" s="58">
        <v>1125.7339999999999</v>
      </c>
      <c r="FE14" s="58">
        <v>750.89599999999996</v>
      </c>
      <c r="FF14" s="58">
        <v>374.83800000000002</v>
      </c>
      <c r="FG14" s="58">
        <v>534.26900000000001</v>
      </c>
      <c r="FH14" s="58">
        <v>168.518</v>
      </c>
      <c r="FI14" s="58">
        <v>365.75099999999998</v>
      </c>
      <c r="FJ14" s="58">
        <v>202.74700000000001</v>
      </c>
      <c r="FK14" s="58">
        <v>109.29600000000001</v>
      </c>
      <c r="FL14" s="58">
        <v>93.450999999999993</v>
      </c>
      <c r="FM14" s="58">
        <v>48.792000000000002</v>
      </c>
      <c r="FN14" s="58">
        <v>30.414000000000001</v>
      </c>
      <c r="FO14" s="58">
        <v>18.379000000000001</v>
      </c>
      <c r="FP14" s="58">
        <v>16.885000000000002</v>
      </c>
      <c r="FQ14" s="58">
        <v>13.161</v>
      </c>
      <c r="FR14" s="58">
        <v>3.7240000000000002</v>
      </c>
      <c r="FS14" s="58">
        <v>8.4629999999999992</v>
      </c>
      <c r="FT14" s="58">
        <v>6.141</v>
      </c>
      <c r="FU14" s="58">
        <v>2.3210000000000002</v>
      </c>
      <c r="FV14" s="58">
        <v>8.4220000000000006</v>
      </c>
      <c r="FW14" s="58">
        <v>7.0190000000000001</v>
      </c>
      <c r="FX14" s="58">
        <v>1.403</v>
      </c>
      <c r="FY14" s="58">
        <v>31.907</v>
      </c>
      <c r="FZ14" s="58">
        <v>17.253</v>
      </c>
      <c r="GA14" s="58">
        <v>14.654</v>
      </c>
      <c r="GB14" s="58">
        <v>170.33600000000001</v>
      </c>
      <c r="GC14" s="58">
        <v>89.51</v>
      </c>
      <c r="GD14" s="58">
        <v>80.825999999999993</v>
      </c>
      <c r="GE14" s="58">
        <v>59.668999999999997</v>
      </c>
      <c r="GF14" s="58">
        <v>45.216000000000001</v>
      </c>
      <c r="GG14" s="58">
        <v>14.452999999999999</v>
      </c>
      <c r="GH14" s="58">
        <v>110.667</v>
      </c>
      <c r="GI14" s="58">
        <v>44.293999999999997</v>
      </c>
      <c r="GJ14" s="58">
        <v>66.373000000000005</v>
      </c>
      <c r="GK14" s="58">
        <v>73.872</v>
      </c>
      <c r="GL14" s="58">
        <v>55.695</v>
      </c>
      <c r="GM14" s="58">
        <v>18.177</v>
      </c>
      <c r="GN14" s="58">
        <v>128.875</v>
      </c>
      <c r="GO14" s="58">
        <v>53.600999999999999</v>
      </c>
      <c r="GP14" s="58">
        <v>75.274000000000001</v>
      </c>
      <c r="GQ14" s="58">
        <v>119.13</v>
      </c>
      <c r="GR14" s="58">
        <v>50.436</v>
      </c>
      <c r="GS14" s="58">
        <v>68.694000000000003</v>
      </c>
      <c r="GT14" s="58">
        <v>415.30399999999997</v>
      </c>
      <c r="GU14" s="58">
        <v>264.54399999999998</v>
      </c>
      <c r="GV14" s="58">
        <v>150.76</v>
      </c>
      <c r="GW14" s="58">
        <v>176.69399999999999</v>
      </c>
      <c r="GX14" s="58">
        <v>135.28100000000001</v>
      </c>
      <c r="GY14" s="58">
        <v>41.412999999999997</v>
      </c>
      <c r="GZ14" s="58">
        <v>238.61</v>
      </c>
      <c r="HA14" s="58">
        <v>129.26300000000001</v>
      </c>
      <c r="HB14" s="58">
        <v>109.34699999999999</v>
      </c>
      <c r="HC14" s="58">
        <v>36.902999999999999</v>
      </c>
      <c r="HD14" s="58">
        <v>26.718</v>
      </c>
      <c r="HE14" s="58">
        <v>10.185</v>
      </c>
      <c r="HF14" s="58">
        <v>16.782</v>
      </c>
      <c r="HG14" s="58">
        <v>13.077999999999999</v>
      </c>
      <c r="HH14" s="58">
        <v>3.7050000000000001</v>
      </c>
      <c r="HI14" s="58">
        <v>2.1110000000000002</v>
      </c>
      <c r="HJ14" s="58">
        <v>1.6479999999999999</v>
      </c>
      <c r="HK14" s="58">
        <v>0.46300000000000002</v>
      </c>
      <c r="HL14" s="58">
        <v>0.46300000000000002</v>
      </c>
      <c r="HM14" s="58">
        <v>0</v>
      </c>
      <c r="HN14" s="58">
        <v>0.46300000000000002</v>
      </c>
      <c r="HO14" s="58">
        <v>1.6479999999999999</v>
      </c>
      <c r="HP14" s="58">
        <v>1.6479999999999999</v>
      </c>
      <c r="HQ14" s="58">
        <v>0</v>
      </c>
      <c r="HR14" s="58">
        <v>14.670999999999999</v>
      </c>
      <c r="HS14" s="58">
        <v>11.429</v>
      </c>
      <c r="HT14" s="58">
        <v>3.242</v>
      </c>
      <c r="HU14" s="58">
        <v>23.867000000000001</v>
      </c>
      <c r="HV14" s="58">
        <v>16.814</v>
      </c>
      <c r="HW14" s="58">
        <v>7.0540000000000003</v>
      </c>
      <c r="HX14" s="58">
        <v>5.1260000000000003</v>
      </c>
      <c r="HY14" s="58">
        <v>5.008</v>
      </c>
      <c r="HZ14" s="58">
        <v>0.11799999999999999</v>
      </c>
      <c r="IA14" s="58">
        <v>18.741</v>
      </c>
      <c r="IB14" s="58">
        <v>11.805999999999999</v>
      </c>
      <c r="IC14" s="58">
        <v>6.9349999999999996</v>
      </c>
      <c r="ID14" s="58">
        <v>7.1029999999999998</v>
      </c>
      <c r="IE14" s="58">
        <v>6.5220000000000002</v>
      </c>
      <c r="IF14" s="58">
        <v>0.58199999999999996</v>
      </c>
      <c r="IG14" s="58">
        <v>29.8</v>
      </c>
      <c r="IH14" s="58">
        <v>20.196999999999999</v>
      </c>
      <c r="II14" s="58">
        <v>9.6039999999999992</v>
      </c>
      <c r="IJ14" s="58">
        <v>19.204000000000001</v>
      </c>
      <c r="IK14" s="58">
        <v>11.805999999999999</v>
      </c>
      <c r="IL14" s="58">
        <v>7.3979999999999997</v>
      </c>
      <c r="IM14" s="58">
        <v>3622.471</v>
      </c>
      <c r="IN14" s="58">
        <v>1958.1949999999999</v>
      </c>
      <c r="IO14" s="58">
        <v>1664.277</v>
      </c>
      <c r="IP14" s="58">
        <v>2503.2779999999998</v>
      </c>
      <c r="IQ14" s="58">
        <v>1620.3510000000001</v>
      </c>
    </row>
    <row r="15" spans="1:251">
      <c r="A15" s="5">
        <v>41944</v>
      </c>
      <c r="B15" s="58">
        <v>9.93</v>
      </c>
      <c r="C15" s="58">
        <v>15.452</v>
      </c>
      <c r="D15" s="58">
        <v>381.358</v>
      </c>
      <c r="E15" s="58">
        <v>236.679</v>
      </c>
      <c r="F15" s="58">
        <v>144.679</v>
      </c>
      <c r="G15" s="58">
        <v>189.47900000000001</v>
      </c>
      <c r="H15" s="58">
        <v>150.65700000000001</v>
      </c>
      <c r="I15" s="58">
        <v>38.822000000000003</v>
      </c>
      <c r="J15" s="58">
        <v>191.87899999999999</v>
      </c>
      <c r="K15" s="58">
        <v>86.022000000000006</v>
      </c>
      <c r="L15" s="58">
        <v>105.857</v>
      </c>
      <c r="M15" s="58">
        <v>202.14400000000001</v>
      </c>
      <c r="N15" s="58">
        <v>160.191</v>
      </c>
      <c r="O15" s="58">
        <v>41.953000000000003</v>
      </c>
      <c r="P15" s="58">
        <v>199.56700000000001</v>
      </c>
      <c r="Q15" s="58">
        <v>88.629000000000005</v>
      </c>
      <c r="R15" s="58">
        <v>110.938</v>
      </c>
      <c r="S15" s="58">
        <v>201.018</v>
      </c>
      <c r="T15" s="58">
        <v>92.14</v>
      </c>
      <c r="U15" s="58">
        <v>108.878</v>
      </c>
      <c r="V15" s="58">
        <v>2544.002</v>
      </c>
      <c r="W15" s="58">
        <v>1386.809</v>
      </c>
      <c r="X15" s="58">
        <v>1157.193</v>
      </c>
      <c r="Y15" s="58">
        <v>1883.3230000000001</v>
      </c>
      <c r="Z15" s="58">
        <v>1279.8589999999999</v>
      </c>
      <c r="AA15" s="58">
        <v>603.46299999999997</v>
      </c>
      <c r="AB15" s="58">
        <v>660.67899999999997</v>
      </c>
      <c r="AC15" s="58">
        <v>106.949</v>
      </c>
      <c r="AD15" s="58">
        <v>553.73</v>
      </c>
      <c r="AE15" s="58">
        <v>321.54599999999999</v>
      </c>
      <c r="AF15" s="58">
        <v>171.24600000000001</v>
      </c>
      <c r="AG15" s="58">
        <v>150.29900000000001</v>
      </c>
      <c r="AH15" s="58">
        <v>58.636000000000003</v>
      </c>
      <c r="AI15" s="58">
        <v>33.692</v>
      </c>
      <c r="AJ15" s="58">
        <v>24.943999999999999</v>
      </c>
      <c r="AK15" s="58">
        <v>28.561</v>
      </c>
      <c r="AL15" s="58">
        <v>23.164000000000001</v>
      </c>
      <c r="AM15" s="58">
        <v>5.3970000000000002</v>
      </c>
      <c r="AN15" s="58">
        <v>15.662000000000001</v>
      </c>
      <c r="AO15" s="58">
        <v>13.481</v>
      </c>
      <c r="AP15" s="58">
        <v>2.181</v>
      </c>
      <c r="AQ15" s="58">
        <v>12.898999999999999</v>
      </c>
      <c r="AR15" s="58">
        <v>9.6829999999999998</v>
      </c>
      <c r="AS15" s="58">
        <v>3.2160000000000002</v>
      </c>
      <c r="AT15" s="58">
        <v>30.074999999999999</v>
      </c>
      <c r="AU15" s="58">
        <v>10.528</v>
      </c>
      <c r="AV15" s="58">
        <v>19.547000000000001</v>
      </c>
      <c r="AW15" s="58">
        <v>284.29000000000002</v>
      </c>
      <c r="AX15" s="58">
        <v>149.78800000000001</v>
      </c>
      <c r="AY15" s="58">
        <v>134.50200000000001</v>
      </c>
      <c r="AZ15" s="58">
        <v>125.21899999999999</v>
      </c>
      <c r="BA15" s="58">
        <v>101.02500000000001</v>
      </c>
      <c r="BB15" s="58">
        <v>24.193999999999999</v>
      </c>
      <c r="BC15" s="58">
        <v>159.071</v>
      </c>
      <c r="BD15" s="58">
        <v>48.762999999999998</v>
      </c>
      <c r="BE15" s="58">
        <v>110.30800000000001</v>
      </c>
      <c r="BF15" s="58">
        <v>148.20699999999999</v>
      </c>
      <c r="BG15" s="58">
        <v>118.61499999999999</v>
      </c>
      <c r="BH15" s="58">
        <v>29.591999999999999</v>
      </c>
      <c r="BI15" s="58">
        <v>173.339</v>
      </c>
      <c r="BJ15" s="58">
        <v>52.631</v>
      </c>
      <c r="BK15" s="58">
        <v>120.70699999999999</v>
      </c>
      <c r="BL15" s="58">
        <v>174.733</v>
      </c>
      <c r="BM15" s="58">
        <v>62.244</v>
      </c>
      <c r="BN15" s="58">
        <v>112.489</v>
      </c>
      <c r="BO15" s="58">
        <v>2452.8110000000001</v>
      </c>
      <c r="BP15" s="58">
        <v>1282.077</v>
      </c>
      <c r="BQ15" s="58">
        <v>1170.7329999999999</v>
      </c>
      <c r="BR15" s="58">
        <v>1850.299</v>
      </c>
      <c r="BS15" s="58">
        <v>1172.2429999999999</v>
      </c>
      <c r="BT15" s="58">
        <v>678.05600000000004</v>
      </c>
      <c r="BU15" s="58">
        <v>602.51199999999994</v>
      </c>
      <c r="BV15" s="58">
        <v>109.834</v>
      </c>
      <c r="BW15" s="58">
        <v>492.678</v>
      </c>
      <c r="BX15" s="58">
        <v>304.733</v>
      </c>
      <c r="BY15" s="58">
        <v>141.565</v>
      </c>
      <c r="BZ15" s="58">
        <v>163.16800000000001</v>
      </c>
      <c r="CA15" s="58">
        <v>60.417000000000002</v>
      </c>
      <c r="CB15" s="58">
        <v>35.953000000000003</v>
      </c>
      <c r="CC15" s="58">
        <v>24.465</v>
      </c>
      <c r="CD15" s="58">
        <v>30.324999999999999</v>
      </c>
      <c r="CE15" s="58">
        <v>25.183</v>
      </c>
      <c r="CF15" s="58">
        <v>5.1420000000000003</v>
      </c>
      <c r="CG15" s="58">
        <v>15.407999999999999</v>
      </c>
      <c r="CH15" s="58">
        <v>13.186999999999999</v>
      </c>
      <c r="CI15" s="58">
        <v>2.2210000000000001</v>
      </c>
      <c r="CJ15" s="58">
        <v>14.917</v>
      </c>
      <c r="CK15" s="58">
        <v>11.997</v>
      </c>
      <c r="CL15" s="58">
        <v>2.92</v>
      </c>
      <c r="CM15" s="58">
        <v>30.091999999999999</v>
      </c>
      <c r="CN15" s="58">
        <v>10.769</v>
      </c>
      <c r="CO15" s="58">
        <v>19.323</v>
      </c>
      <c r="CP15" s="58">
        <v>265.798</v>
      </c>
      <c r="CQ15" s="58">
        <v>117.55200000000001</v>
      </c>
      <c r="CR15" s="58">
        <v>148.24600000000001</v>
      </c>
      <c r="CS15" s="58">
        <v>107.601</v>
      </c>
      <c r="CT15" s="58">
        <v>77.271000000000001</v>
      </c>
      <c r="CU15" s="58">
        <v>30.331</v>
      </c>
      <c r="CV15" s="58">
        <v>158.197</v>
      </c>
      <c r="CW15" s="58">
        <v>40.280999999999999</v>
      </c>
      <c r="CX15" s="58">
        <v>117.916</v>
      </c>
      <c r="CY15" s="58">
        <v>130.923</v>
      </c>
      <c r="CZ15" s="58">
        <v>96.268000000000001</v>
      </c>
      <c r="DA15" s="58">
        <v>34.655000000000001</v>
      </c>
      <c r="DB15" s="58">
        <v>173.809</v>
      </c>
      <c r="DC15" s="58">
        <v>45.295999999999999</v>
      </c>
      <c r="DD15" s="58">
        <v>128.51300000000001</v>
      </c>
      <c r="DE15" s="58">
        <v>173.60499999999999</v>
      </c>
      <c r="DF15" s="58">
        <v>53.466999999999999</v>
      </c>
      <c r="DG15" s="58">
        <v>120.137</v>
      </c>
      <c r="DH15" s="58">
        <v>2079.4940000000001</v>
      </c>
      <c r="DI15" s="58">
        <v>1177.75</v>
      </c>
      <c r="DJ15" s="58">
        <v>901.74400000000003</v>
      </c>
      <c r="DK15" s="58">
        <v>1295.742</v>
      </c>
      <c r="DL15" s="58">
        <v>890.18299999999999</v>
      </c>
      <c r="DM15" s="58">
        <v>405.55900000000003</v>
      </c>
      <c r="DN15" s="58">
        <v>783.75300000000004</v>
      </c>
      <c r="DO15" s="58">
        <v>287.56700000000001</v>
      </c>
      <c r="DP15" s="58">
        <v>496.18599999999998</v>
      </c>
      <c r="DQ15" s="58">
        <v>243.61600000000001</v>
      </c>
      <c r="DR15" s="58">
        <v>132.78299999999999</v>
      </c>
      <c r="DS15" s="58">
        <v>110.833</v>
      </c>
      <c r="DT15" s="58">
        <v>63.976999999999997</v>
      </c>
      <c r="DU15" s="58">
        <v>41.753999999999998</v>
      </c>
      <c r="DV15" s="58">
        <v>22.222999999999999</v>
      </c>
      <c r="DW15" s="58">
        <v>20.141999999999999</v>
      </c>
      <c r="DX15" s="58">
        <v>16.404</v>
      </c>
      <c r="DY15" s="58">
        <v>3.738</v>
      </c>
      <c r="DZ15" s="58">
        <v>10.677</v>
      </c>
      <c r="EA15" s="58">
        <v>7.7489999999999997</v>
      </c>
      <c r="EB15" s="58">
        <v>2.9279999999999999</v>
      </c>
      <c r="EC15" s="58">
        <v>9.4649999999999999</v>
      </c>
      <c r="ED15" s="58">
        <v>8.6549999999999994</v>
      </c>
      <c r="EE15" s="58">
        <v>0.81</v>
      </c>
      <c r="EF15" s="58">
        <v>43.835000000000001</v>
      </c>
      <c r="EG15" s="58">
        <v>25.35</v>
      </c>
      <c r="EH15" s="58">
        <v>18.484999999999999</v>
      </c>
      <c r="EI15" s="58">
        <v>199.78800000000001</v>
      </c>
      <c r="EJ15" s="58">
        <v>103.505</v>
      </c>
      <c r="EK15" s="58">
        <v>96.283000000000001</v>
      </c>
      <c r="EL15" s="58">
        <v>69.045000000000002</v>
      </c>
      <c r="EM15" s="58">
        <v>49.817</v>
      </c>
      <c r="EN15" s="58">
        <v>19.227</v>
      </c>
      <c r="EO15" s="58">
        <v>130.74299999999999</v>
      </c>
      <c r="EP15" s="58">
        <v>53.688000000000002</v>
      </c>
      <c r="EQ15" s="58">
        <v>77.055000000000007</v>
      </c>
      <c r="ER15" s="58">
        <v>87.03</v>
      </c>
      <c r="ES15" s="58">
        <v>65.084000000000003</v>
      </c>
      <c r="ET15" s="58">
        <v>21.946000000000002</v>
      </c>
      <c r="EU15" s="58">
        <v>156.58699999999999</v>
      </c>
      <c r="EV15" s="58">
        <v>67.698999999999998</v>
      </c>
      <c r="EW15" s="58">
        <v>88.888000000000005</v>
      </c>
      <c r="EX15" s="58">
        <v>141.41999999999999</v>
      </c>
      <c r="EY15" s="58">
        <v>61.436999999999998</v>
      </c>
      <c r="EZ15" s="58">
        <v>79.983000000000004</v>
      </c>
      <c r="FA15" s="58">
        <v>1656.8820000000001</v>
      </c>
      <c r="FB15" s="58">
        <v>909.68700000000001</v>
      </c>
      <c r="FC15" s="58">
        <v>747.19399999999996</v>
      </c>
      <c r="FD15" s="58">
        <v>1119.1780000000001</v>
      </c>
      <c r="FE15" s="58">
        <v>751.09199999999998</v>
      </c>
      <c r="FF15" s="58">
        <v>368.08600000000001</v>
      </c>
      <c r="FG15" s="58">
        <v>537.70299999999997</v>
      </c>
      <c r="FH15" s="58">
        <v>158.595</v>
      </c>
      <c r="FI15" s="58">
        <v>379.108</v>
      </c>
      <c r="FJ15" s="58">
        <v>208.70699999999999</v>
      </c>
      <c r="FK15" s="58">
        <v>107.923</v>
      </c>
      <c r="FL15" s="58">
        <v>100.78400000000001</v>
      </c>
      <c r="FM15" s="58">
        <v>47.621000000000002</v>
      </c>
      <c r="FN15" s="58">
        <v>30.853000000000002</v>
      </c>
      <c r="FO15" s="58">
        <v>16.766999999999999</v>
      </c>
      <c r="FP15" s="58">
        <v>17.420000000000002</v>
      </c>
      <c r="FQ15" s="58">
        <v>13.683</v>
      </c>
      <c r="FR15" s="58">
        <v>3.738</v>
      </c>
      <c r="FS15" s="58">
        <v>9.0500000000000007</v>
      </c>
      <c r="FT15" s="58">
        <v>6.1219999999999999</v>
      </c>
      <c r="FU15" s="58">
        <v>2.9279999999999999</v>
      </c>
      <c r="FV15" s="58">
        <v>8.3699999999999992</v>
      </c>
      <c r="FW15" s="58">
        <v>7.56</v>
      </c>
      <c r="FX15" s="58">
        <v>0.81</v>
      </c>
      <c r="FY15" s="58">
        <v>30.2</v>
      </c>
      <c r="FZ15" s="58">
        <v>17.170999999999999</v>
      </c>
      <c r="GA15" s="58">
        <v>13.03</v>
      </c>
      <c r="GB15" s="58">
        <v>179.071</v>
      </c>
      <c r="GC15" s="58">
        <v>88.676000000000002</v>
      </c>
      <c r="GD15" s="58">
        <v>90.394999999999996</v>
      </c>
      <c r="GE15" s="58">
        <v>65.257000000000005</v>
      </c>
      <c r="GF15" s="58">
        <v>46.895000000000003</v>
      </c>
      <c r="GG15" s="58">
        <v>18.361999999999998</v>
      </c>
      <c r="GH15" s="58">
        <v>113.81399999999999</v>
      </c>
      <c r="GI15" s="58">
        <v>41.780999999999999</v>
      </c>
      <c r="GJ15" s="58">
        <v>72.033000000000001</v>
      </c>
      <c r="GK15" s="58">
        <v>80.52</v>
      </c>
      <c r="GL15" s="58">
        <v>59.44</v>
      </c>
      <c r="GM15" s="58">
        <v>21.08</v>
      </c>
      <c r="GN15" s="58">
        <v>128.18700000000001</v>
      </c>
      <c r="GO15" s="58">
        <v>48.482999999999997</v>
      </c>
      <c r="GP15" s="58">
        <v>79.703999999999994</v>
      </c>
      <c r="GQ15" s="58">
        <v>122.864</v>
      </c>
      <c r="GR15" s="58">
        <v>47.904000000000003</v>
      </c>
      <c r="GS15" s="58">
        <v>74.959999999999994</v>
      </c>
      <c r="GT15" s="58">
        <v>422.613</v>
      </c>
      <c r="GU15" s="58">
        <v>268.06200000000001</v>
      </c>
      <c r="GV15" s="58">
        <v>154.55000000000001</v>
      </c>
      <c r="GW15" s="58">
        <v>176.56299999999999</v>
      </c>
      <c r="GX15" s="58">
        <v>139.09100000000001</v>
      </c>
      <c r="GY15" s="58">
        <v>37.472999999999999</v>
      </c>
      <c r="GZ15" s="58">
        <v>246.04900000000001</v>
      </c>
      <c r="HA15" s="58">
        <v>128.97200000000001</v>
      </c>
      <c r="HB15" s="58">
        <v>117.077</v>
      </c>
      <c r="HC15" s="58">
        <v>34.908999999999999</v>
      </c>
      <c r="HD15" s="58">
        <v>24.86</v>
      </c>
      <c r="HE15" s="58">
        <v>10.048999999999999</v>
      </c>
      <c r="HF15" s="58">
        <v>16.356000000000002</v>
      </c>
      <c r="HG15" s="58">
        <v>10.9</v>
      </c>
      <c r="HH15" s="58">
        <v>5.4550000000000001</v>
      </c>
      <c r="HI15" s="58">
        <v>2.7210000000000001</v>
      </c>
      <c r="HJ15" s="58">
        <v>2.7210000000000001</v>
      </c>
      <c r="HK15" s="58">
        <v>0</v>
      </c>
      <c r="HL15" s="58">
        <v>1.627</v>
      </c>
      <c r="HM15" s="58">
        <v>1.627</v>
      </c>
      <c r="HN15" s="58">
        <v>0</v>
      </c>
      <c r="HO15" s="58">
        <v>1.0940000000000001</v>
      </c>
      <c r="HP15" s="58">
        <v>1.0940000000000001</v>
      </c>
      <c r="HQ15" s="58">
        <v>0</v>
      </c>
      <c r="HR15" s="58">
        <v>13.634</v>
      </c>
      <c r="HS15" s="58">
        <v>8.1790000000000003</v>
      </c>
      <c r="HT15" s="58">
        <v>5.4550000000000001</v>
      </c>
      <c r="HU15" s="58">
        <v>20.716999999999999</v>
      </c>
      <c r="HV15" s="58">
        <v>14.829000000000001</v>
      </c>
      <c r="HW15" s="58">
        <v>5.8879999999999999</v>
      </c>
      <c r="HX15" s="58">
        <v>3.7879999999999998</v>
      </c>
      <c r="HY15" s="58">
        <v>2.923</v>
      </c>
      <c r="HZ15" s="58">
        <v>0.86499999999999999</v>
      </c>
      <c r="IA15" s="58">
        <v>16.928999999999998</v>
      </c>
      <c r="IB15" s="58">
        <v>11.906000000000001</v>
      </c>
      <c r="IC15" s="58">
        <v>5.0229999999999997</v>
      </c>
      <c r="ID15" s="58">
        <v>6.51</v>
      </c>
      <c r="IE15" s="58">
        <v>5.6440000000000001</v>
      </c>
      <c r="IF15" s="58">
        <v>0.86499999999999999</v>
      </c>
      <c r="IG15" s="58">
        <v>28.4</v>
      </c>
      <c r="IH15" s="58">
        <v>19.216000000000001</v>
      </c>
      <c r="II15" s="58">
        <v>9.1829999999999998</v>
      </c>
      <c r="IJ15" s="58">
        <v>18.556000000000001</v>
      </c>
      <c r="IK15" s="58">
        <v>13.534000000000001</v>
      </c>
      <c r="IL15" s="58">
        <v>5.0229999999999997</v>
      </c>
      <c r="IM15" s="58">
        <v>3634.0320000000002</v>
      </c>
      <c r="IN15" s="58">
        <v>1976.5119999999999</v>
      </c>
      <c r="IO15" s="58">
        <v>1657.52</v>
      </c>
      <c r="IP15" s="58">
        <v>2521.895</v>
      </c>
      <c r="IQ15" s="58">
        <v>1642.848</v>
      </c>
    </row>
    <row r="16" spans="1:251">
      <c r="A16" s="5">
        <v>41974</v>
      </c>
      <c r="B16" s="58">
        <v>14.243</v>
      </c>
      <c r="C16" s="58">
        <v>15.949</v>
      </c>
      <c r="D16" s="58">
        <v>364.24599999999998</v>
      </c>
      <c r="E16" s="58">
        <v>224.01300000000001</v>
      </c>
      <c r="F16" s="58">
        <v>140.232</v>
      </c>
      <c r="G16" s="58">
        <v>182.41900000000001</v>
      </c>
      <c r="H16" s="58">
        <v>143.208</v>
      </c>
      <c r="I16" s="58">
        <v>39.210999999999999</v>
      </c>
      <c r="J16" s="58">
        <v>181.827</v>
      </c>
      <c r="K16" s="58">
        <v>80.805000000000007</v>
      </c>
      <c r="L16" s="58">
        <v>101.02200000000001</v>
      </c>
      <c r="M16" s="58">
        <v>203.143</v>
      </c>
      <c r="N16" s="58">
        <v>155.96600000000001</v>
      </c>
      <c r="O16" s="58">
        <v>47.177</v>
      </c>
      <c r="P16" s="58">
        <v>192.91300000000001</v>
      </c>
      <c r="Q16" s="58">
        <v>83.673000000000002</v>
      </c>
      <c r="R16" s="58">
        <v>109.24</v>
      </c>
      <c r="S16" s="58">
        <v>199.489</v>
      </c>
      <c r="T16" s="58">
        <v>92.143000000000001</v>
      </c>
      <c r="U16" s="58">
        <v>107.34699999999999</v>
      </c>
      <c r="V16" s="58">
        <v>2548.627</v>
      </c>
      <c r="W16" s="58">
        <v>1390.134</v>
      </c>
      <c r="X16" s="58">
        <v>1158.4929999999999</v>
      </c>
      <c r="Y16" s="58">
        <v>1883.3030000000001</v>
      </c>
      <c r="Z16" s="58">
        <v>1278.4480000000001</v>
      </c>
      <c r="AA16" s="58">
        <v>604.85599999999999</v>
      </c>
      <c r="AB16" s="58">
        <v>665.32299999999998</v>
      </c>
      <c r="AC16" s="58">
        <v>111.68600000000001</v>
      </c>
      <c r="AD16" s="58">
        <v>553.63699999999994</v>
      </c>
      <c r="AE16" s="58">
        <v>316.63900000000001</v>
      </c>
      <c r="AF16" s="58">
        <v>168.58799999999999</v>
      </c>
      <c r="AG16" s="58">
        <v>148.05099999999999</v>
      </c>
      <c r="AH16" s="58">
        <v>53.328000000000003</v>
      </c>
      <c r="AI16" s="58">
        <v>27.027000000000001</v>
      </c>
      <c r="AJ16" s="58">
        <v>26.300999999999998</v>
      </c>
      <c r="AK16" s="58">
        <v>28.361000000000001</v>
      </c>
      <c r="AL16" s="58">
        <v>20.856999999999999</v>
      </c>
      <c r="AM16" s="58">
        <v>7.5039999999999996</v>
      </c>
      <c r="AN16" s="58">
        <v>14.271000000000001</v>
      </c>
      <c r="AO16" s="58">
        <v>10.336</v>
      </c>
      <c r="AP16" s="58">
        <v>3.9350000000000001</v>
      </c>
      <c r="AQ16" s="58">
        <v>14.09</v>
      </c>
      <c r="AR16" s="58">
        <v>10.521000000000001</v>
      </c>
      <c r="AS16" s="58">
        <v>3.57</v>
      </c>
      <c r="AT16" s="58">
        <v>24.966000000000001</v>
      </c>
      <c r="AU16" s="58">
        <v>6.17</v>
      </c>
      <c r="AV16" s="58">
        <v>18.797000000000001</v>
      </c>
      <c r="AW16" s="58">
        <v>285.26799999999997</v>
      </c>
      <c r="AX16" s="58">
        <v>151.488</v>
      </c>
      <c r="AY16" s="58">
        <v>133.78100000000001</v>
      </c>
      <c r="AZ16" s="58">
        <v>136.01599999999999</v>
      </c>
      <c r="BA16" s="58">
        <v>109.276</v>
      </c>
      <c r="BB16" s="58">
        <v>26.74</v>
      </c>
      <c r="BC16" s="58">
        <v>149.25299999999999</v>
      </c>
      <c r="BD16" s="58">
        <v>42.212000000000003</v>
      </c>
      <c r="BE16" s="58">
        <v>107.04</v>
      </c>
      <c r="BF16" s="58">
        <v>158.065</v>
      </c>
      <c r="BG16" s="58">
        <v>124.974</v>
      </c>
      <c r="BH16" s="58">
        <v>33.091000000000001</v>
      </c>
      <c r="BI16" s="58">
        <v>158.57400000000001</v>
      </c>
      <c r="BJ16" s="58">
        <v>43.613999999999997</v>
      </c>
      <c r="BK16" s="58">
        <v>114.961</v>
      </c>
      <c r="BL16" s="58">
        <v>163.524</v>
      </c>
      <c r="BM16" s="58">
        <v>52.548999999999999</v>
      </c>
      <c r="BN16" s="58">
        <v>110.97499999999999</v>
      </c>
      <c r="BO16" s="58">
        <v>2463.866</v>
      </c>
      <c r="BP16" s="58">
        <v>1285.539</v>
      </c>
      <c r="BQ16" s="58">
        <v>1178.327</v>
      </c>
      <c r="BR16" s="58">
        <v>1870.837</v>
      </c>
      <c r="BS16" s="58">
        <v>1180.008</v>
      </c>
      <c r="BT16" s="58">
        <v>690.82899999999995</v>
      </c>
      <c r="BU16" s="58">
        <v>593.029</v>
      </c>
      <c r="BV16" s="58">
        <v>105.53100000000001</v>
      </c>
      <c r="BW16" s="58">
        <v>487.49799999999999</v>
      </c>
      <c r="BX16" s="58">
        <v>310.017</v>
      </c>
      <c r="BY16" s="58">
        <v>147.98500000000001</v>
      </c>
      <c r="BZ16" s="58">
        <v>162.03200000000001</v>
      </c>
      <c r="CA16" s="58">
        <v>72.334000000000003</v>
      </c>
      <c r="CB16" s="58">
        <v>38.283000000000001</v>
      </c>
      <c r="CC16" s="58">
        <v>34.049999999999997</v>
      </c>
      <c r="CD16" s="58">
        <v>36.552999999999997</v>
      </c>
      <c r="CE16" s="58">
        <v>28.038</v>
      </c>
      <c r="CF16" s="58">
        <v>8.5150000000000006</v>
      </c>
      <c r="CG16" s="58">
        <v>17.067</v>
      </c>
      <c r="CH16" s="58">
        <v>14.618</v>
      </c>
      <c r="CI16" s="58">
        <v>2.4489999999999998</v>
      </c>
      <c r="CJ16" s="58">
        <v>19.486000000000001</v>
      </c>
      <c r="CK16" s="58">
        <v>13.42</v>
      </c>
      <c r="CL16" s="58">
        <v>6.0659999999999998</v>
      </c>
      <c r="CM16" s="58">
        <v>35.780999999999999</v>
      </c>
      <c r="CN16" s="58">
        <v>10.244999999999999</v>
      </c>
      <c r="CO16" s="58">
        <v>25.536000000000001</v>
      </c>
      <c r="CP16" s="58">
        <v>266.36200000000002</v>
      </c>
      <c r="CQ16" s="58">
        <v>125.598</v>
      </c>
      <c r="CR16" s="58">
        <v>140.76300000000001</v>
      </c>
      <c r="CS16" s="58">
        <v>118.70099999999999</v>
      </c>
      <c r="CT16" s="58">
        <v>90.691999999999993</v>
      </c>
      <c r="CU16" s="58">
        <v>28.009</v>
      </c>
      <c r="CV16" s="58">
        <v>147.661</v>
      </c>
      <c r="CW16" s="58">
        <v>34.905999999999999</v>
      </c>
      <c r="CX16" s="58">
        <v>112.755</v>
      </c>
      <c r="CY16" s="58">
        <v>145.75700000000001</v>
      </c>
      <c r="CZ16" s="58">
        <v>109.55200000000001</v>
      </c>
      <c r="DA16" s="58">
        <v>36.204999999999998</v>
      </c>
      <c r="DB16" s="58">
        <v>164.261</v>
      </c>
      <c r="DC16" s="58">
        <v>38.433999999999997</v>
      </c>
      <c r="DD16" s="58">
        <v>125.827</v>
      </c>
      <c r="DE16" s="58">
        <v>164.72800000000001</v>
      </c>
      <c r="DF16" s="58">
        <v>49.524000000000001</v>
      </c>
      <c r="DG16" s="58">
        <v>115.20399999999999</v>
      </c>
      <c r="DH16" s="58">
        <v>2072.6030000000001</v>
      </c>
      <c r="DI16" s="58">
        <v>1175.02</v>
      </c>
      <c r="DJ16" s="58">
        <v>897.58299999999997</v>
      </c>
      <c r="DK16" s="58">
        <v>1308.2619999999999</v>
      </c>
      <c r="DL16" s="58">
        <v>890.06799999999998</v>
      </c>
      <c r="DM16" s="58">
        <v>418.19400000000002</v>
      </c>
      <c r="DN16" s="58">
        <v>764.34100000000001</v>
      </c>
      <c r="DO16" s="58">
        <v>284.952</v>
      </c>
      <c r="DP16" s="58">
        <v>479.38900000000001</v>
      </c>
      <c r="DQ16" s="58">
        <v>223.70099999999999</v>
      </c>
      <c r="DR16" s="58">
        <v>125.78400000000001</v>
      </c>
      <c r="DS16" s="58">
        <v>97.917000000000002</v>
      </c>
      <c r="DT16" s="58">
        <v>62.652000000000001</v>
      </c>
      <c r="DU16" s="58">
        <v>40.173000000000002</v>
      </c>
      <c r="DV16" s="58">
        <v>22.478999999999999</v>
      </c>
      <c r="DW16" s="58">
        <v>24.763999999999999</v>
      </c>
      <c r="DX16" s="58">
        <v>22.042999999999999</v>
      </c>
      <c r="DY16" s="58">
        <v>2.7210000000000001</v>
      </c>
      <c r="DZ16" s="58">
        <v>16.393999999999998</v>
      </c>
      <c r="EA16" s="58">
        <v>14.271000000000001</v>
      </c>
      <c r="EB16" s="58">
        <v>2.1230000000000002</v>
      </c>
      <c r="EC16" s="58">
        <v>8.3699999999999992</v>
      </c>
      <c r="ED16" s="58">
        <v>7.7709999999999999</v>
      </c>
      <c r="EE16" s="58">
        <v>0.59799999999999998</v>
      </c>
      <c r="EF16" s="58">
        <v>37.887999999999998</v>
      </c>
      <c r="EG16" s="58">
        <v>18.13</v>
      </c>
      <c r="EH16" s="58">
        <v>19.757999999999999</v>
      </c>
      <c r="EI16" s="58">
        <v>182.071</v>
      </c>
      <c r="EJ16" s="58">
        <v>97.974999999999994</v>
      </c>
      <c r="EK16" s="58">
        <v>84.096000000000004</v>
      </c>
      <c r="EL16" s="58">
        <v>67.930000000000007</v>
      </c>
      <c r="EM16" s="58">
        <v>50.014000000000003</v>
      </c>
      <c r="EN16" s="58">
        <v>17.917000000000002</v>
      </c>
      <c r="EO16" s="58">
        <v>114.14</v>
      </c>
      <c r="EP16" s="58">
        <v>47.960999999999999</v>
      </c>
      <c r="EQ16" s="58">
        <v>66.179000000000002</v>
      </c>
      <c r="ER16" s="58">
        <v>85.972999999999999</v>
      </c>
      <c r="ES16" s="58">
        <v>67.084999999999994</v>
      </c>
      <c r="ET16" s="58">
        <v>18.888000000000002</v>
      </c>
      <c r="EU16" s="58">
        <v>137.72800000000001</v>
      </c>
      <c r="EV16" s="58">
        <v>58.698999999999998</v>
      </c>
      <c r="EW16" s="58">
        <v>79.028999999999996</v>
      </c>
      <c r="EX16" s="58">
        <v>130.535</v>
      </c>
      <c r="EY16" s="58">
        <v>62.232999999999997</v>
      </c>
      <c r="EZ16" s="58">
        <v>68.302000000000007</v>
      </c>
      <c r="FA16" s="58">
        <v>1663.7429999999999</v>
      </c>
      <c r="FB16" s="58">
        <v>909.94</v>
      </c>
      <c r="FC16" s="58">
        <v>753.803</v>
      </c>
      <c r="FD16" s="58">
        <v>1128.7909999999999</v>
      </c>
      <c r="FE16" s="58">
        <v>749.29700000000003</v>
      </c>
      <c r="FF16" s="58">
        <v>379.49400000000003</v>
      </c>
      <c r="FG16" s="58">
        <v>534.952</v>
      </c>
      <c r="FH16" s="58">
        <v>160.643</v>
      </c>
      <c r="FI16" s="58">
        <v>374.30900000000003</v>
      </c>
      <c r="FJ16" s="58">
        <v>187.86600000000001</v>
      </c>
      <c r="FK16" s="58">
        <v>100.964</v>
      </c>
      <c r="FL16" s="58">
        <v>86.902000000000001</v>
      </c>
      <c r="FM16" s="58">
        <v>50.581000000000003</v>
      </c>
      <c r="FN16" s="58">
        <v>32.819000000000003</v>
      </c>
      <c r="FO16" s="58">
        <v>17.762</v>
      </c>
      <c r="FP16" s="58">
        <v>21.988</v>
      </c>
      <c r="FQ16" s="58">
        <v>19.654</v>
      </c>
      <c r="FR16" s="58">
        <v>2.3340000000000001</v>
      </c>
      <c r="FS16" s="58">
        <v>13.933</v>
      </c>
      <c r="FT16" s="58">
        <v>12.198</v>
      </c>
      <c r="FU16" s="58">
        <v>1.736</v>
      </c>
      <c r="FV16" s="58">
        <v>8.0549999999999997</v>
      </c>
      <c r="FW16" s="58">
        <v>7.4560000000000004</v>
      </c>
      <c r="FX16" s="58">
        <v>0.59799999999999998</v>
      </c>
      <c r="FY16" s="58">
        <v>28.593</v>
      </c>
      <c r="FZ16" s="58">
        <v>13.164999999999999</v>
      </c>
      <c r="GA16" s="58">
        <v>15.428000000000001</v>
      </c>
      <c r="GB16" s="58">
        <v>154.42699999999999</v>
      </c>
      <c r="GC16" s="58">
        <v>77.980999999999995</v>
      </c>
      <c r="GD16" s="58">
        <v>76.445999999999998</v>
      </c>
      <c r="GE16" s="58">
        <v>60.784999999999997</v>
      </c>
      <c r="GF16" s="58">
        <v>44.182000000000002</v>
      </c>
      <c r="GG16" s="58">
        <v>16.603000000000002</v>
      </c>
      <c r="GH16" s="58">
        <v>93.641999999999996</v>
      </c>
      <c r="GI16" s="58">
        <v>33.798000000000002</v>
      </c>
      <c r="GJ16" s="58">
        <v>59.843000000000004</v>
      </c>
      <c r="GK16" s="58">
        <v>77.052999999999997</v>
      </c>
      <c r="GL16" s="58">
        <v>59.478999999999999</v>
      </c>
      <c r="GM16" s="58">
        <v>17.574000000000002</v>
      </c>
      <c r="GN16" s="58">
        <v>110.813</v>
      </c>
      <c r="GO16" s="58">
        <v>41.485999999999997</v>
      </c>
      <c r="GP16" s="58">
        <v>69.326999999999998</v>
      </c>
      <c r="GQ16" s="58">
        <v>107.575</v>
      </c>
      <c r="GR16" s="58">
        <v>45.996000000000002</v>
      </c>
      <c r="GS16" s="58">
        <v>61.579000000000001</v>
      </c>
      <c r="GT16" s="58">
        <v>408.86</v>
      </c>
      <c r="GU16" s="58">
        <v>265.08</v>
      </c>
      <c r="GV16" s="58">
        <v>143.78</v>
      </c>
      <c r="GW16" s="58">
        <v>179.471</v>
      </c>
      <c r="GX16" s="58">
        <v>140.77099999999999</v>
      </c>
      <c r="GY16" s="58">
        <v>38.700000000000003</v>
      </c>
      <c r="GZ16" s="58">
        <v>229.38900000000001</v>
      </c>
      <c r="HA16" s="58">
        <v>124.309</v>
      </c>
      <c r="HB16" s="58">
        <v>105.08</v>
      </c>
      <c r="HC16" s="58">
        <v>35.835000000000001</v>
      </c>
      <c r="HD16" s="58">
        <v>24.82</v>
      </c>
      <c r="HE16" s="58">
        <v>11.015000000000001</v>
      </c>
      <c r="HF16" s="58">
        <v>12.071</v>
      </c>
      <c r="HG16" s="58">
        <v>7.3540000000000001</v>
      </c>
      <c r="HH16" s="58">
        <v>4.718</v>
      </c>
      <c r="HI16" s="58">
        <v>2.7759999999999998</v>
      </c>
      <c r="HJ16" s="58">
        <v>2.3889999999999998</v>
      </c>
      <c r="HK16" s="58">
        <v>0.38700000000000001</v>
      </c>
      <c r="HL16" s="58">
        <v>2.4609999999999999</v>
      </c>
      <c r="HM16" s="58">
        <v>2.0739999999999998</v>
      </c>
      <c r="HN16" s="58">
        <v>0.38700000000000001</v>
      </c>
      <c r="HO16" s="58">
        <v>0.315</v>
      </c>
      <c r="HP16" s="58">
        <v>0.315</v>
      </c>
      <c r="HQ16" s="58">
        <v>0</v>
      </c>
      <c r="HR16" s="58">
        <v>9.2949999999999999</v>
      </c>
      <c r="HS16" s="58">
        <v>4.9649999999999999</v>
      </c>
      <c r="HT16" s="58">
        <v>4.3310000000000004</v>
      </c>
      <c r="HU16" s="58">
        <v>27.643999999999998</v>
      </c>
      <c r="HV16" s="58">
        <v>19.994</v>
      </c>
      <c r="HW16" s="58">
        <v>7.65</v>
      </c>
      <c r="HX16" s="58">
        <v>7.1449999999999996</v>
      </c>
      <c r="HY16" s="58">
        <v>5.8310000000000004</v>
      </c>
      <c r="HZ16" s="58">
        <v>1.3140000000000001</v>
      </c>
      <c r="IA16" s="58">
        <v>20.498999999999999</v>
      </c>
      <c r="IB16" s="58">
        <v>14.163</v>
      </c>
      <c r="IC16" s="58">
        <v>6.3360000000000003</v>
      </c>
      <c r="ID16" s="58">
        <v>8.92</v>
      </c>
      <c r="IE16" s="58">
        <v>7.6059999999999999</v>
      </c>
      <c r="IF16" s="58">
        <v>1.3140000000000001</v>
      </c>
      <c r="IG16" s="58">
        <v>26.914999999999999</v>
      </c>
      <c r="IH16" s="58">
        <v>17.213999999999999</v>
      </c>
      <c r="II16" s="58">
        <v>9.7010000000000005</v>
      </c>
      <c r="IJ16" s="58">
        <v>22.959</v>
      </c>
      <c r="IK16" s="58">
        <v>16.236999999999998</v>
      </c>
      <c r="IL16" s="58">
        <v>6.7229999999999999</v>
      </c>
      <c r="IM16" s="58">
        <v>3662.4059999999999</v>
      </c>
      <c r="IN16" s="58">
        <v>1987.6310000000001</v>
      </c>
      <c r="IO16" s="58">
        <v>1674.7750000000001</v>
      </c>
      <c r="IP16" s="58">
        <v>2563.84</v>
      </c>
      <c r="IQ16" s="58">
        <v>1662.895</v>
      </c>
    </row>
    <row r="17" spans="1:251">
      <c r="A17" s="5">
        <v>42005</v>
      </c>
      <c r="B17" s="58">
        <v>9.9640000000000004</v>
      </c>
      <c r="C17" s="58">
        <v>21.942</v>
      </c>
      <c r="D17" s="58">
        <v>363.971</v>
      </c>
      <c r="E17" s="58">
        <v>213.10599999999999</v>
      </c>
      <c r="F17" s="58">
        <v>150.86600000000001</v>
      </c>
      <c r="G17" s="58">
        <v>185.04300000000001</v>
      </c>
      <c r="H17" s="58">
        <v>141.82499999999999</v>
      </c>
      <c r="I17" s="58">
        <v>43.218000000000004</v>
      </c>
      <c r="J17" s="58">
        <v>178.928</v>
      </c>
      <c r="K17" s="58">
        <v>71.28</v>
      </c>
      <c r="L17" s="58">
        <v>107.648</v>
      </c>
      <c r="M17" s="58">
        <v>220.66399999999999</v>
      </c>
      <c r="N17" s="58">
        <v>166.928</v>
      </c>
      <c r="O17" s="58">
        <v>53.735999999999997</v>
      </c>
      <c r="P17" s="58">
        <v>191.48500000000001</v>
      </c>
      <c r="Q17" s="58">
        <v>72.789000000000001</v>
      </c>
      <c r="R17" s="58">
        <v>118.696</v>
      </c>
      <c r="S17" s="58">
        <v>200.54900000000001</v>
      </c>
      <c r="T17" s="58">
        <v>83.915000000000006</v>
      </c>
      <c r="U17" s="58">
        <v>116.634</v>
      </c>
      <c r="V17" s="58">
        <v>2505.1280000000002</v>
      </c>
      <c r="W17" s="58">
        <v>1378.9760000000001</v>
      </c>
      <c r="X17" s="58">
        <v>1126.152</v>
      </c>
      <c r="Y17" s="58">
        <v>1863.046</v>
      </c>
      <c r="Z17" s="58">
        <v>1265.4580000000001</v>
      </c>
      <c r="AA17" s="58">
        <v>597.58900000000006</v>
      </c>
      <c r="AB17" s="58">
        <v>642.08199999999999</v>
      </c>
      <c r="AC17" s="58">
        <v>113.51900000000001</v>
      </c>
      <c r="AD17" s="58">
        <v>528.56299999999999</v>
      </c>
      <c r="AE17" s="58">
        <v>335.31099999999998</v>
      </c>
      <c r="AF17" s="58">
        <v>191.46899999999999</v>
      </c>
      <c r="AG17" s="58">
        <v>143.84200000000001</v>
      </c>
      <c r="AH17" s="58">
        <v>75.253</v>
      </c>
      <c r="AI17" s="58">
        <v>49.826000000000001</v>
      </c>
      <c r="AJ17" s="58">
        <v>25.427</v>
      </c>
      <c r="AK17" s="58">
        <v>47.685000000000002</v>
      </c>
      <c r="AL17" s="58">
        <v>39.923000000000002</v>
      </c>
      <c r="AM17" s="58">
        <v>7.7619999999999996</v>
      </c>
      <c r="AN17" s="58">
        <v>21.709</v>
      </c>
      <c r="AO17" s="58">
        <v>18.132999999999999</v>
      </c>
      <c r="AP17" s="58">
        <v>3.577</v>
      </c>
      <c r="AQ17" s="58">
        <v>25.975999999999999</v>
      </c>
      <c r="AR17" s="58">
        <v>21.791</v>
      </c>
      <c r="AS17" s="58">
        <v>4.1859999999999999</v>
      </c>
      <c r="AT17" s="58">
        <v>27.567</v>
      </c>
      <c r="AU17" s="58">
        <v>9.9030000000000005</v>
      </c>
      <c r="AV17" s="58">
        <v>17.664999999999999</v>
      </c>
      <c r="AW17" s="58">
        <v>284.74400000000003</v>
      </c>
      <c r="AX17" s="58">
        <v>156.23400000000001</v>
      </c>
      <c r="AY17" s="58">
        <v>128.51</v>
      </c>
      <c r="AZ17" s="58">
        <v>131.53100000000001</v>
      </c>
      <c r="BA17" s="58">
        <v>106.505</v>
      </c>
      <c r="BB17" s="58">
        <v>25.026</v>
      </c>
      <c r="BC17" s="58">
        <v>153.21299999999999</v>
      </c>
      <c r="BD17" s="58">
        <v>49.728999999999999</v>
      </c>
      <c r="BE17" s="58">
        <v>103.48399999999999</v>
      </c>
      <c r="BF17" s="58">
        <v>169.892</v>
      </c>
      <c r="BG17" s="58">
        <v>138.69200000000001</v>
      </c>
      <c r="BH17" s="58">
        <v>31.199000000000002</v>
      </c>
      <c r="BI17" s="58">
        <v>165.41900000000001</v>
      </c>
      <c r="BJ17" s="58">
        <v>52.777000000000001</v>
      </c>
      <c r="BK17" s="58">
        <v>112.642</v>
      </c>
      <c r="BL17" s="58">
        <v>174.922</v>
      </c>
      <c r="BM17" s="58">
        <v>67.861000000000004</v>
      </c>
      <c r="BN17" s="58">
        <v>107.06</v>
      </c>
      <c r="BO17" s="58">
        <v>2417.4650000000001</v>
      </c>
      <c r="BP17" s="58">
        <v>1271.9690000000001</v>
      </c>
      <c r="BQ17" s="58">
        <v>1145.4960000000001</v>
      </c>
      <c r="BR17" s="58">
        <v>1827.9159999999999</v>
      </c>
      <c r="BS17" s="58">
        <v>1155.096</v>
      </c>
      <c r="BT17" s="58">
        <v>672.82</v>
      </c>
      <c r="BU17" s="58">
        <v>589.54899999999998</v>
      </c>
      <c r="BV17" s="58">
        <v>116.873</v>
      </c>
      <c r="BW17" s="58">
        <v>472.67599999999999</v>
      </c>
      <c r="BX17" s="58">
        <v>310.91300000000001</v>
      </c>
      <c r="BY17" s="58">
        <v>147.03100000000001</v>
      </c>
      <c r="BZ17" s="58">
        <v>163.88200000000001</v>
      </c>
      <c r="CA17" s="58">
        <v>70.031999999999996</v>
      </c>
      <c r="CB17" s="58">
        <v>38.826999999999998</v>
      </c>
      <c r="CC17" s="58">
        <v>31.204999999999998</v>
      </c>
      <c r="CD17" s="58">
        <v>42.268000000000001</v>
      </c>
      <c r="CE17" s="58">
        <v>29.265999999999998</v>
      </c>
      <c r="CF17" s="58">
        <v>13.002000000000001</v>
      </c>
      <c r="CG17" s="58">
        <v>21.135000000000002</v>
      </c>
      <c r="CH17" s="58">
        <v>12.864000000000001</v>
      </c>
      <c r="CI17" s="58">
        <v>8.27</v>
      </c>
      <c r="CJ17" s="58">
        <v>21.132999999999999</v>
      </c>
      <c r="CK17" s="58">
        <v>16.402000000000001</v>
      </c>
      <c r="CL17" s="58">
        <v>4.7309999999999999</v>
      </c>
      <c r="CM17" s="58">
        <v>27.763999999999999</v>
      </c>
      <c r="CN17" s="58">
        <v>9.5609999999999999</v>
      </c>
      <c r="CO17" s="58">
        <v>18.202999999999999</v>
      </c>
      <c r="CP17" s="58">
        <v>266.21899999999999</v>
      </c>
      <c r="CQ17" s="58">
        <v>121.922</v>
      </c>
      <c r="CR17" s="58">
        <v>144.297</v>
      </c>
      <c r="CS17" s="58">
        <v>116.044</v>
      </c>
      <c r="CT17" s="58">
        <v>81.129000000000005</v>
      </c>
      <c r="CU17" s="58">
        <v>34.914999999999999</v>
      </c>
      <c r="CV17" s="58">
        <v>150.17500000000001</v>
      </c>
      <c r="CW17" s="58">
        <v>40.792000000000002</v>
      </c>
      <c r="CX17" s="58">
        <v>109.383</v>
      </c>
      <c r="CY17" s="58">
        <v>150.69399999999999</v>
      </c>
      <c r="CZ17" s="58">
        <v>103.896</v>
      </c>
      <c r="DA17" s="58">
        <v>46.796999999999997</v>
      </c>
      <c r="DB17" s="58">
        <v>160.21899999999999</v>
      </c>
      <c r="DC17" s="58">
        <v>43.134999999999998</v>
      </c>
      <c r="DD17" s="58">
        <v>117.084</v>
      </c>
      <c r="DE17" s="58">
        <v>171.31</v>
      </c>
      <c r="DF17" s="58">
        <v>53.656999999999996</v>
      </c>
      <c r="DG17" s="58">
        <v>117.65300000000001</v>
      </c>
      <c r="DH17" s="58">
        <v>2033.15</v>
      </c>
      <c r="DI17" s="58">
        <v>1147.454</v>
      </c>
      <c r="DJ17" s="58">
        <v>885.69500000000005</v>
      </c>
      <c r="DK17" s="58">
        <v>1279.6790000000001</v>
      </c>
      <c r="DL17" s="58">
        <v>871.86900000000003</v>
      </c>
      <c r="DM17" s="58">
        <v>407.81</v>
      </c>
      <c r="DN17" s="58">
        <v>753.471</v>
      </c>
      <c r="DO17" s="58">
        <v>275.58499999999998</v>
      </c>
      <c r="DP17" s="58">
        <v>477.88499999999999</v>
      </c>
      <c r="DQ17" s="58">
        <v>235.21700000000001</v>
      </c>
      <c r="DR17" s="58">
        <v>133.31800000000001</v>
      </c>
      <c r="DS17" s="58">
        <v>101.899</v>
      </c>
      <c r="DT17" s="58">
        <v>80.290000000000006</v>
      </c>
      <c r="DU17" s="58">
        <v>53.926000000000002</v>
      </c>
      <c r="DV17" s="58">
        <v>26.364000000000001</v>
      </c>
      <c r="DW17" s="58">
        <v>33.898000000000003</v>
      </c>
      <c r="DX17" s="58">
        <v>29.712</v>
      </c>
      <c r="DY17" s="58">
        <v>4.1859999999999999</v>
      </c>
      <c r="DZ17" s="58">
        <v>17.184999999999999</v>
      </c>
      <c r="EA17" s="58">
        <v>14.368</v>
      </c>
      <c r="EB17" s="58">
        <v>2.8159999999999998</v>
      </c>
      <c r="EC17" s="58">
        <v>16.713000000000001</v>
      </c>
      <c r="ED17" s="58">
        <v>15.343999999999999</v>
      </c>
      <c r="EE17" s="58">
        <v>1.369</v>
      </c>
      <c r="EF17" s="58">
        <v>46.392000000000003</v>
      </c>
      <c r="EG17" s="58">
        <v>24.213999999999999</v>
      </c>
      <c r="EH17" s="58">
        <v>22.178999999999998</v>
      </c>
      <c r="EI17" s="58">
        <v>179.684</v>
      </c>
      <c r="EJ17" s="58">
        <v>94.106999999999999</v>
      </c>
      <c r="EK17" s="58">
        <v>85.576999999999998</v>
      </c>
      <c r="EL17" s="58">
        <v>57.805999999999997</v>
      </c>
      <c r="EM17" s="58">
        <v>45.383000000000003</v>
      </c>
      <c r="EN17" s="58">
        <v>12.423</v>
      </c>
      <c r="EO17" s="58">
        <v>121.878</v>
      </c>
      <c r="EP17" s="58">
        <v>48.723999999999997</v>
      </c>
      <c r="EQ17" s="58">
        <v>73.153999999999996</v>
      </c>
      <c r="ER17" s="58">
        <v>87.738</v>
      </c>
      <c r="ES17" s="58">
        <v>72.316999999999993</v>
      </c>
      <c r="ET17" s="58">
        <v>15.420999999999999</v>
      </c>
      <c r="EU17" s="58">
        <v>147.47900000000001</v>
      </c>
      <c r="EV17" s="58">
        <v>61.000999999999998</v>
      </c>
      <c r="EW17" s="58">
        <v>86.477999999999994</v>
      </c>
      <c r="EX17" s="58">
        <v>139.06200000000001</v>
      </c>
      <c r="EY17" s="58">
        <v>63.091999999999999</v>
      </c>
      <c r="EZ17" s="58">
        <v>75.97</v>
      </c>
      <c r="FA17" s="58">
        <v>1634.0809999999999</v>
      </c>
      <c r="FB17" s="58">
        <v>897.11</v>
      </c>
      <c r="FC17" s="58">
        <v>736.971</v>
      </c>
      <c r="FD17" s="58">
        <v>1104.9770000000001</v>
      </c>
      <c r="FE17" s="58">
        <v>739.60400000000004</v>
      </c>
      <c r="FF17" s="58">
        <v>365.37299999999999</v>
      </c>
      <c r="FG17" s="58">
        <v>529.10299999999995</v>
      </c>
      <c r="FH17" s="58">
        <v>157.506</v>
      </c>
      <c r="FI17" s="58">
        <v>371.59800000000001</v>
      </c>
      <c r="FJ17" s="58">
        <v>199.988</v>
      </c>
      <c r="FK17" s="58">
        <v>107.765</v>
      </c>
      <c r="FL17" s="58">
        <v>92.222999999999999</v>
      </c>
      <c r="FM17" s="58">
        <v>62.292000000000002</v>
      </c>
      <c r="FN17" s="58">
        <v>39.424999999999997</v>
      </c>
      <c r="FO17" s="58">
        <v>22.867000000000001</v>
      </c>
      <c r="FP17" s="58">
        <v>27.835999999999999</v>
      </c>
      <c r="FQ17" s="58">
        <v>23.65</v>
      </c>
      <c r="FR17" s="58">
        <v>4.1859999999999999</v>
      </c>
      <c r="FS17" s="58">
        <v>12.628</v>
      </c>
      <c r="FT17" s="58">
        <v>9.8119999999999994</v>
      </c>
      <c r="FU17" s="58">
        <v>2.8159999999999998</v>
      </c>
      <c r="FV17" s="58">
        <v>15.207000000000001</v>
      </c>
      <c r="FW17" s="58">
        <v>13.837999999999999</v>
      </c>
      <c r="FX17" s="58">
        <v>1.369</v>
      </c>
      <c r="FY17" s="58">
        <v>34.457000000000001</v>
      </c>
      <c r="FZ17" s="58">
        <v>15.775</v>
      </c>
      <c r="GA17" s="58">
        <v>18.681999999999999</v>
      </c>
      <c r="GB17" s="58">
        <v>158.208</v>
      </c>
      <c r="GC17" s="58">
        <v>79.278999999999996</v>
      </c>
      <c r="GD17" s="58">
        <v>78.929000000000002</v>
      </c>
      <c r="GE17" s="58">
        <v>53.423000000000002</v>
      </c>
      <c r="GF17" s="58">
        <v>41.000999999999998</v>
      </c>
      <c r="GG17" s="58">
        <v>12.423</v>
      </c>
      <c r="GH17" s="58">
        <v>104.78400000000001</v>
      </c>
      <c r="GI17" s="58">
        <v>38.279000000000003</v>
      </c>
      <c r="GJ17" s="58">
        <v>66.506</v>
      </c>
      <c r="GK17" s="58">
        <v>77.849999999999994</v>
      </c>
      <c r="GL17" s="58">
        <v>62.429000000000002</v>
      </c>
      <c r="GM17" s="58">
        <v>15.420999999999999</v>
      </c>
      <c r="GN17" s="58">
        <v>122.137</v>
      </c>
      <c r="GO17" s="58">
        <v>45.335999999999999</v>
      </c>
      <c r="GP17" s="58">
        <v>76.802000000000007</v>
      </c>
      <c r="GQ17" s="58">
        <v>117.413</v>
      </c>
      <c r="GR17" s="58">
        <v>48.091000000000001</v>
      </c>
      <c r="GS17" s="58">
        <v>69.322000000000003</v>
      </c>
      <c r="GT17" s="58">
        <v>399.06900000000002</v>
      </c>
      <c r="GU17" s="58">
        <v>250.345</v>
      </c>
      <c r="GV17" s="58">
        <v>148.72499999999999</v>
      </c>
      <c r="GW17" s="58">
        <v>174.702</v>
      </c>
      <c r="GX17" s="58">
        <v>132.26499999999999</v>
      </c>
      <c r="GY17" s="58">
        <v>42.436999999999998</v>
      </c>
      <c r="GZ17" s="58">
        <v>224.36699999999999</v>
      </c>
      <c r="HA17" s="58">
        <v>118.08</v>
      </c>
      <c r="HB17" s="58">
        <v>106.28700000000001</v>
      </c>
      <c r="HC17" s="58">
        <v>35.228999999999999</v>
      </c>
      <c r="HD17" s="58">
        <v>25.553000000000001</v>
      </c>
      <c r="HE17" s="58">
        <v>9.6760000000000002</v>
      </c>
      <c r="HF17" s="58">
        <v>17.998000000000001</v>
      </c>
      <c r="HG17" s="58">
        <v>14.500999999999999</v>
      </c>
      <c r="HH17" s="58">
        <v>3.4969999999999999</v>
      </c>
      <c r="HI17" s="58">
        <v>6.0620000000000003</v>
      </c>
      <c r="HJ17" s="58">
        <v>6.0620000000000003</v>
      </c>
      <c r="HK17" s="58">
        <v>0</v>
      </c>
      <c r="HL17" s="58">
        <v>4.556</v>
      </c>
      <c r="HM17" s="58">
        <v>4.556</v>
      </c>
      <c r="HN17" s="58">
        <v>0</v>
      </c>
      <c r="HO17" s="58">
        <v>1.506</v>
      </c>
      <c r="HP17" s="58">
        <v>1.506</v>
      </c>
      <c r="HQ17" s="58">
        <v>0</v>
      </c>
      <c r="HR17" s="58">
        <v>11.936</v>
      </c>
      <c r="HS17" s="58">
        <v>8.4390000000000001</v>
      </c>
      <c r="HT17" s="58">
        <v>3.4969999999999999</v>
      </c>
      <c r="HU17" s="58">
        <v>21.475999999999999</v>
      </c>
      <c r="HV17" s="58">
        <v>14.827999999999999</v>
      </c>
      <c r="HW17" s="58">
        <v>6.6479999999999997</v>
      </c>
      <c r="HX17" s="58">
        <v>4.3819999999999997</v>
      </c>
      <c r="HY17" s="58">
        <v>4.3819999999999997</v>
      </c>
      <c r="HZ17" s="58">
        <v>0</v>
      </c>
      <c r="IA17" s="58">
        <v>17.094000000000001</v>
      </c>
      <c r="IB17" s="58">
        <v>10.445</v>
      </c>
      <c r="IC17" s="58">
        <v>6.6479999999999997</v>
      </c>
      <c r="ID17" s="58">
        <v>9.8879999999999999</v>
      </c>
      <c r="IE17" s="58">
        <v>9.8879999999999999</v>
      </c>
      <c r="IF17" s="58">
        <v>0</v>
      </c>
      <c r="IG17" s="58">
        <v>25.341000000000001</v>
      </c>
      <c r="IH17" s="58">
        <v>15.664999999999999</v>
      </c>
      <c r="II17" s="58">
        <v>9.6760000000000002</v>
      </c>
      <c r="IJ17" s="58">
        <v>21.65</v>
      </c>
      <c r="IK17" s="58">
        <v>15.000999999999999</v>
      </c>
      <c r="IL17" s="58">
        <v>6.6479999999999997</v>
      </c>
      <c r="IM17" s="58">
        <v>3576.8649999999998</v>
      </c>
      <c r="IN17" s="58">
        <v>1939.5709999999999</v>
      </c>
      <c r="IO17" s="58">
        <v>1637.2929999999999</v>
      </c>
      <c r="IP17" s="58">
        <v>2515.4969999999998</v>
      </c>
      <c r="IQ17" s="58">
        <v>1612.1320000000001</v>
      </c>
    </row>
    <row r="18" spans="1:251">
      <c r="A18" s="5">
        <v>42036</v>
      </c>
      <c r="B18" s="58">
        <v>11.519</v>
      </c>
      <c r="C18" s="58">
        <v>20.978000000000002</v>
      </c>
      <c r="D18" s="58">
        <v>357.92</v>
      </c>
      <c r="E18" s="58">
        <v>214.24799999999999</v>
      </c>
      <c r="F18" s="58">
        <v>143.672</v>
      </c>
      <c r="G18" s="58">
        <v>169.816</v>
      </c>
      <c r="H18" s="58">
        <v>138.571</v>
      </c>
      <c r="I18" s="58">
        <v>31.244</v>
      </c>
      <c r="J18" s="58">
        <v>188.10400000000001</v>
      </c>
      <c r="K18" s="58">
        <v>75.677000000000007</v>
      </c>
      <c r="L18" s="58">
        <v>112.42700000000001</v>
      </c>
      <c r="M18" s="58">
        <v>194.738</v>
      </c>
      <c r="N18" s="58">
        <v>157.69999999999999</v>
      </c>
      <c r="O18" s="58">
        <v>37.037999999999997</v>
      </c>
      <c r="P18" s="58">
        <v>201.458</v>
      </c>
      <c r="Q18" s="58">
        <v>79.353999999999999</v>
      </c>
      <c r="R18" s="58">
        <v>122.104</v>
      </c>
      <c r="S18" s="58">
        <v>205.405</v>
      </c>
      <c r="T18" s="58">
        <v>91.28</v>
      </c>
      <c r="U18" s="58">
        <v>114.125</v>
      </c>
      <c r="V18" s="58">
        <v>2551.5189999999998</v>
      </c>
      <c r="W18" s="58">
        <v>1402.192</v>
      </c>
      <c r="X18" s="58">
        <v>1149.327</v>
      </c>
      <c r="Y18" s="58">
        <v>1902.5989999999999</v>
      </c>
      <c r="Z18" s="58">
        <v>1295.933</v>
      </c>
      <c r="AA18" s="58">
        <v>606.66600000000005</v>
      </c>
      <c r="AB18" s="58">
        <v>648.91999999999996</v>
      </c>
      <c r="AC18" s="58">
        <v>106.259</v>
      </c>
      <c r="AD18" s="58">
        <v>542.66099999999994</v>
      </c>
      <c r="AE18" s="58">
        <v>314.83300000000003</v>
      </c>
      <c r="AF18" s="58">
        <v>166.571</v>
      </c>
      <c r="AG18" s="58">
        <v>148.262</v>
      </c>
      <c r="AH18" s="58">
        <v>62.945</v>
      </c>
      <c r="AI18" s="58">
        <v>33.442</v>
      </c>
      <c r="AJ18" s="58">
        <v>29.503</v>
      </c>
      <c r="AK18" s="58">
        <v>30.885000000000002</v>
      </c>
      <c r="AL18" s="58">
        <v>21.170999999999999</v>
      </c>
      <c r="AM18" s="58">
        <v>9.7149999999999999</v>
      </c>
      <c r="AN18" s="58">
        <v>14.478999999999999</v>
      </c>
      <c r="AO18" s="58">
        <v>10.061</v>
      </c>
      <c r="AP18" s="58">
        <v>4.4180000000000001</v>
      </c>
      <c r="AQ18" s="58">
        <v>16.405999999999999</v>
      </c>
      <c r="AR18" s="58">
        <v>11.11</v>
      </c>
      <c r="AS18" s="58">
        <v>5.2969999999999997</v>
      </c>
      <c r="AT18" s="58">
        <v>32.06</v>
      </c>
      <c r="AU18" s="58">
        <v>12.272</v>
      </c>
      <c r="AV18" s="58">
        <v>19.788</v>
      </c>
      <c r="AW18" s="58">
        <v>273.94099999999997</v>
      </c>
      <c r="AX18" s="58">
        <v>144.876</v>
      </c>
      <c r="AY18" s="58">
        <v>129.065</v>
      </c>
      <c r="AZ18" s="58">
        <v>125.209</v>
      </c>
      <c r="BA18" s="58">
        <v>100.32299999999999</v>
      </c>
      <c r="BB18" s="58">
        <v>24.885999999999999</v>
      </c>
      <c r="BC18" s="58">
        <v>148.732</v>
      </c>
      <c r="BD18" s="58">
        <v>44.552</v>
      </c>
      <c r="BE18" s="58">
        <v>104.18</v>
      </c>
      <c r="BF18" s="58">
        <v>149.40600000000001</v>
      </c>
      <c r="BG18" s="58">
        <v>117.155</v>
      </c>
      <c r="BH18" s="58">
        <v>32.250999999999998</v>
      </c>
      <c r="BI18" s="58">
        <v>165.42699999999999</v>
      </c>
      <c r="BJ18" s="58">
        <v>49.417000000000002</v>
      </c>
      <c r="BK18" s="58">
        <v>116.011</v>
      </c>
      <c r="BL18" s="58">
        <v>163.21100000000001</v>
      </c>
      <c r="BM18" s="58">
        <v>54.613</v>
      </c>
      <c r="BN18" s="58">
        <v>108.598</v>
      </c>
      <c r="BO18" s="58">
        <v>2474.3820000000001</v>
      </c>
      <c r="BP18" s="58">
        <v>1296.3</v>
      </c>
      <c r="BQ18" s="58">
        <v>1178.0809999999999</v>
      </c>
      <c r="BR18" s="58">
        <v>1871.81</v>
      </c>
      <c r="BS18" s="58">
        <v>1176.115</v>
      </c>
      <c r="BT18" s="58">
        <v>695.69500000000005</v>
      </c>
      <c r="BU18" s="58">
        <v>602.572</v>
      </c>
      <c r="BV18" s="58">
        <v>120.18600000000001</v>
      </c>
      <c r="BW18" s="58">
        <v>482.387</v>
      </c>
      <c r="BX18" s="58">
        <v>323.48</v>
      </c>
      <c r="BY18" s="58">
        <v>157.346</v>
      </c>
      <c r="BZ18" s="58">
        <v>166.13399999999999</v>
      </c>
      <c r="CA18" s="58">
        <v>76.180999999999997</v>
      </c>
      <c r="CB18" s="58">
        <v>41.343000000000004</v>
      </c>
      <c r="CC18" s="58">
        <v>34.837000000000003</v>
      </c>
      <c r="CD18" s="58">
        <v>35.021000000000001</v>
      </c>
      <c r="CE18" s="58">
        <v>28.228999999999999</v>
      </c>
      <c r="CF18" s="58">
        <v>6.7919999999999998</v>
      </c>
      <c r="CG18" s="58">
        <v>18.324999999999999</v>
      </c>
      <c r="CH18" s="58">
        <v>13.481999999999999</v>
      </c>
      <c r="CI18" s="58">
        <v>4.843</v>
      </c>
      <c r="CJ18" s="58">
        <v>16.696000000000002</v>
      </c>
      <c r="CK18" s="58">
        <v>14.747</v>
      </c>
      <c r="CL18" s="58">
        <v>1.9490000000000001</v>
      </c>
      <c r="CM18" s="58">
        <v>41.16</v>
      </c>
      <c r="CN18" s="58">
        <v>13.114000000000001</v>
      </c>
      <c r="CO18" s="58">
        <v>28.045000000000002</v>
      </c>
      <c r="CP18" s="58">
        <v>284.17899999999997</v>
      </c>
      <c r="CQ18" s="58">
        <v>134.804</v>
      </c>
      <c r="CR18" s="58">
        <v>149.375</v>
      </c>
      <c r="CS18" s="58">
        <v>122.902</v>
      </c>
      <c r="CT18" s="58">
        <v>87.548000000000002</v>
      </c>
      <c r="CU18" s="58">
        <v>35.353000000000002</v>
      </c>
      <c r="CV18" s="58">
        <v>161.27699999999999</v>
      </c>
      <c r="CW18" s="58">
        <v>47.255000000000003</v>
      </c>
      <c r="CX18" s="58">
        <v>114.02200000000001</v>
      </c>
      <c r="CY18" s="58">
        <v>149.14500000000001</v>
      </c>
      <c r="CZ18" s="58">
        <v>108.011</v>
      </c>
      <c r="DA18" s="58">
        <v>41.134</v>
      </c>
      <c r="DB18" s="58">
        <v>174.33500000000001</v>
      </c>
      <c r="DC18" s="58">
        <v>49.335000000000001</v>
      </c>
      <c r="DD18" s="58">
        <v>125</v>
      </c>
      <c r="DE18" s="58">
        <v>179.602</v>
      </c>
      <c r="DF18" s="58">
        <v>60.737000000000002</v>
      </c>
      <c r="DG18" s="58">
        <v>118.86499999999999</v>
      </c>
      <c r="DH18" s="58">
        <v>2091.663</v>
      </c>
      <c r="DI18" s="58">
        <v>1186.0609999999999</v>
      </c>
      <c r="DJ18" s="58">
        <v>905.60199999999998</v>
      </c>
      <c r="DK18" s="58">
        <v>1320.741</v>
      </c>
      <c r="DL18" s="58">
        <v>904.48299999999995</v>
      </c>
      <c r="DM18" s="58">
        <v>416.25799999999998</v>
      </c>
      <c r="DN18" s="58">
        <v>770.92200000000003</v>
      </c>
      <c r="DO18" s="58">
        <v>281.577</v>
      </c>
      <c r="DP18" s="58">
        <v>489.34399999999999</v>
      </c>
      <c r="DQ18" s="58">
        <v>237.56399999999999</v>
      </c>
      <c r="DR18" s="58">
        <v>131.51599999999999</v>
      </c>
      <c r="DS18" s="58">
        <v>106.048</v>
      </c>
      <c r="DT18" s="58">
        <v>81.173000000000002</v>
      </c>
      <c r="DU18" s="58">
        <v>52.68</v>
      </c>
      <c r="DV18" s="58">
        <v>28.492999999999999</v>
      </c>
      <c r="DW18" s="58">
        <v>28.120999999999999</v>
      </c>
      <c r="DX18" s="58">
        <v>24.396000000000001</v>
      </c>
      <c r="DY18" s="58">
        <v>3.7250000000000001</v>
      </c>
      <c r="DZ18" s="58">
        <v>15.137</v>
      </c>
      <c r="EA18" s="58">
        <v>12.707000000000001</v>
      </c>
      <c r="EB18" s="58">
        <v>2.4300000000000002</v>
      </c>
      <c r="EC18" s="58">
        <v>12.984</v>
      </c>
      <c r="ED18" s="58">
        <v>11.689</v>
      </c>
      <c r="EE18" s="58">
        <v>1.2949999999999999</v>
      </c>
      <c r="EF18" s="58">
        <v>53.052</v>
      </c>
      <c r="EG18" s="58">
        <v>28.283999999999999</v>
      </c>
      <c r="EH18" s="58">
        <v>24.768000000000001</v>
      </c>
      <c r="EI18" s="58">
        <v>185.30799999999999</v>
      </c>
      <c r="EJ18" s="58">
        <v>96.778000000000006</v>
      </c>
      <c r="EK18" s="58">
        <v>88.531000000000006</v>
      </c>
      <c r="EL18" s="58">
        <v>59.969000000000001</v>
      </c>
      <c r="EM18" s="58">
        <v>45.887999999999998</v>
      </c>
      <c r="EN18" s="58">
        <v>14.081</v>
      </c>
      <c r="EO18" s="58">
        <v>125.34</v>
      </c>
      <c r="EP18" s="58">
        <v>50.89</v>
      </c>
      <c r="EQ18" s="58">
        <v>74.45</v>
      </c>
      <c r="ER18" s="58">
        <v>81.662999999999997</v>
      </c>
      <c r="ES18" s="58">
        <v>64.753</v>
      </c>
      <c r="ET18" s="58">
        <v>16.91</v>
      </c>
      <c r="EU18" s="58">
        <v>155.90100000000001</v>
      </c>
      <c r="EV18" s="58">
        <v>66.763000000000005</v>
      </c>
      <c r="EW18" s="58">
        <v>89.138000000000005</v>
      </c>
      <c r="EX18" s="58">
        <v>140.476</v>
      </c>
      <c r="EY18" s="58">
        <v>63.597000000000001</v>
      </c>
      <c r="EZ18" s="58">
        <v>76.88</v>
      </c>
      <c r="FA18" s="58">
        <v>1668.4849999999999</v>
      </c>
      <c r="FB18" s="58">
        <v>915.97400000000005</v>
      </c>
      <c r="FC18" s="58">
        <v>752.51199999999994</v>
      </c>
      <c r="FD18" s="58">
        <v>1139.0419999999999</v>
      </c>
      <c r="FE18" s="58">
        <v>761.21299999999997</v>
      </c>
      <c r="FF18" s="58">
        <v>377.82900000000001</v>
      </c>
      <c r="FG18" s="58">
        <v>529.44299999999998</v>
      </c>
      <c r="FH18" s="58">
        <v>154.76</v>
      </c>
      <c r="FI18" s="58">
        <v>374.68299999999999</v>
      </c>
      <c r="FJ18" s="58">
        <v>193.79499999999999</v>
      </c>
      <c r="FK18" s="58">
        <v>99.352000000000004</v>
      </c>
      <c r="FL18" s="58">
        <v>94.444000000000003</v>
      </c>
      <c r="FM18" s="58">
        <v>52.981999999999999</v>
      </c>
      <c r="FN18" s="58">
        <v>31.474</v>
      </c>
      <c r="FO18" s="58">
        <v>21.507999999999999</v>
      </c>
      <c r="FP18" s="58">
        <v>20.895</v>
      </c>
      <c r="FQ18" s="58">
        <v>17.442</v>
      </c>
      <c r="FR18" s="58">
        <v>3.4529999999999998</v>
      </c>
      <c r="FS18" s="58">
        <v>10.321999999999999</v>
      </c>
      <c r="FT18" s="58">
        <v>8.1639999999999997</v>
      </c>
      <c r="FU18" s="58">
        <v>2.1579999999999999</v>
      </c>
      <c r="FV18" s="58">
        <v>10.573</v>
      </c>
      <c r="FW18" s="58">
        <v>9.2780000000000005</v>
      </c>
      <c r="FX18" s="58">
        <v>1.2949999999999999</v>
      </c>
      <c r="FY18" s="58">
        <v>32.087000000000003</v>
      </c>
      <c r="FZ18" s="58">
        <v>14.032</v>
      </c>
      <c r="GA18" s="58">
        <v>18.055</v>
      </c>
      <c r="GB18" s="58">
        <v>162.982</v>
      </c>
      <c r="GC18" s="58">
        <v>81.903999999999996</v>
      </c>
      <c r="GD18" s="58">
        <v>81.078000000000003</v>
      </c>
      <c r="GE18" s="58">
        <v>57.228999999999999</v>
      </c>
      <c r="GF18" s="58">
        <v>43.543999999999997</v>
      </c>
      <c r="GG18" s="58">
        <v>13.685</v>
      </c>
      <c r="GH18" s="58">
        <v>105.753</v>
      </c>
      <c r="GI18" s="58">
        <v>38.36</v>
      </c>
      <c r="GJ18" s="58">
        <v>67.393000000000001</v>
      </c>
      <c r="GK18" s="58">
        <v>72.709999999999994</v>
      </c>
      <c r="GL18" s="58">
        <v>56.469000000000001</v>
      </c>
      <c r="GM18" s="58">
        <v>16.241</v>
      </c>
      <c r="GN18" s="58">
        <v>121.08499999999999</v>
      </c>
      <c r="GO18" s="58">
        <v>42.883000000000003</v>
      </c>
      <c r="GP18" s="58">
        <v>78.201999999999998</v>
      </c>
      <c r="GQ18" s="58">
        <v>116.075</v>
      </c>
      <c r="GR18" s="58">
        <v>46.524000000000001</v>
      </c>
      <c r="GS18" s="58">
        <v>69.551000000000002</v>
      </c>
      <c r="GT18" s="58">
        <v>423.178</v>
      </c>
      <c r="GU18" s="58">
        <v>270.08699999999999</v>
      </c>
      <c r="GV18" s="58">
        <v>153.09100000000001</v>
      </c>
      <c r="GW18" s="58">
        <v>181.69900000000001</v>
      </c>
      <c r="GX18" s="58">
        <v>143.27000000000001</v>
      </c>
      <c r="GY18" s="58">
        <v>38.429000000000002</v>
      </c>
      <c r="GZ18" s="58">
        <v>241.47900000000001</v>
      </c>
      <c r="HA18" s="58">
        <v>126.81699999999999</v>
      </c>
      <c r="HB18" s="58">
        <v>114.66200000000001</v>
      </c>
      <c r="HC18" s="58">
        <v>43.768999999999998</v>
      </c>
      <c r="HD18" s="58">
        <v>32.164000000000001</v>
      </c>
      <c r="HE18" s="58">
        <v>11.605</v>
      </c>
      <c r="HF18" s="58">
        <v>28.190999999999999</v>
      </c>
      <c r="HG18" s="58">
        <v>21.206</v>
      </c>
      <c r="HH18" s="58">
        <v>6.9850000000000003</v>
      </c>
      <c r="HI18" s="58">
        <v>7.226</v>
      </c>
      <c r="HJ18" s="58">
        <v>6.9539999999999997</v>
      </c>
      <c r="HK18" s="58">
        <v>0.27200000000000002</v>
      </c>
      <c r="HL18" s="58">
        <v>4.8150000000000004</v>
      </c>
      <c r="HM18" s="58">
        <v>4.5430000000000001</v>
      </c>
      <c r="HN18" s="58">
        <v>0.27200000000000002</v>
      </c>
      <c r="HO18" s="58">
        <v>2.411</v>
      </c>
      <c r="HP18" s="58">
        <v>2.411</v>
      </c>
      <c r="HQ18" s="58">
        <v>0</v>
      </c>
      <c r="HR18" s="58">
        <v>20.965</v>
      </c>
      <c r="HS18" s="58">
        <v>14.252000000000001</v>
      </c>
      <c r="HT18" s="58">
        <v>6.7130000000000001</v>
      </c>
      <c r="HU18" s="58">
        <v>22.327000000000002</v>
      </c>
      <c r="HV18" s="58">
        <v>14.874000000000001</v>
      </c>
      <c r="HW18" s="58">
        <v>7.4530000000000003</v>
      </c>
      <c r="HX18" s="58">
        <v>2.74</v>
      </c>
      <c r="HY18" s="58">
        <v>2.3439999999999999</v>
      </c>
      <c r="HZ18" s="58">
        <v>0.39700000000000002</v>
      </c>
      <c r="IA18" s="58">
        <v>19.587</v>
      </c>
      <c r="IB18" s="58">
        <v>12.53</v>
      </c>
      <c r="IC18" s="58">
        <v>7.0570000000000004</v>
      </c>
      <c r="ID18" s="58">
        <v>8.9529999999999994</v>
      </c>
      <c r="IE18" s="58">
        <v>8.2850000000000001</v>
      </c>
      <c r="IF18" s="58">
        <v>0.66900000000000004</v>
      </c>
      <c r="IG18" s="58">
        <v>34.816000000000003</v>
      </c>
      <c r="IH18" s="58">
        <v>23.88</v>
      </c>
      <c r="II18" s="58">
        <v>10.936</v>
      </c>
      <c r="IJ18" s="58">
        <v>24.402000000000001</v>
      </c>
      <c r="IK18" s="58">
        <v>17.073</v>
      </c>
      <c r="IL18" s="58">
        <v>7.3289999999999997</v>
      </c>
      <c r="IM18" s="58">
        <v>3658.4789999999998</v>
      </c>
      <c r="IN18" s="58">
        <v>1982.6030000000001</v>
      </c>
      <c r="IO18" s="58">
        <v>1675.876</v>
      </c>
      <c r="IP18" s="58">
        <v>2585.0549999999998</v>
      </c>
      <c r="IQ18" s="58">
        <v>1656.433</v>
      </c>
    </row>
    <row r="19" spans="1:251">
      <c r="A19" s="5">
        <v>42064</v>
      </c>
      <c r="B19" s="58">
        <v>13.657</v>
      </c>
      <c r="C19" s="58">
        <v>17.675000000000001</v>
      </c>
      <c r="D19" s="58">
        <v>350.49200000000002</v>
      </c>
      <c r="E19" s="58">
        <v>206.17099999999999</v>
      </c>
      <c r="F19" s="58">
        <v>144.32</v>
      </c>
      <c r="G19" s="58">
        <v>180.178</v>
      </c>
      <c r="H19" s="58">
        <v>143.55099999999999</v>
      </c>
      <c r="I19" s="58">
        <v>36.627000000000002</v>
      </c>
      <c r="J19" s="58">
        <v>170.31299999999999</v>
      </c>
      <c r="K19" s="58">
        <v>62.62</v>
      </c>
      <c r="L19" s="58">
        <v>107.693</v>
      </c>
      <c r="M19" s="58">
        <v>199.44399999999999</v>
      </c>
      <c r="N19" s="58">
        <v>159.684</v>
      </c>
      <c r="O19" s="58">
        <v>39.76</v>
      </c>
      <c r="P19" s="58">
        <v>181.30099999999999</v>
      </c>
      <c r="Q19" s="58">
        <v>66.676000000000002</v>
      </c>
      <c r="R19" s="58">
        <v>114.625</v>
      </c>
      <c r="S19" s="58">
        <v>184.994</v>
      </c>
      <c r="T19" s="58">
        <v>74.358999999999995</v>
      </c>
      <c r="U19" s="58">
        <v>110.63500000000001</v>
      </c>
      <c r="V19" s="58">
        <v>2542.0320000000002</v>
      </c>
      <c r="W19" s="58">
        <v>1385.895</v>
      </c>
      <c r="X19" s="58">
        <v>1156.1369999999999</v>
      </c>
      <c r="Y19" s="58">
        <v>1887.0340000000001</v>
      </c>
      <c r="Z19" s="58">
        <v>1283.3589999999999</v>
      </c>
      <c r="AA19" s="58">
        <v>603.67499999999995</v>
      </c>
      <c r="AB19" s="58">
        <v>654.99800000000005</v>
      </c>
      <c r="AC19" s="58">
        <v>102.536</v>
      </c>
      <c r="AD19" s="58">
        <v>552.46100000000001</v>
      </c>
      <c r="AE19" s="58">
        <v>297.88400000000001</v>
      </c>
      <c r="AF19" s="58">
        <v>158.625</v>
      </c>
      <c r="AG19" s="58">
        <v>139.26</v>
      </c>
      <c r="AH19" s="58">
        <v>52.277000000000001</v>
      </c>
      <c r="AI19" s="58">
        <v>28.795000000000002</v>
      </c>
      <c r="AJ19" s="58">
        <v>23.481000000000002</v>
      </c>
      <c r="AK19" s="58">
        <v>27.989000000000001</v>
      </c>
      <c r="AL19" s="58">
        <v>22.039000000000001</v>
      </c>
      <c r="AM19" s="58">
        <v>5.9509999999999996</v>
      </c>
      <c r="AN19" s="58">
        <v>13.771000000000001</v>
      </c>
      <c r="AO19" s="58">
        <v>10.496</v>
      </c>
      <c r="AP19" s="58">
        <v>3.2749999999999999</v>
      </c>
      <c r="AQ19" s="58">
        <v>14.218999999999999</v>
      </c>
      <c r="AR19" s="58">
        <v>11.542999999999999</v>
      </c>
      <c r="AS19" s="58">
        <v>2.6760000000000002</v>
      </c>
      <c r="AT19" s="58">
        <v>24.286999999999999</v>
      </c>
      <c r="AU19" s="58">
        <v>6.7569999999999997</v>
      </c>
      <c r="AV19" s="58">
        <v>17.530999999999999</v>
      </c>
      <c r="AW19" s="58">
        <v>262.11399999999998</v>
      </c>
      <c r="AX19" s="58">
        <v>137.089</v>
      </c>
      <c r="AY19" s="58">
        <v>125.02500000000001</v>
      </c>
      <c r="AZ19" s="58">
        <v>117.015</v>
      </c>
      <c r="BA19" s="58">
        <v>98.007000000000005</v>
      </c>
      <c r="BB19" s="58">
        <v>19.009</v>
      </c>
      <c r="BC19" s="58">
        <v>145.09899999999999</v>
      </c>
      <c r="BD19" s="58">
        <v>39.082000000000001</v>
      </c>
      <c r="BE19" s="58">
        <v>106.017</v>
      </c>
      <c r="BF19" s="58">
        <v>140.47499999999999</v>
      </c>
      <c r="BG19" s="58">
        <v>116.738</v>
      </c>
      <c r="BH19" s="58">
        <v>23.736999999999998</v>
      </c>
      <c r="BI19" s="58">
        <v>157.40899999999999</v>
      </c>
      <c r="BJ19" s="58">
        <v>41.886000000000003</v>
      </c>
      <c r="BK19" s="58">
        <v>115.523</v>
      </c>
      <c r="BL19" s="58">
        <v>158.869</v>
      </c>
      <c r="BM19" s="58">
        <v>49.578000000000003</v>
      </c>
      <c r="BN19" s="58">
        <v>109.291</v>
      </c>
      <c r="BO19" s="58">
        <v>2485.1959999999999</v>
      </c>
      <c r="BP19" s="58">
        <v>1308.7850000000001</v>
      </c>
      <c r="BQ19" s="58">
        <v>1176.4110000000001</v>
      </c>
      <c r="BR19" s="58">
        <v>1866.0409999999999</v>
      </c>
      <c r="BS19" s="58">
        <v>1183.847</v>
      </c>
      <c r="BT19" s="58">
        <v>682.19399999999996</v>
      </c>
      <c r="BU19" s="58">
        <v>619.15499999999997</v>
      </c>
      <c r="BV19" s="58">
        <v>124.938</v>
      </c>
      <c r="BW19" s="58">
        <v>494.21699999999998</v>
      </c>
      <c r="BX19" s="58">
        <v>326.37900000000002</v>
      </c>
      <c r="BY19" s="58">
        <v>154.708</v>
      </c>
      <c r="BZ19" s="58">
        <v>171.67099999999999</v>
      </c>
      <c r="CA19" s="58">
        <v>64.447999999999993</v>
      </c>
      <c r="CB19" s="58">
        <v>32.978000000000002</v>
      </c>
      <c r="CC19" s="58">
        <v>31.47</v>
      </c>
      <c r="CD19" s="58">
        <v>32.093000000000004</v>
      </c>
      <c r="CE19" s="58">
        <v>22.704999999999998</v>
      </c>
      <c r="CF19" s="58">
        <v>9.3879999999999999</v>
      </c>
      <c r="CG19" s="58">
        <v>14.429</v>
      </c>
      <c r="CH19" s="58">
        <v>9.7620000000000005</v>
      </c>
      <c r="CI19" s="58">
        <v>4.6669999999999998</v>
      </c>
      <c r="CJ19" s="58">
        <v>17.664000000000001</v>
      </c>
      <c r="CK19" s="58">
        <v>12.943</v>
      </c>
      <c r="CL19" s="58">
        <v>4.7210000000000001</v>
      </c>
      <c r="CM19" s="58">
        <v>32.354999999999997</v>
      </c>
      <c r="CN19" s="58">
        <v>10.273</v>
      </c>
      <c r="CO19" s="58">
        <v>22.082000000000001</v>
      </c>
      <c r="CP19" s="58">
        <v>286.93599999999998</v>
      </c>
      <c r="CQ19" s="58">
        <v>132.86699999999999</v>
      </c>
      <c r="CR19" s="58">
        <v>154.06899999999999</v>
      </c>
      <c r="CS19" s="58">
        <v>122.70099999999999</v>
      </c>
      <c r="CT19" s="58">
        <v>88.322999999999993</v>
      </c>
      <c r="CU19" s="58">
        <v>34.378</v>
      </c>
      <c r="CV19" s="58">
        <v>164.23500000000001</v>
      </c>
      <c r="CW19" s="58">
        <v>44.543999999999997</v>
      </c>
      <c r="CX19" s="58">
        <v>119.691</v>
      </c>
      <c r="CY19" s="58">
        <v>147.697</v>
      </c>
      <c r="CZ19" s="58">
        <v>105.646</v>
      </c>
      <c r="DA19" s="58">
        <v>42.051000000000002</v>
      </c>
      <c r="DB19" s="58">
        <v>178.68199999999999</v>
      </c>
      <c r="DC19" s="58">
        <v>49.061999999999998</v>
      </c>
      <c r="DD19" s="58">
        <v>129.62</v>
      </c>
      <c r="DE19" s="58">
        <v>178.66399999999999</v>
      </c>
      <c r="DF19" s="58">
        <v>54.305999999999997</v>
      </c>
      <c r="DG19" s="58">
        <v>124.358</v>
      </c>
      <c r="DH19" s="58">
        <v>2090.0160000000001</v>
      </c>
      <c r="DI19" s="58">
        <v>1188.9580000000001</v>
      </c>
      <c r="DJ19" s="58">
        <v>901.05799999999999</v>
      </c>
      <c r="DK19" s="58">
        <v>1314.7760000000001</v>
      </c>
      <c r="DL19" s="58">
        <v>894.83799999999997</v>
      </c>
      <c r="DM19" s="58">
        <v>419.93700000000001</v>
      </c>
      <c r="DN19" s="58">
        <v>775.24099999999999</v>
      </c>
      <c r="DO19" s="58">
        <v>294.12</v>
      </c>
      <c r="DP19" s="58">
        <v>481.12099999999998</v>
      </c>
      <c r="DQ19" s="58">
        <v>227.351</v>
      </c>
      <c r="DR19" s="58">
        <v>125.492</v>
      </c>
      <c r="DS19" s="58">
        <v>101.85899999999999</v>
      </c>
      <c r="DT19" s="58">
        <v>62.871000000000002</v>
      </c>
      <c r="DU19" s="58">
        <v>37.768000000000001</v>
      </c>
      <c r="DV19" s="58">
        <v>25.103000000000002</v>
      </c>
      <c r="DW19" s="58">
        <v>24.568000000000001</v>
      </c>
      <c r="DX19" s="58">
        <v>19.521999999999998</v>
      </c>
      <c r="DY19" s="58">
        <v>5.0460000000000003</v>
      </c>
      <c r="DZ19" s="58">
        <v>15.000999999999999</v>
      </c>
      <c r="EA19" s="58">
        <v>11.27</v>
      </c>
      <c r="EB19" s="58">
        <v>3.73</v>
      </c>
      <c r="EC19" s="58">
        <v>9.5670000000000002</v>
      </c>
      <c r="ED19" s="58">
        <v>8.2520000000000007</v>
      </c>
      <c r="EE19" s="58">
        <v>1.3149999999999999</v>
      </c>
      <c r="EF19" s="58">
        <v>38.304000000000002</v>
      </c>
      <c r="EG19" s="58">
        <v>18.245999999999999</v>
      </c>
      <c r="EH19" s="58">
        <v>20.056999999999999</v>
      </c>
      <c r="EI19" s="58">
        <v>183.42099999999999</v>
      </c>
      <c r="EJ19" s="58">
        <v>100.129</v>
      </c>
      <c r="EK19" s="58">
        <v>83.292000000000002</v>
      </c>
      <c r="EL19" s="58">
        <v>63.011000000000003</v>
      </c>
      <c r="EM19" s="58">
        <v>48.843000000000004</v>
      </c>
      <c r="EN19" s="58">
        <v>14.167999999999999</v>
      </c>
      <c r="EO19" s="58">
        <v>120.41</v>
      </c>
      <c r="EP19" s="58">
        <v>51.286000000000001</v>
      </c>
      <c r="EQ19" s="58">
        <v>69.123999999999995</v>
      </c>
      <c r="ER19" s="58">
        <v>83.504000000000005</v>
      </c>
      <c r="ES19" s="58">
        <v>64.698999999999998</v>
      </c>
      <c r="ET19" s="58">
        <v>18.806000000000001</v>
      </c>
      <c r="EU19" s="58">
        <v>143.846</v>
      </c>
      <c r="EV19" s="58">
        <v>60.792999999999999</v>
      </c>
      <c r="EW19" s="58">
        <v>83.052999999999997</v>
      </c>
      <c r="EX19" s="58">
        <v>135.411</v>
      </c>
      <c r="EY19" s="58">
        <v>62.557000000000002</v>
      </c>
      <c r="EZ19" s="58">
        <v>72.853999999999999</v>
      </c>
      <c r="FA19" s="58">
        <v>1672.32</v>
      </c>
      <c r="FB19" s="58">
        <v>925.7</v>
      </c>
      <c r="FC19" s="58">
        <v>746.62099999999998</v>
      </c>
      <c r="FD19" s="58">
        <v>1125.354</v>
      </c>
      <c r="FE19" s="58">
        <v>751.42100000000005</v>
      </c>
      <c r="FF19" s="58">
        <v>373.93299999999999</v>
      </c>
      <c r="FG19" s="58">
        <v>546.96600000000001</v>
      </c>
      <c r="FH19" s="58">
        <v>174.279</v>
      </c>
      <c r="FI19" s="58">
        <v>372.68799999999999</v>
      </c>
      <c r="FJ19" s="58">
        <v>193.85499999999999</v>
      </c>
      <c r="FK19" s="58">
        <v>103.05200000000001</v>
      </c>
      <c r="FL19" s="58">
        <v>90.802999999999997</v>
      </c>
      <c r="FM19" s="58">
        <v>45.131999999999998</v>
      </c>
      <c r="FN19" s="58">
        <v>26.760999999999999</v>
      </c>
      <c r="FO19" s="58">
        <v>18.370999999999999</v>
      </c>
      <c r="FP19" s="58">
        <v>19.161999999999999</v>
      </c>
      <c r="FQ19" s="58">
        <v>15.369</v>
      </c>
      <c r="FR19" s="58">
        <v>3.7919999999999998</v>
      </c>
      <c r="FS19" s="58">
        <v>11.83</v>
      </c>
      <c r="FT19" s="58">
        <v>8.9489999999999998</v>
      </c>
      <c r="FU19" s="58">
        <v>2.8809999999999998</v>
      </c>
      <c r="FV19" s="58">
        <v>7.3319999999999999</v>
      </c>
      <c r="FW19" s="58">
        <v>6.4210000000000003</v>
      </c>
      <c r="FX19" s="58">
        <v>0.91100000000000003</v>
      </c>
      <c r="FY19" s="58">
        <v>25.97</v>
      </c>
      <c r="FZ19" s="58">
        <v>11.391999999999999</v>
      </c>
      <c r="GA19" s="58">
        <v>14.577999999999999</v>
      </c>
      <c r="GB19" s="58">
        <v>162.81299999999999</v>
      </c>
      <c r="GC19" s="58">
        <v>85.073999999999998</v>
      </c>
      <c r="GD19" s="58">
        <v>77.739000000000004</v>
      </c>
      <c r="GE19" s="58">
        <v>57.981000000000002</v>
      </c>
      <c r="GF19" s="58">
        <v>43.813000000000002</v>
      </c>
      <c r="GG19" s="58">
        <v>14.167999999999999</v>
      </c>
      <c r="GH19" s="58">
        <v>104.83199999999999</v>
      </c>
      <c r="GI19" s="58">
        <v>41.261000000000003</v>
      </c>
      <c r="GJ19" s="58">
        <v>63.570999999999998</v>
      </c>
      <c r="GK19" s="58">
        <v>73.941000000000003</v>
      </c>
      <c r="GL19" s="58">
        <v>56.389000000000003</v>
      </c>
      <c r="GM19" s="58">
        <v>17.552</v>
      </c>
      <c r="GN19" s="58">
        <v>119.913</v>
      </c>
      <c r="GO19" s="58">
        <v>46.662999999999997</v>
      </c>
      <c r="GP19" s="58">
        <v>73.251000000000005</v>
      </c>
      <c r="GQ19" s="58">
        <v>116.66200000000001</v>
      </c>
      <c r="GR19" s="58">
        <v>50.21</v>
      </c>
      <c r="GS19" s="58">
        <v>66.451999999999998</v>
      </c>
      <c r="GT19" s="58">
        <v>417.69600000000003</v>
      </c>
      <c r="GU19" s="58">
        <v>263.25900000000001</v>
      </c>
      <c r="GV19" s="58">
        <v>154.43700000000001</v>
      </c>
      <c r="GW19" s="58">
        <v>189.422</v>
      </c>
      <c r="GX19" s="58">
        <v>143.417</v>
      </c>
      <c r="GY19" s="58">
        <v>46.003999999999998</v>
      </c>
      <c r="GZ19" s="58">
        <v>228.274</v>
      </c>
      <c r="HA19" s="58">
        <v>119.84099999999999</v>
      </c>
      <c r="HB19" s="58">
        <v>108.43300000000001</v>
      </c>
      <c r="HC19" s="58">
        <v>33.496000000000002</v>
      </c>
      <c r="HD19" s="58">
        <v>22.44</v>
      </c>
      <c r="HE19" s="58">
        <v>11.055999999999999</v>
      </c>
      <c r="HF19" s="58">
        <v>17.739000000000001</v>
      </c>
      <c r="HG19" s="58">
        <v>11.007</v>
      </c>
      <c r="HH19" s="58">
        <v>6.7320000000000002</v>
      </c>
      <c r="HI19" s="58">
        <v>5.4059999999999997</v>
      </c>
      <c r="HJ19" s="58">
        <v>4.1520000000000001</v>
      </c>
      <c r="HK19" s="58">
        <v>1.2529999999999999</v>
      </c>
      <c r="HL19" s="58">
        <v>3.1709999999999998</v>
      </c>
      <c r="HM19" s="58">
        <v>2.3210000000000002</v>
      </c>
      <c r="HN19" s="58">
        <v>0.85</v>
      </c>
      <c r="HO19" s="58">
        <v>2.2349999999999999</v>
      </c>
      <c r="HP19" s="58">
        <v>1.831</v>
      </c>
      <c r="HQ19" s="58">
        <v>0.40400000000000003</v>
      </c>
      <c r="HR19" s="58">
        <v>12.334</v>
      </c>
      <c r="HS19" s="58">
        <v>6.8550000000000004</v>
      </c>
      <c r="HT19" s="58">
        <v>5.4790000000000001</v>
      </c>
      <c r="HU19" s="58">
        <v>20.608000000000001</v>
      </c>
      <c r="HV19" s="58">
        <v>15.055</v>
      </c>
      <c r="HW19" s="58">
        <v>5.5529999999999999</v>
      </c>
      <c r="HX19" s="58">
        <v>5.03</v>
      </c>
      <c r="HY19" s="58">
        <v>5.03</v>
      </c>
      <c r="HZ19" s="58">
        <v>0</v>
      </c>
      <c r="IA19" s="58">
        <v>15.577999999999999</v>
      </c>
      <c r="IB19" s="58">
        <v>10.025</v>
      </c>
      <c r="IC19" s="58">
        <v>5.5529999999999999</v>
      </c>
      <c r="ID19" s="58">
        <v>9.5630000000000006</v>
      </c>
      <c r="IE19" s="58">
        <v>8.31</v>
      </c>
      <c r="IF19" s="58">
        <v>1.2529999999999999</v>
      </c>
      <c r="IG19" s="58">
        <v>23.933</v>
      </c>
      <c r="IH19" s="58">
        <v>14.13</v>
      </c>
      <c r="II19" s="58">
        <v>9.8030000000000008</v>
      </c>
      <c r="IJ19" s="58">
        <v>18.748999999999999</v>
      </c>
      <c r="IK19" s="58">
        <v>12.347</v>
      </c>
      <c r="IL19" s="58">
        <v>6.4029999999999996</v>
      </c>
      <c r="IM19" s="58">
        <v>3678.2040000000002</v>
      </c>
      <c r="IN19" s="58">
        <v>1993.431</v>
      </c>
      <c r="IO19" s="58">
        <v>1684.7729999999999</v>
      </c>
      <c r="IP19" s="58">
        <v>2572.6010000000001</v>
      </c>
      <c r="IQ19" s="58">
        <v>1653.9369999999999</v>
      </c>
    </row>
    <row r="20" spans="1:251">
      <c r="A20" s="5">
        <v>42095</v>
      </c>
      <c r="B20" s="58">
        <v>14.928000000000001</v>
      </c>
      <c r="C20" s="58">
        <v>20.05</v>
      </c>
      <c r="D20" s="58">
        <v>370.92899999999997</v>
      </c>
      <c r="E20" s="58">
        <v>223.822</v>
      </c>
      <c r="F20" s="58">
        <v>147.107</v>
      </c>
      <c r="G20" s="58">
        <v>177.65799999999999</v>
      </c>
      <c r="H20" s="58">
        <v>142.047</v>
      </c>
      <c r="I20" s="58">
        <v>35.610999999999997</v>
      </c>
      <c r="J20" s="58">
        <v>193.27099999999999</v>
      </c>
      <c r="K20" s="58">
        <v>81.775000000000006</v>
      </c>
      <c r="L20" s="58">
        <v>111.496</v>
      </c>
      <c r="M20" s="58">
        <v>186.72300000000001</v>
      </c>
      <c r="N20" s="58">
        <v>149.38499999999999</v>
      </c>
      <c r="O20" s="58">
        <v>37.338999999999999</v>
      </c>
      <c r="P20" s="58">
        <v>206.54</v>
      </c>
      <c r="Q20" s="58">
        <v>87.677999999999997</v>
      </c>
      <c r="R20" s="58">
        <v>118.86199999999999</v>
      </c>
      <c r="S20" s="58">
        <v>204.06899999999999</v>
      </c>
      <c r="T20" s="58">
        <v>90.807000000000002</v>
      </c>
      <c r="U20" s="58">
        <v>113.262</v>
      </c>
      <c r="V20" s="58">
        <v>2540.0300000000002</v>
      </c>
      <c r="W20" s="58">
        <v>1386.4929999999999</v>
      </c>
      <c r="X20" s="58">
        <v>1153.537</v>
      </c>
      <c r="Y20" s="58">
        <v>1868.1880000000001</v>
      </c>
      <c r="Z20" s="58">
        <v>1273.1600000000001</v>
      </c>
      <c r="AA20" s="58">
        <v>595.02800000000002</v>
      </c>
      <c r="AB20" s="58">
        <v>671.84199999999998</v>
      </c>
      <c r="AC20" s="58">
        <v>113.333</v>
      </c>
      <c r="AD20" s="58">
        <v>558.50900000000001</v>
      </c>
      <c r="AE20" s="58">
        <v>315.70499999999998</v>
      </c>
      <c r="AF20" s="58">
        <v>168.161</v>
      </c>
      <c r="AG20" s="58">
        <v>147.54499999999999</v>
      </c>
      <c r="AH20" s="58">
        <v>42.421999999999997</v>
      </c>
      <c r="AI20" s="58">
        <v>24.841999999999999</v>
      </c>
      <c r="AJ20" s="58">
        <v>17.579000000000001</v>
      </c>
      <c r="AK20" s="58">
        <v>13.420999999999999</v>
      </c>
      <c r="AL20" s="58">
        <v>10.672000000000001</v>
      </c>
      <c r="AM20" s="58">
        <v>2.7490000000000001</v>
      </c>
      <c r="AN20" s="58">
        <v>7.6070000000000002</v>
      </c>
      <c r="AO20" s="58">
        <v>6.3540000000000001</v>
      </c>
      <c r="AP20" s="58">
        <v>1.252</v>
      </c>
      <c r="AQ20" s="58">
        <v>5.8150000000000004</v>
      </c>
      <c r="AR20" s="58">
        <v>4.3179999999999996</v>
      </c>
      <c r="AS20" s="58">
        <v>1.4970000000000001</v>
      </c>
      <c r="AT20" s="58">
        <v>29</v>
      </c>
      <c r="AU20" s="58">
        <v>14.17</v>
      </c>
      <c r="AV20" s="58">
        <v>14.83</v>
      </c>
      <c r="AW20" s="58">
        <v>295.774</v>
      </c>
      <c r="AX20" s="58">
        <v>157.62</v>
      </c>
      <c r="AY20" s="58">
        <v>138.154</v>
      </c>
      <c r="AZ20" s="58">
        <v>139.53899999999999</v>
      </c>
      <c r="BA20" s="58">
        <v>111.795</v>
      </c>
      <c r="BB20" s="58">
        <v>27.745000000000001</v>
      </c>
      <c r="BC20" s="58">
        <v>156.23500000000001</v>
      </c>
      <c r="BD20" s="58">
        <v>45.826000000000001</v>
      </c>
      <c r="BE20" s="58">
        <v>110.40900000000001</v>
      </c>
      <c r="BF20" s="58">
        <v>148.80500000000001</v>
      </c>
      <c r="BG20" s="58">
        <v>118.723</v>
      </c>
      <c r="BH20" s="58">
        <v>30.082999999999998</v>
      </c>
      <c r="BI20" s="58">
        <v>166.9</v>
      </c>
      <c r="BJ20" s="58">
        <v>49.438000000000002</v>
      </c>
      <c r="BK20" s="58">
        <v>117.462</v>
      </c>
      <c r="BL20" s="58">
        <v>163.84100000000001</v>
      </c>
      <c r="BM20" s="58">
        <v>52.18</v>
      </c>
      <c r="BN20" s="58">
        <v>111.661</v>
      </c>
      <c r="BO20" s="58">
        <v>2477.2260000000001</v>
      </c>
      <c r="BP20" s="58">
        <v>1299.027</v>
      </c>
      <c r="BQ20" s="58">
        <v>1178.1990000000001</v>
      </c>
      <c r="BR20" s="58">
        <v>1870.248</v>
      </c>
      <c r="BS20" s="58">
        <v>1169.8230000000001</v>
      </c>
      <c r="BT20" s="58">
        <v>700.42499999999995</v>
      </c>
      <c r="BU20" s="58">
        <v>606.97699999999998</v>
      </c>
      <c r="BV20" s="58">
        <v>129.203</v>
      </c>
      <c r="BW20" s="58">
        <v>477.774</v>
      </c>
      <c r="BX20" s="58">
        <v>313.78199999999998</v>
      </c>
      <c r="BY20" s="58">
        <v>157.489</v>
      </c>
      <c r="BZ20" s="58">
        <v>156.292</v>
      </c>
      <c r="CA20" s="58">
        <v>45.893999999999998</v>
      </c>
      <c r="CB20" s="58">
        <v>24.547999999999998</v>
      </c>
      <c r="CC20" s="58">
        <v>21.346</v>
      </c>
      <c r="CD20" s="58">
        <v>16.254000000000001</v>
      </c>
      <c r="CE20" s="58">
        <v>11.747</v>
      </c>
      <c r="CF20" s="58">
        <v>4.5069999999999997</v>
      </c>
      <c r="CG20" s="58">
        <v>12.234999999999999</v>
      </c>
      <c r="CH20" s="58">
        <v>8.3290000000000006</v>
      </c>
      <c r="CI20" s="58">
        <v>3.9060000000000001</v>
      </c>
      <c r="CJ20" s="58">
        <v>4.0190000000000001</v>
      </c>
      <c r="CK20" s="58">
        <v>3.4180000000000001</v>
      </c>
      <c r="CL20" s="58">
        <v>0.60099999999999998</v>
      </c>
      <c r="CM20" s="58">
        <v>29.64</v>
      </c>
      <c r="CN20" s="58">
        <v>12.801</v>
      </c>
      <c r="CO20" s="58">
        <v>16.838999999999999</v>
      </c>
      <c r="CP20" s="58">
        <v>290.11799999999999</v>
      </c>
      <c r="CQ20" s="58">
        <v>143.37700000000001</v>
      </c>
      <c r="CR20" s="58">
        <v>146.74100000000001</v>
      </c>
      <c r="CS20" s="58">
        <v>126.309</v>
      </c>
      <c r="CT20" s="58">
        <v>93.468000000000004</v>
      </c>
      <c r="CU20" s="58">
        <v>32.841000000000001</v>
      </c>
      <c r="CV20" s="58">
        <v>163.809</v>
      </c>
      <c r="CW20" s="58">
        <v>49.908999999999999</v>
      </c>
      <c r="CX20" s="58">
        <v>113.9</v>
      </c>
      <c r="CY20" s="58">
        <v>139.65100000000001</v>
      </c>
      <c r="CZ20" s="58">
        <v>103.215</v>
      </c>
      <c r="DA20" s="58">
        <v>36.435000000000002</v>
      </c>
      <c r="DB20" s="58">
        <v>174.131</v>
      </c>
      <c r="DC20" s="58">
        <v>54.274000000000001</v>
      </c>
      <c r="DD20" s="58">
        <v>119.857</v>
      </c>
      <c r="DE20" s="58">
        <v>176.04400000000001</v>
      </c>
      <c r="DF20" s="58">
        <v>58.237000000000002</v>
      </c>
      <c r="DG20" s="58">
        <v>117.806</v>
      </c>
      <c r="DH20" s="58">
        <v>2100.5340000000001</v>
      </c>
      <c r="DI20" s="58">
        <v>1200.4960000000001</v>
      </c>
      <c r="DJ20" s="58">
        <v>900.03899999999999</v>
      </c>
      <c r="DK20" s="58">
        <v>1318.2860000000001</v>
      </c>
      <c r="DL20" s="58">
        <v>904.09699999999998</v>
      </c>
      <c r="DM20" s="58">
        <v>414.18900000000002</v>
      </c>
      <c r="DN20" s="58">
        <v>782.24900000000002</v>
      </c>
      <c r="DO20" s="58">
        <v>296.399</v>
      </c>
      <c r="DP20" s="58">
        <v>485.85</v>
      </c>
      <c r="DQ20" s="58">
        <v>224.04900000000001</v>
      </c>
      <c r="DR20" s="58">
        <v>126.32</v>
      </c>
      <c r="DS20" s="58">
        <v>97.728999999999999</v>
      </c>
      <c r="DT20" s="58">
        <v>63.417000000000002</v>
      </c>
      <c r="DU20" s="58">
        <v>36.682000000000002</v>
      </c>
      <c r="DV20" s="58">
        <v>26.736000000000001</v>
      </c>
      <c r="DW20" s="58">
        <v>18.527999999999999</v>
      </c>
      <c r="DX20" s="58">
        <v>14.76</v>
      </c>
      <c r="DY20" s="58">
        <v>3.7690000000000001</v>
      </c>
      <c r="DZ20" s="58">
        <v>11.436</v>
      </c>
      <c r="EA20" s="58">
        <v>9.4220000000000006</v>
      </c>
      <c r="EB20" s="58">
        <v>2.0150000000000001</v>
      </c>
      <c r="EC20" s="58">
        <v>7.0919999999999996</v>
      </c>
      <c r="ED20" s="58">
        <v>5.3380000000000001</v>
      </c>
      <c r="EE20" s="58">
        <v>1.754</v>
      </c>
      <c r="EF20" s="58">
        <v>44.889000000000003</v>
      </c>
      <c r="EG20" s="58">
        <v>21.922000000000001</v>
      </c>
      <c r="EH20" s="58">
        <v>22.966999999999999</v>
      </c>
      <c r="EI20" s="58">
        <v>183.82</v>
      </c>
      <c r="EJ20" s="58">
        <v>103.685</v>
      </c>
      <c r="EK20" s="58">
        <v>80.135000000000005</v>
      </c>
      <c r="EL20" s="58">
        <v>58.930999999999997</v>
      </c>
      <c r="EM20" s="58">
        <v>47.177</v>
      </c>
      <c r="EN20" s="58">
        <v>11.754</v>
      </c>
      <c r="EO20" s="58">
        <v>124.889</v>
      </c>
      <c r="EP20" s="58">
        <v>56.509</v>
      </c>
      <c r="EQ20" s="58">
        <v>68.38</v>
      </c>
      <c r="ER20" s="58">
        <v>73.293999999999997</v>
      </c>
      <c r="ES20" s="58">
        <v>58.290999999999997</v>
      </c>
      <c r="ET20" s="58">
        <v>15.002000000000001</v>
      </c>
      <c r="EU20" s="58">
        <v>150.755</v>
      </c>
      <c r="EV20" s="58">
        <v>68.028000000000006</v>
      </c>
      <c r="EW20" s="58">
        <v>82.727000000000004</v>
      </c>
      <c r="EX20" s="58">
        <v>136.32499999999999</v>
      </c>
      <c r="EY20" s="58">
        <v>65.930000000000007</v>
      </c>
      <c r="EZ20" s="58">
        <v>70.394999999999996</v>
      </c>
      <c r="FA20" s="58">
        <v>1686.9739999999999</v>
      </c>
      <c r="FB20" s="58">
        <v>931.54</v>
      </c>
      <c r="FC20" s="58">
        <v>755.43399999999997</v>
      </c>
      <c r="FD20" s="58">
        <v>1135.5730000000001</v>
      </c>
      <c r="FE20" s="58">
        <v>763.46199999999999</v>
      </c>
      <c r="FF20" s="58">
        <v>372.11099999999999</v>
      </c>
      <c r="FG20" s="58">
        <v>551.40099999999995</v>
      </c>
      <c r="FH20" s="58">
        <v>168.078</v>
      </c>
      <c r="FI20" s="58">
        <v>383.32299999999998</v>
      </c>
      <c r="FJ20" s="58">
        <v>189.10499999999999</v>
      </c>
      <c r="FK20" s="58">
        <v>103.081</v>
      </c>
      <c r="FL20" s="58">
        <v>86.025000000000006</v>
      </c>
      <c r="FM20" s="58">
        <v>45.661999999999999</v>
      </c>
      <c r="FN20" s="58">
        <v>24.966999999999999</v>
      </c>
      <c r="FO20" s="58">
        <v>20.695</v>
      </c>
      <c r="FP20" s="58">
        <v>16.393000000000001</v>
      </c>
      <c r="FQ20" s="58">
        <v>12.625</v>
      </c>
      <c r="FR20" s="58">
        <v>3.7690000000000001</v>
      </c>
      <c r="FS20" s="58">
        <v>9.593</v>
      </c>
      <c r="FT20" s="58">
        <v>7.5780000000000003</v>
      </c>
      <c r="FU20" s="58">
        <v>2.0150000000000001</v>
      </c>
      <c r="FV20" s="58">
        <v>6.8</v>
      </c>
      <c r="FW20" s="58">
        <v>5.0460000000000003</v>
      </c>
      <c r="FX20" s="58">
        <v>1.754</v>
      </c>
      <c r="FY20" s="58">
        <v>29.268999999999998</v>
      </c>
      <c r="FZ20" s="58">
        <v>12.342000000000001</v>
      </c>
      <c r="GA20" s="58">
        <v>16.925999999999998</v>
      </c>
      <c r="GB20" s="58">
        <v>162.001</v>
      </c>
      <c r="GC20" s="58">
        <v>89.361000000000004</v>
      </c>
      <c r="GD20" s="58">
        <v>72.64</v>
      </c>
      <c r="GE20" s="58">
        <v>55.180999999999997</v>
      </c>
      <c r="GF20" s="58">
        <v>44.2</v>
      </c>
      <c r="GG20" s="58">
        <v>10.98</v>
      </c>
      <c r="GH20" s="58">
        <v>106.82</v>
      </c>
      <c r="GI20" s="58">
        <v>45.16</v>
      </c>
      <c r="GJ20" s="58">
        <v>61.66</v>
      </c>
      <c r="GK20" s="58">
        <v>67.408000000000001</v>
      </c>
      <c r="GL20" s="58">
        <v>53.18</v>
      </c>
      <c r="GM20" s="58">
        <v>14.228</v>
      </c>
      <c r="GN20" s="58">
        <v>121.697</v>
      </c>
      <c r="GO20" s="58">
        <v>49.901000000000003</v>
      </c>
      <c r="GP20" s="58">
        <v>71.796000000000006</v>
      </c>
      <c r="GQ20" s="58">
        <v>116.413</v>
      </c>
      <c r="GR20" s="58">
        <v>52.738999999999997</v>
      </c>
      <c r="GS20" s="58">
        <v>63.673999999999999</v>
      </c>
      <c r="GT20" s="58">
        <v>413.56</v>
      </c>
      <c r="GU20" s="58">
        <v>268.95499999999998</v>
      </c>
      <c r="GV20" s="58">
        <v>144.60499999999999</v>
      </c>
      <c r="GW20" s="58">
        <v>182.71299999999999</v>
      </c>
      <c r="GX20" s="58">
        <v>140.63499999999999</v>
      </c>
      <c r="GY20" s="58">
        <v>42.078000000000003</v>
      </c>
      <c r="GZ20" s="58">
        <v>230.84700000000001</v>
      </c>
      <c r="HA20" s="58">
        <v>128.321</v>
      </c>
      <c r="HB20" s="58">
        <v>102.527</v>
      </c>
      <c r="HC20" s="58">
        <v>34.942999999999998</v>
      </c>
      <c r="HD20" s="58">
        <v>23.239000000000001</v>
      </c>
      <c r="HE20" s="58">
        <v>11.705</v>
      </c>
      <c r="HF20" s="58">
        <v>17.756</v>
      </c>
      <c r="HG20" s="58">
        <v>11.715</v>
      </c>
      <c r="HH20" s="58">
        <v>6.0410000000000004</v>
      </c>
      <c r="HI20" s="58">
        <v>2.1349999999999998</v>
      </c>
      <c r="HJ20" s="58">
        <v>2.1349999999999998</v>
      </c>
      <c r="HK20" s="58">
        <v>0</v>
      </c>
      <c r="HL20" s="58">
        <v>1.843</v>
      </c>
      <c r="HM20" s="58">
        <v>1.843</v>
      </c>
      <c r="HN20" s="58">
        <v>0</v>
      </c>
      <c r="HO20" s="58">
        <v>0.29199999999999998</v>
      </c>
      <c r="HP20" s="58">
        <v>0.29199999999999998</v>
      </c>
      <c r="HQ20" s="58">
        <v>0</v>
      </c>
      <c r="HR20" s="58">
        <v>15.621</v>
      </c>
      <c r="HS20" s="58">
        <v>9.58</v>
      </c>
      <c r="HT20" s="58">
        <v>6.0410000000000004</v>
      </c>
      <c r="HU20" s="58">
        <v>21.818999999999999</v>
      </c>
      <c r="HV20" s="58">
        <v>14.324</v>
      </c>
      <c r="HW20" s="58">
        <v>7.4939999999999998</v>
      </c>
      <c r="HX20" s="58">
        <v>3.75</v>
      </c>
      <c r="HY20" s="58">
        <v>2.976</v>
      </c>
      <c r="HZ20" s="58">
        <v>0.77400000000000002</v>
      </c>
      <c r="IA20" s="58">
        <v>18.068999999999999</v>
      </c>
      <c r="IB20" s="58">
        <v>11.348000000000001</v>
      </c>
      <c r="IC20" s="58">
        <v>6.72</v>
      </c>
      <c r="ID20" s="58">
        <v>5.8849999999999998</v>
      </c>
      <c r="IE20" s="58">
        <v>5.1109999999999998</v>
      </c>
      <c r="IF20" s="58">
        <v>0.77400000000000002</v>
      </c>
      <c r="IG20" s="58">
        <v>29.058</v>
      </c>
      <c r="IH20" s="58">
        <v>18.126999999999999</v>
      </c>
      <c r="II20" s="58">
        <v>10.930999999999999</v>
      </c>
      <c r="IJ20" s="58">
        <v>19.911999999999999</v>
      </c>
      <c r="IK20" s="58">
        <v>13.192</v>
      </c>
      <c r="IL20" s="58">
        <v>6.72</v>
      </c>
      <c r="IM20" s="58">
        <v>3692.8719999999998</v>
      </c>
      <c r="IN20" s="58">
        <v>2007.056</v>
      </c>
      <c r="IO20" s="58">
        <v>1685.816</v>
      </c>
      <c r="IP20" s="58">
        <v>2560.511</v>
      </c>
      <c r="IQ20" s="58">
        <v>1632.1420000000001</v>
      </c>
    </row>
    <row r="21" spans="1:251">
      <c r="A21" s="5">
        <v>42125</v>
      </c>
      <c r="B21" s="58">
        <v>16.187999999999999</v>
      </c>
      <c r="C21" s="58">
        <v>16.317</v>
      </c>
      <c r="D21" s="58">
        <v>359.99799999999999</v>
      </c>
      <c r="E21" s="58">
        <v>219.2</v>
      </c>
      <c r="F21" s="58">
        <v>140.798</v>
      </c>
      <c r="G21" s="58">
        <v>184.667</v>
      </c>
      <c r="H21" s="58">
        <v>147.34700000000001</v>
      </c>
      <c r="I21" s="58">
        <v>37.320999999999998</v>
      </c>
      <c r="J21" s="58">
        <v>175.33099999999999</v>
      </c>
      <c r="K21" s="58">
        <v>71.852999999999994</v>
      </c>
      <c r="L21" s="58">
        <v>103.477</v>
      </c>
      <c r="M21" s="58">
        <v>207.797</v>
      </c>
      <c r="N21" s="58">
        <v>164.529</v>
      </c>
      <c r="O21" s="58">
        <v>43.268999999999998</v>
      </c>
      <c r="P21" s="58">
        <v>188.11699999999999</v>
      </c>
      <c r="Q21" s="58">
        <v>76.260000000000005</v>
      </c>
      <c r="R21" s="58">
        <v>111.857</v>
      </c>
      <c r="S21" s="58">
        <v>192.06299999999999</v>
      </c>
      <c r="T21" s="58">
        <v>86.215000000000003</v>
      </c>
      <c r="U21" s="58">
        <v>105.848</v>
      </c>
      <c r="V21" s="58">
        <v>2573.4720000000002</v>
      </c>
      <c r="W21" s="58">
        <v>1390.4649999999999</v>
      </c>
      <c r="X21" s="58">
        <v>1183.0070000000001</v>
      </c>
      <c r="Y21" s="58">
        <v>1884.6379999999999</v>
      </c>
      <c r="Z21" s="58">
        <v>1271.1510000000001</v>
      </c>
      <c r="AA21" s="58">
        <v>613.48699999999997</v>
      </c>
      <c r="AB21" s="58">
        <v>688.83399999999995</v>
      </c>
      <c r="AC21" s="58">
        <v>119.31399999999999</v>
      </c>
      <c r="AD21" s="58">
        <v>569.52</v>
      </c>
      <c r="AE21" s="58">
        <v>336.03699999999998</v>
      </c>
      <c r="AF21" s="58">
        <v>176.43299999999999</v>
      </c>
      <c r="AG21" s="58">
        <v>159.60400000000001</v>
      </c>
      <c r="AH21" s="58">
        <v>57.042000000000002</v>
      </c>
      <c r="AI21" s="58">
        <v>33.082000000000001</v>
      </c>
      <c r="AJ21" s="58">
        <v>23.96</v>
      </c>
      <c r="AK21" s="58">
        <v>27.475999999999999</v>
      </c>
      <c r="AL21" s="58">
        <v>23.096</v>
      </c>
      <c r="AM21" s="58">
        <v>4.38</v>
      </c>
      <c r="AN21" s="58">
        <v>12.606</v>
      </c>
      <c r="AO21" s="58">
        <v>9.4770000000000003</v>
      </c>
      <c r="AP21" s="58">
        <v>3.129</v>
      </c>
      <c r="AQ21" s="58">
        <v>14.869</v>
      </c>
      <c r="AR21" s="58">
        <v>13.618</v>
      </c>
      <c r="AS21" s="58">
        <v>1.2509999999999999</v>
      </c>
      <c r="AT21" s="58">
        <v>29.565999999999999</v>
      </c>
      <c r="AU21" s="58">
        <v>9.9860000000000007</v>
      </c>
      <c r="AV21" s="58">
        <v>19.579999999999998</v>
      </c>
      <c r="AW21" s="58">
        <v>302.74799999999999</v>
      </c>
      <c r="AX21" s="58">
        <v>157.673</v>
      </c>
      <c r="AY21" s="58">
        <v>145.07599999999999</v>
      </c>
      <c r="AZ21" s="58">
        <v>140.6</v>
      </c>
      <c r="BA21" s="58">
        <v>110.176</v>
      </c>
      <c r="BB21" s="58">
        <v>30.423999999999999</v>
      </c>
      <c r="BC21" s="58">
        <v>162.148</v>
      </c>
      <c r="BD21" s="58">
        <v>47.496000000000002</v>
      </c>
      <c r="BE21" s="58">
        <v>114.651</v>
      </c>
      <c r="BF21" s="58">
        <v>161.25399999999999</v>
      </c>
      <c r="BG21" s="58">
        <v>126.742</v>
      </c>
      <c r="BH21" s="58">
        <v>34.512</v>
      </c>
      <c r="BI21" s="58">
        <v>174.78399999999999</v>
      </c>
      <c r="BJ21" s="58">
        <v>49.691000000000003</v>
      </c>
      <c r="BK21" s="58">
        <v>125.092</v>
      </c>
      <c r="BL21" s="58">
        <v>174.75399999999999</v>
      </c>
      <c r="BM21" s="58">
        <v>56.973999999999997</v>
      </c>
      <c r="BN21" s="58">
        <v>117.78100000000001</v>
      </c>
      <c r="BO21" s="58">
        <v>2481.9960000000001</v>
      </c>
      <c r="BP21" s="58">
        <v>1303.5509999999999</v>
      </c>
      <c r="BQ21" s="58">
        <v>1178.4459999999999</v>
      </c>
      <c r="BR21" s="58">
        <v>1883.627</v>
      </c>
      <c r="BS21" s="58">
        <v>1179.047</v>
      </c>
      <c r="BT21" s="58">
        <v>704.58</v>
      </c>
      <c r="BU21" s="58">
        <v>598.36900000000003</v>
      </c>
      <c r="BV21" s="58">
        <v>124.504</v>
      </c>
      <c r="BW21" s="58">
        <v>473.86599999999999</v>
      </c>
      <c r="BX21" s="58">
        <v>330.733</v>
      </c>
      <c r="BY21" s="58">
        <v>166.87700000000001</v>
      </c>
      <c r="BZ21" s="58">
        <v>163.857</v>
      </c>
      <c r="CA21" s="58">
        <v>56.95</v>
      </c>
      <c r="CB21" s="58">
        <v>33.814</v>
      </c>
      <c r="CC21" s="58">
        <v>23.135999999999999</v>
      </c>
      <c r="CD21" s="58">
        <v>29.753</v>
      </c>
      <c r="CE21" s="58">
        <v>22.213000000000001</v>
      </c>
      <c r="CF21" s="58">
        <v>7.54</v>
      </c>
      <c r="CG21" s="58">
        <v>15.484999999999999</v>
      </c>
      <c r="CH21" s="58">
        <v>9.52</v>
      </c>
      <c r="CI21" s="58">
        <v>5.9649999999999999</v>
      </c>
      <c r="CJ21" s="58">
        <v>14.268000000000001</v>
      </c>
      <c r="CK21" s="58">
        <v>12.693</v>
      </c>
      <c r="CL21" s="58">
        <v>1.575</v>
      </c>
      <c r="CM21" s="58">
        <v>27.196999999999999</v>
      </c>
      <c r="CN21" s="58">
        <v>11.601000000000001</v>
      </c>
      <c r="CO21" s="58">
        <v>15.596</v>
      </c>
      <c r="CP21" s="58">
        <v>295.923</v>
      </c>
      <c r="CQ21" s="58">
        <v>144.86000000000001</v>
      </c>
      <c r="CR21" s="58">
        <v>151.06299999999999</v>
      </c>
      <c r="CS21" s="58">
        <v>129.60599999999999</v>
      </c>
      <c r="CT21" s="58">
        <v>94.59</v>
      </c>
      <c r="CU21" s="58">
        <v>35.017000000000003</v>
      </c>
      <c r="CV21" s="58">
        <v>166.31700000000001</v>
      </c>
      <c r="CW21" s="58">
        <v>50.271000000000001</v>
      </c>
      <c r="CX21" s="58">
        <v>116.04600000000001</v>
      </c>
      <c r="CY21" s="58">
        <v>153.05699999999999</v>
      </c>
      <c r="CZ21" s="58">
        <v>112.188</v>
      </c>
      <c r="DA21" s="58">
        <v>40.869999999999997</v>
      </c>
      <c r="DB21" s="58">
        <v>177.67599999999999</v>
      </c>
      <c r="DC21" s="58">
        <v>54.689</v>
      </c>
      <c r="DD21" s="58">
        <v>122.98699999999999</v>
      </c>
      <c r="DE21" s="58">
        <v>181.80199999999999</v>
      </c>
      <c r="DF21" s="58">
        <v>59.790999999999997</v>
      </c>
      <c r="DG21" s="58">
        <v>122.011</v>
      </c>
      <c r="DH21" s="58">
        <v>2113.7049999999999</v>
      </c>
      <c r="DI21" s="58">
        <v>1193.6010000000001</v>
      </c>
      <c r="DJ21" s="58">
        <v>920.10299999999995</v>
      </c>
      <c r="DK21" s="58">
        <v>1345.557</v>
      </c>
      <c r="DL21" s="58">
        <v>911.69600000000003</v>
      </c>
      <c r="DM21" s="58">
        <v>433.86099999999999</v>
      </c>
      <c r="DN21" s="58">
        <v>768.14800000000002</v>
      </c>
      <c r="DO21" s="58">
        <v>281.90499999999997</v>
      </c>
      <c r="DP21" s="58">
        <v>486.24200000000002</v>
      </c>
      <c r="DQ21" s="58">
        <v>249.971</v>
      </c>
      <c r="DR21" s="58">
        <v>138.39400000000001</v>
      </c>
      <c r="DS21" s="58">
        <v>111.577</v>
      </c>
      <c r="DT21" s="58">
        <v>77.454999999999998</v>
      </c>
      <c r="DU21" s="58">
        <v>47.262999999999998</v>
      </c>
      <c r="DV21" s="58">
        <v>30.192</v>
      </c>
      <c r="DW21" s="58">
        <v>30.625</v>
      </c>
      <c r="DX21" s="58">
        <v>25.414999999999999</v>
      </c>
      <c r="DY21" s="58">
        <v>5.2089999999999996</v>
      </c>
      <c r="DZ21" s="58">
        <v>18.047000000000001</v>
      </c>
      <c r="EA21" s="58">
        <v>15.542</v>
      </c>
      <c r="EB21" s="58">
        <v>2.5049999999999999</v>
      </c>
      <c r="EC21" s="58">
        <v>12.577999999999999</v>
      </c>
      <c r="ED21" s="58">
        <v>9.8729999999999993</v>
      </c>
      <c r="EE21" s="58">
        <v>2.7040000000000002</v>
      </c>
      <c r="EF21" s="58">
        <v>46.831000000000003</v>
      </c>
      <c r="EG21" s="58">
        <v>21.847999999999999</v>
      </c>
      <c r="EH21" s="58">
        <v>24.983000000000001</v>
      </c>
      <c r="EI21" s="58">
        <v>200.62299999999999</v>
      </c>
      <c r="EJ21" s="58">
        <v>111.547</v>
      </c>
      <c r="EK21" s="58">
        <v>89.075999999999993</v>
      </c>
      <c r="EL21" s="58">
        <v>79.471000000000004</v>
      </c>
      <c r="EM21" s="58">
        <v>61.366999999999997</v>
      </c>
      <c r="EN21" s="58">
        <v>18.103999999999999</v>
      </c>
      <c r="EO21" s="58">
        <v>121.152</v>
      </c>
      <c r="EP21" s="58">
        <v>50.18</v>
      </c>
      <c r="EQ21" s="58">
        <v>70.971999999999994</v>
      </c>
      <c r="ER21" s="58">
        <v>100.983</v>
      </c>
      <c r="ES21" s="58">
        <v>78.572000000000003</v>
      </c>
      <c r="ET21" s="58">
        <v>22.411000000000001</v>
      </c>
      <c r="EU21" s="58">
        <v>148.989</v>
      </c>
      <c r="EV21" s="58">
        <v>59.822000000000003</v>
      </c>
      <c r="EW21" s="58">
        <v>89.165999999999997</v>
      </c>
      <c r="EX21" s="58">
        <v>139.19900000000001</v>
      </c>
      <c r="EY21" s="58">
        <v>65.721999999999994</v>
      </c>
      <c r="EZ21" s="58">
        <v>73.477000000000004</v>
      </c>
      <c r="FA21" s="58">
        <v>1697.5709999999999</v>
      </c>
      <c r="FB21" s="58">
        <v>932.45500000000004</v>
      </c>
      <c r="FC21" s="58">
        <v>765.11599999999999</v>
      </c>
      <c r="FD21" s="58">
        <v>1163.671</v>
      </c>
      <c r="FE21" s="58">
        <v>774.31399999999996</v>
      </c>
      <c r="FF21" s="58">
        <v>389.35700000000003</v>
      </c>
      <c r="FG21" s="58">
        <v>533.9</v>
      </c>
      <c r="FH21" s="58">
        <v>158.14099999999999</v>
      </c>
      <c r="FI21" s="58">
        <v>375.75900000000001</v>
      </c>
      <c r="FJ21" s="58">
        <v>210.88499999999999</v>
      </c>
      <c r="FK21" s="58">
        <v>114.63</v>
      </c>
      <c r="FL21" s="58">
        <v>96.254999999999995</v>
      </c>
      <c r="FM21" s="58">
        <v>56.179000000000002</v>
      </c>
      <c r="FN21" s="58">
        <v>34.390999999999998</v>
      </c>
      <c r="FO21" s="58">
        <v>21.788</v>
      </c>
      <c r="FP21" s="58">
        <v>25.73</v>
      </c>
      <c r="FQ21" s="58">
        <v>20.946000000000002</v>
      </c>
      <c r="FR21" s="58">
        <v>4.7850000000000001</v>
      </c>
      <c r="FS21" s="58">
        <v>15.558999999999999</v>
      </c>
      <c r="FT21" s="58">
        <v>13.478999999999999</v>
      </c>
      <c r="FU21" s="58">
        <v>2.08</v>
      </c>
      <c r="FV21" s="58">
        <v>10.170999999999999</v>
      </c>
      <c r="FW21" s="58">
        <v>7.4669999999999996</v>
      </c>
      <c r="FX21" s="58">
        <v>2.7040000000000002</v>
      </c>
      <c r="FY21" s="58">
        <v>30.449000000000002</v>
      </c>
      <c r="FZ21" s="58">
        <v>13.446</v>
      </c>
      <c r="GA21" s="58">
        <v>17.003</v>
      </c>
      <c r="GB21" s="58">
        <v>176.77699999999999</v>
      </c>
      <c r="GC21" s="58">
        <v>96.114999999999995</v>
      </c>
      <c r="GD21" s="58">
        <v>80.662000000000006</v>
      </c>
      <c r="GE21" s="58">
        <v>73.986000000000004</v>
      </c>
      <c r="GF21" s="58">
        <v>56.603000000000002</v>
      </c>
      <c r="GG21" s="58">
        <v>17.382999999999999</v>
      </c>
      <c r="GH21" s="58">
        <v>102.791</v>
      </c>
      <c r="GI21" s="58">
        <v>39.511000000000003</v>
      </c>
      <c r="GJ21" s="58">
        <v>63.28</v>
      </c>
      <c r="GK21" s="58">
        <v>92.07</v>
      </c>
      <c r="GL21" s="58">
        <v>70.805000000000007</v>
      </c>
      <c r="GM21" s="58">
        <v>21.265000000000001</v>
      </c>
      <c r="GN21" s="58">
        <v>118.815</v>
      </c>
      <c r="GO21" s="58">
        <v>43.825000000000003</v>
      </c>
      <c r="GP21" s="58">
        <v>74.989999999999995</v>
      </c>
      <c r="GQ21" s="58">
        <v>118.35</v>
      </c>
      <c r="GR21" s="58">
        <v>52.99</v>
      </c>
      <c r="GS21" s="58">
        <v>65.36</v>
      </c>
      <c r="GT21" s="58">
        <v>416.13299999999998</v>
      </c>
      <c r="GU21" s="58">
        <v>261.14600000000002</v>
      </c>
      <c r="GV21" s="58">
        <v>154.98699999999999</v>
      </c>
      <c r="GW21" s="58">
        <v>181.886</v>
      </c>
      <c r="GX21" s="58">
        <v>137.38200000000001</v>
      </c>
      <c r="GY21" s="58">
        <v>44.503999999999998</v>
      </c>
      <c r="GZ21" s="58">
        <v>234.24799999999999</v>
      </c>
      <c r="HA21" s="58">
        <v>123.764</v>
      </c>
      <c r="HB21" s="58">
        <v>110.48399999999999</v>
      </c>
      <c r="HC21" s="58">
        <v>39.085999999999999</v>
      </c>
      <c r="HD21" s="58">
        <v>23.763999999999999</v>
      </c>
      <c r="HE21" s="58">
        <v>15.321999999999999</v>
      </c>
      <c r="HF21" s="58">
        <v>21.276</v>
      </c>
      <c r="HG21" s="58">
        <v>12.872</v>
      </c>
      <c r="HH21" s="58">
        <v>8.4039999999999999</v>
      </c>
      <c r="HI21" s="58">
        <v>4.8940000000000001</v>
      </c>
      <c r="HJ21" s="58">
        <v>4.47</v>
      </c>
      <c r="HK21" s="58">
        <v>0.42399999999999999</v>
      </c>
      <c r="HL21" s="58">
        <v>2.4870000000000001</v>
      </c>
      <c r="HM21" s="58">
        <v>2.0630000000000002</v>
      </c>
      <c r="HN21" s="58">
        <v>0.42399999999999999</v>
      </c>
      <c r="HO21" s="58">
        <v>2.407</v>
      </c>
      <c r="HP21" s="58">
        <v>2.407</v>
      </c>
      <c r="HQ21" s="58">
        <v>0</v>
      </c>
      <c r="HR21" s="58">
        <v>16.382000000000001</v>
      </c>
      <c r="HS21" s="58">
        <v>8.4019999999999992</v>
      </c>
      <c r="HT21" s="58">
        <v>7.98</v>
      </c>
      <c r="HU21" s="58">
        <v>23.846</v>
      </c>
      <c r="HV21" s="58">
        <v>15.432</v>
      </c>
      <c r="HW21" s="58">
        <v>8.4139999999999997</v>
      </c>
      <c r="HX21" s="58">
        <v>5.4850000000000003</v>
      </c>
      <c r="HY21" s="58">
        <v>4.7640000000000002</v>
      </c>
      <c r="HZ21" s="58">
        <v>0.72099999999999997</v>
      </c>
      <c r="IA21" s="58">
        <v>18.361000000000001</v>
      </c>
      <c r="IB21" s="58">
        <v>10.669</v>
      </c>
      <c r="IC21" s="58">
        <v>7.6929999999999996</v>
      </c>
      <c r="ID21" s="58">
        <v>8.9130000000000003</v>
      </c>
      <c r="IE21" s="58">
        <v>7.7670000000000003</v>
      </c>
      <c r="IF21" s="58">
        <v>1.1459999999999999</v>
      </c>
      <c r="IG21" s="58">
        <v>30.172999999999998</v>
      </c>
      <c r="IH21" s="58">
        <v>15.997</v>
      </c>
      <c r="II21" s="58">
        <v>14.176</v>
      </c>
      <c r="IJ21" s="58">
        <v>20.849</v>
      </c>
      <c r="IK21" s="58">
        <v>12.731999999999999</v>
      </c>
      <c r="IL21" s="58">
        <v>8.1170000000000009</v>
      </c>
      <c r="IM21" s="58">
        <v>3689.136</v>
      </c>
      <c r="IN21" s="58">
        <v>1998.836</v>
      </c>
      <c r="IO21" s="58">
        <v>1690.3</v>
      </c>
      <c r="IP21" s="58">
        <v>2580.8850000000002</v>
      </c>
      <c r="IQ21" s="58">
        <v>1637.2529999999999</v>
      </c>
    </row>
    <row r="22" spans="1:251">
      <c r="A22" s="5">
        <v>42156</v>
      </c>
      <c r="B22" s="58">
        <v>14.163</v>
      </c>
      <c r="C22" s="58">
        <v>13.804</v>
      </c>
      <c r="D22" s="58">
        <v>360.25799999999998</v>
      </c>
      <c r="E22" s="58">
        <v>230.17</v>
      </c>
      <c r="F22" s="58">
        <v>130.08799999999999</v>
      </c>
      <c r="G22" s="58">
        <v>187.37200000000001</v>
      </c>
      <c r="H22" s="58">
        <v>150.64500000000001</v>
      </c>
      <c r="I22" s="58">
        <v>36.726999999999997</v>
      </c>
      <c r="J22" s="58">
        <v>172.887</v>
      </c>
      <c r="K22" s="58">
        <v>79.525000000000006</v>
      </c>
      <c r="L22" s="58">
        <v>93.361000000000004</v>
      </c>
      <c r="M22" s="58">
        <v>207.71299999999999</v>
      </c>
      <c r="N22" s="58">
        <v>166.03800000000001</v>
      </c>
      <c r="O22" s="58">
        <v>41.674999999999997</v>
      </c>
      <c r="P22" s="58">
        <v>187.41200000000001</v>
      </c>
      <c r="Q22" s="58">
        <v>85.245999999999995</v>
      </c>
      <c r="R22" s="58">
        <v>102.166</v>
      </c>
      <c r="S22" s="58">
        <v>187.553</v>
      </c>
      <c r="T22" s="58">
        <v>90.594999999999999</v>
      </c>
      <c r="U22" s="58">
        <v>96.957999999999998</v>
      </c>
      <c r="V22" s="58">
        <v>2553.6970000000001</v>
      </c>
      <c r="W22" s="58">
        <v>1386.2380000000001</v>
      </c>
      <c r="X22" s="58">
        <v>1167.46</v>
      </c>
      <c r="Y22" s="58">
        <v>1873.1769999999999</v>
      </c>
      <c r="Z22" s="58">
        <v>1261.933</v>
      </c>
      <c r="AA22" s="58">
        <v>611.24300000000005</v>
      </c>
      <c r="AB22" s="58">
        <v>680.52099999999996</v>
      </c>
      <c r="AC22" s="58">
        <v>124.304</v>
      </c>
      <c r="AD22" s="58">
        <v>556.21699999999998</v>
      </c>
      <c r="AE22" s="58">
        <v>322.07900000000001</v>
      </c>
      <c r="AF22" s="58">
        <v>167.631</v>
      </c>
      <c r="AG22" s="58">
        <v>154.44800000000001</v>
      </c>
      <c r="AH22" s="58">
        <v>51.680999999999997</v>
      </c>
      <c r="AI22" s="58">
        <v>29.934000000000001</v>
      </c>
      <c r="AJ22" s="58">
        <v>21.747</v>
      </c>
      <c r="AK22" s="58">
        <v>24.22</v>
      </c>
      <c r="AL22" s="58">
        <v>18.222999999999999</v>
      </c>
      <c r="AM22" s="58">
        <v>5.9960000000000004</v>
      </c>
      <c r="AN22" s="58">
        <v>12.602</v>
      </c>
      <c r="AO22" s="58">
        <v>8.2309999999999999</v>
      </c>
      <c r="AP22" s="58">
        <v>4.3710000000000004</v>
      </c>
      <c r="AQ22" s="58">
        <v>11.618</v>
      </c>
      <c r="AR22" s="58">
        <v>9.9930000000000003</v>
      </c>
      <c r="AS22" s="58">
        <v>1.625</v>
      </c>
      <c r="AT22" s="58">
        <v>27.462</v>
      </c>
      <c r="AU22" s="58">
        <v>11.71</v>
      </c>
      <c r="AV22" s="58">
        <v>15.750999999999999</v>
      </c>
      <c r="AW22" s="58">
        <v>292.20499999999998</v>
      </c>
      <c r="AX22" s="58">
        <v>149.58199999999999</v>
      </c>
      <c r="AY22" s="58">
        <v>142.62299999999999</v>
      </c>
      <c r="AZ22" s="58">
        <v>132.73099999999999</v>
      </c>
      <c r="BA22" s="58">
        <v>104.01600000000001</v>
      </c>
      <c r="BB22" s="58">
        <v>28.715</v>
      </c>
      <c r="BC22" s="58">
        <v>159.47399999999999</v>
      </c>
      <c r="BD22" s="58">
        <v>45.566000000000003</v>
      </c>
      <c r="BE22" s="58">
        <v>113.908</v>
      </c>
      <c r="BF22" s="58">
        <v>151.18600000000001</v>
      </c>
      <c r="BG22" s="58">
        <v>117.703</v>
      </c>
      <c r="BH22" s="58">
        <v>33.481999999999999</v>
      </c>
      <c r="BI22" s="58">
        <v>170.893</v>
      </c>
      <c r="BJ22" s="58">
        <v>49.927999999999997</v>
      </c>
      <c r="BK22" s="58">
        <v>120.96599999999999</v>
      </c>
      <c r="BL22" s="58">
        <v>172.07599999999999</v>
      </c>
      <c r="BM22" s="58">
        <v>53.796999999999997</v>
      </c>
      <c r="BN22" s="58">
        <v>118.279</v>
      </c>
      <c r="BO22" s="58">
        <v>2483.7719999999999</v>
      </c>
      <c r="BP22" s="58">
        <v>1302.1759999999999</v>
      </c>
      <c r="BQ22" s="58">
        <v>1181.596</v>
      </c>
      <c r="BR22" s="58">
        <v>1876.097</v>
      </c>
      <c r="BS22" s="58">
        <v>1183.472</v>
      </c>
      <c r="BT22" s="58">
        <v>692.62400000000002</v>
      </c>
      <c r="BU22" s="58">
        <v>607.67600000000004</v>
      </c>
      <c r="BV22" s="58">
        <v>118.70399999999999</v>
      </c>
      <c r="BW22" s="58">
        <v>488.971</v>
      </c>
      <c r="BX22" s="58">
        <v>359.58300000000003</v>
      </c>
      <c r="BY22" s="58">
        <v>173.62799999999999</v>
      </c>
      <c r="BZ22" s="58">
        <v>185.95500000000001</v>
      </c>
      <c r="CA22" s="58">
        <v>73.748000000000005</v>
      </c>
      <c r="CB22" s="58">
        <v>40.869</v>
      </c>
      <c r="CC22" s="58">
        <v>32.878999999999998</v>
      </c>
      <c r="CD22" s="58">
        <v>39.496000000000002</v>
      </c>
      <c r="CE22" s="58">
        <v>30.11</v>
      </c>
      <c r="CF22" s="58">
        <v>9.3859999999999992</v>
      </c>
      <c r="CG22" s="58">
        <v>24.149000000000001</v>
      </c>
      <c r="CH22" s="58">
        <v>17.091000000000001</v>
      </c>
      <c r="CI22" s="58">
        <v>7.0579999999999998</v>
      </c>
      <c r="CJ22" s="58">
        <v>15.347</v>
      </c>
      <c r="CK22" s="58">
        <v>13.019</v>
      </c>
      <c r="CL22" s="58">
        <v>2.3279999999999998</v>
      </c>
      <c r="CM22" s="58">
        <v>34.250999999999998</v>
      </c>
      <c r="CN22" s="58">
        <v>10.759</v>
      </c>
      <c r="CO22" s="58">
        <v>23.492999999999999</v>
      </c>
      <c r="CP22" s="58">
        <v>319.68</v>
      </c>
      <c r="CQ22" s="58">
        <v>150.38499999999999</v>
      </c>
      <c r="CR22" s="58">
        <v>169.29499999999999</v>
      </c>
      <c r="CS22" s="58">
        <v>142.91399999999999</v>
      </c>
      <c r="CT22" s="58">
        <v>101.459</v>
      </c>
      <c r="CU22" s="58">
        <v>41.454999999999998</v>
      </c>
      <c r="CV22" s="58">
        <v>176.76599999999999</v>
      </c>
      <c r="CW22" s="58">
        <v>48.926000000000002</v>
      </c>
      <c r="CX22" s="58">
        <v>127.84</v>
      </c>
      <c r="CY22" s="58">
        <v>170.477</v>
      </c>
      <c r="CZ22" s="58">
        <v>121.79300000000001</v>
      </c>
      <c r="DA22" s="58">
        <v>48.683</v>
      </c>
      <c r="DB22" s="58">
        <v>189.10599999999999</v>
      </c>
      <c r="DC22" s="58">
        <v>51.835000000000001</v>
      </c>
      <c r="DD22" s="58">
        <v>137.27199999999999</v>
      </c>
      <c r="DE22" s="58">
        <v>200.91499999999999</v>
      </c>
      <c r="DF22" s="58">
        <v>66.016999999999996</v>
      </c>
      <c r="DG22" s="58">
        <v>134.898</v>
      </c>
      <c r="DH22" s="58">
        <v>2121.848</v>
      </c>
      <c r="DI22" s="58">
        <v>1200.2529999999999</v>
      </c>
      <c r="DJ22" s="58">
        <v>921.59500000000003</v>
      </c>
      <c r="DK22" s="58">
        <v>1333.433</v>
      </c>
      <c r="DL22" s="58">
        <v>908.66099999999994</v>
      </c>
      <c r="DM22" s="58">
        <v>424.77100000000002</v>
      </c>
      <c r="DN22" s="58">
        <v>788.41600000000005</v>
      </c>
      <c r="DO22" s="58">
        <v>291.59199999999998</v>
      </c>
      <c r="DP22" s="58">
        <v>496.82400000000001</v>
      </c>
      <c r="DQ22" s="58">
        <v>229.917</v>
      </c>
      <c r="DR22" s="58">
        <v>129.96700000000001</v>
      </c>
      <c r="DS22" s="58">
        <v>99.95</v>
      </c>
      <c r="DT22" s="58">
        <v>66.073999999999998</v>
      </c>
      <c r="DU22" s="58">
        <v>43.609000000000002</v>
      </c>
      <c r="DV22" s="58">
        <v>22.465</v>
      </c>
      <c r="DW22" s="58">
        <v>21.472000000000001</v>
      </c>
      <c r="DX22" s="58">
        <v>19.716000000000001</v>
      </c>
      <c r="DY22" s="58">
        <v>1.756</v>
      </c>
      <c r="DZ22" s="58">
        <v>12.616</v>
      </c>
      <c r="EA22" s="58">
        <v>11.548999999999999</v>
      </c>
      <c r="EB22" s="58">
        <v>1.0669999999999999</v>
      </c>
      <c r="EC22" s="58">
        <v>8.8559999999999999</v>
      </c>
      <c r="ED22" s="58">
        <v>8.1669999999999998</v>
      </c>
      <c r="EE22" s="58">
        <v>0.68899999999999995</v>
      </c>
      <c r="EF22" s="58">
        <v>44.601999999999997</v>
      </c>
      <c r="EG22" s="58">
        <v>23.893000000000001</v>
      </c>
      <c r="EH22" s="58">
        <v>20.709</v>
      </c>
      <c r="EI22" s="58">
        <v>186.542</v>
      </c>
      <c r="EJ22" s="58">
        <v>101.60299999999999</v>
      </c>
      <c r="EK22" s="58">
        <v>84.938999999999993</v>
      </c>
      <c r="EL22" s="58">
        <v>60.146000000000001</v>
      </c>
      <c r="EM22" s="58">
        <v>46.61</v>
      </c>
      <c r="EN22" s="58">
        <v>13.536</v>
      </c>
      <c r="EO22" s="58">
        <v>126.396</v>
      </c>
      <c r="EP22" s="58">
        <v>54.993000000000002</v>
      </c>
      <c r="EQ22" s="58">
        <v>71.403000000000006</v>
      </c>
      <c r="ER22" s="58">
        <v>78.191999999999993</v>
      </c>
      <c r="ES22" s="58">
        <v>62.9</v>
      </c>
      <c r="ET22" s="58">
        <v>15.292</v>
      </c>
      <c r="EU22" s="58">
        <v>151.726</v>
      </c>
      <c r="EV22" s="58">
        <v>67.066999999999993</v>
      </c>
      <c r="EW22" s="58">
        <v>84.658000000000001</v>
      </c>
      <c r="EX22" s="58">
        <v>139.012</v>
      </c>
      <c r="EY22" s="58">
        <v>66.542000000000002</v>
      </c>
      <c r="EZ22" s="58">
        <v>72.47</v>
      </c>
      <c r="FA22" s="58">
        <v>1697.0609999999999</v>
      </c>
      <c r="FB22" s="58">
        <v>934.13599999999997</v>
      </c>
      <c r="FC22" s="58">
        <v>762.92499999999995</v>
      </c>
      <c r="FD22" s="58">
        <v>1145.904</v>
      </c>
      <c r="FE22" s="58">
        <v>770.55499999999995</v>
      </c>
      <c r="FF22" s="58">
        <v>375.35</v>
      </c>
      <c r="FG22" s="58">
        <v>551.15700000000004</v>
      </c>
      <c r="FH22" s="58">
        <v>163.58199999999999</v>
      </c>
      <c r="FI22" s="58">
        <v>387.57499999999999</v>
      </c>
      <c r="FJ22" s="58">
        <v>194.113</v>
      </c>
      <c r="FK22" s="58">
        <v>107.121</v>
      </c>
      <c r="FL22" s="58">
        <v>86.992000000000004</v>
      </c>
      <c r="FM22" s="58">
        <v>50.021999999999998</v>
      </c>
      <c r="FN22" s="58">
        <v>33.136000000000003</v>
      </c>
      <c r="FO22" s="58">
        <v>16.885999999999999</v>
      </c>
      <c r="FP22" s="58">
        <v>18.177</v>
      </c>
      <c r="FQ22" s="58">
        <v>16.420000000000002</v>
      </c>
      <c r="FR22" s="58">
        <v>1.756</v>
      </c>
      <c r="FS22" s="58">
        <v>10.358000000000001</v>
      </c>
      <c r="FT22" s="58">
        <v>9.2910000000000004</v>
      </c>
      <c r="FU22" s="58">
        <v>1.0669999999999999</v>
      </c>
      <c r="FV22" s="58">
        <v>7.8179999999999996</v>
      </c>
      <c r="FW22" s="58">
        <v>7.1289999999999996</v>
      </c>
      <c r="FX22" s="58">
        <v>0.68899999999999995</v>
      </c>
      <c r="FY22" s="58">
        <v>31.844999999999999</v>
      </c>
      <c r="FZ22" s="58">
        <v>16.716000000000001</v>
      </c>
      <c r="GA22" s="58">
        <v>15.13</v>
      </c>
      <c r="GB22" s="58">
        <v>163.50200000000001</v>
      </c>
      <c r="GC22" s="58">
        <v>87.372</v>
      </c>
      <c r="GD22" s="58">
        <v>76.13</v>
      </c>
      <c r="GE22" s="58">
        <v>56.317</v>
      </c>
      <c r="GF22" s="58">
        <v>43.741999999999997</v>
      </c>
      <c r="GG22" s="58">
        <v>12.576000000000001</v>
      </c>
      <c r="GH22" s="58">
        <v>107.184</v>
      </c>
      <c r="GI22" s="58">
        <v>43.63</v>
      </c>
      <c r="GJ22" s="58">
        <v>63.554000000000002</v>
      </c>
      <c r="GK22" s="58">
        <v>71.552000000000007</v>
      </c>
      <c r="GL22" s="58">
        <v>57.22</v>
      </c>
      <c r="GM22" s="58">
        <v>14.332000000000001</v>
      </c>
      <c r="GN22" s="58">
        <v>122.56100000000001</v>
      </c>
      <c r="GO22" s="58">
        <v>49.901000000000003</v>
      </c>
      <c r="GP22" s="58">
        <v>72.66</v>
      </c>
      <c r="GQ22" s="58">
        <v>117.542</v>
      </c>
      <c r="GR22" s="58">
        <v>52.920999999999999</v>
      </c>
      <c r="GS22" s="58">
        <v>64.620999999999995</v>
      </c>
      <c r="GT22" s="58">
        <v>424.78699999999998</v>
      </c>
      <c r="GU22" s="58">
        <v>266.11700000000002</v>
      </c>
      <c r="GV22" s="58">
        <v>158.66999999999999</v>
      </c>
      <c r="GW22" s="58">
        <v>187.52799999999999</v>
      </c>
      <c r="GX22" s="58">
        <v>138.107</v>
      </c>
      <c r="GY22" s="58">
        <v>49.421999999999997</v>
      </c>
      <c r="GZ22" s="58">
        <v>237.25899999999999</v>
      </c>
      <c r="HA22" s="58">
        <v>128.01</v>
      </c>
      <c r="HB22" s="58">
        <v>109.249</v>
      </c>
      <c r="HC22" s="58">
        <v>35.805</v>
      </c>
      <c r="HD22" s="58">
        <v>22.846</v>
      </c>
      <c r="HE22" s="58">
        <v>12.959</v>
      </c>
      <c r="HF22" s="58">
        <v>16.052</v>
      </c>
      <c r="HG22" s="58">
        <v>10.472</v>
      </c>
      <c r="HH22" s="58">
        <v>5.5789999999999997</v>
      </c>
      <c r="HI22" s="58">
        <v>3.2949999999999999</v>
      </c>
      <c r="HJ22" s="58">
        <v>3.2949999999999999</v>
      </c>
      <c r="HK22" s="58">
        <v>0</v>
      </c>
      <c r="HL22" s="58">
        <v>2.258</v>
      </c>
      <c r="HM22" s="58">
        <v>2.258</v>
      </c>
      <c r="HN22" s="58">
        <v>0</v>
      </c>
      <c r="HO22" s="58">
        <v>1.038</v>
      </c>
      <c r="HP22" s="58">
        <v>1.038</v>
      </c>
      <c r="HQ22" s="58">
        <v>0</v>
      </c>
      <c r="HR22" s="58">
        <v>12.756</v>
      </c>
      <c r="HS22" s="58">
        <v>7.1769999999999996</v>
      </c>
      <c r="HT22" s="58">
        <v>5.5789999999999997</v>
      </c>
      <c r="HU22" s="58">
        <v>23.04</v>
      </c>
      <c r="HV22" s="58">
        <v>14.231</v>
      </c>
      <c r="HW22" s="58">
        <v>8.8089999999999993</v>
      </c>
      <c r="HX22" s="58">
        <v>3.8290000000000002</v>
      </c>
      <c r="HY22" s="58">
        <v>2.8690000000000002</v>
      </c>
      <c r="HZ22" s="58">
        <v>0.96</v>
      </c>
      <c r="IA22" s="58">
        <v>19.212</v>
      </c>
      <c r="IB22" s="58">
        <v>11.363</v>
      </c>
      <c r="IC22" s="58">
        <v>7.8490000000000002</v>
      </c>
      <c r="ID22" s="58">
        <v>6.64</v>
      </c>
      <c r="IE22" s="58">
        <v>5.68</v>
      </c>
      <c r="IF22" s="58">
        <v>0.96</v>
      </c>
      <c r="IG22" s="58">
        <v>29.164000000000001</v>
      </c>
      <c r="IH22" s="58">
        <v>17.166</v>
      </c>
      <c r="II22" s="58">
        <v>11.999000000000001</v>
      </c>
      <c r="IJ22" s="58">
        <v>21.469000000000001</v>
      </c>
      <c r="IK22" s="58">
        <v>13.62</v>
      </c>
      <c r="IL22" s="58">
        <v>7.8490000000000002</v>
      </c>
      <c r="IM22" s="58">
        <v>3702.7179999999998</v>
      </c>
      <c r="IN22" s="58">
        <v>2000.5250000000001</v>
      </c>
      <c r="IO22" s="58">
        <v>1702.193</v>
      </c>
      <c r="IP22" s="58">
        <v>2601.2710000000002</v>
      </c>
      <c r="IQ22" s="58">
        <v>1643.9749999999999</v>
      </c>
    </row>
    <row r="23" spans="1:251">
      <c r="A23" s="5">
        <v>42186</v>
      </c>
      <c r="B23" s="58">
        <v>16.102</v>
      </c>
      <c r="C23" s="58">
        <v>14.521000000000001</v>
      </c>
      <c r="D23" s="58">
        <v>362.82499999999999</v>
      </c>
      <c r="E23" s="58">
        <v>227.679</v>
      </c>
      <c r="F23" s="58">
        <v>135.14599999999999</v>
      </c>
      <c r="G23" s="58">
        <v>180.6</v>
      </c>
      <c r="H23" s="58">
        <v>147.57400000000001</v>
      </c>
      <c r="I23" s="58">
        <v>33.026000000000003</v>
      </c>
      <c r="J23" s="58">
        <v>182.22499999999999</v>
      </c>
      <c r="K23" s="58">
        <v>80.105000000000004</v>
      </c>
      <c r="L23" s="58">
        <v>102.12</v>
      </c>
      <c r="M23" s="58">
        <v>202.80600000000001</v>
      </c>
      <c r="N23" s="58">
        <v>163.387</v>
      </c>
      <c r="O23" s="58">
        <v>39.418999999999997</v>
      </c>
      <c r="P23" s="58">
        <v>193.881</v>
      </c>
      <c r="Q23" s="58">
        <v>84.762</v>
      </c>
      <c r="R23" s="58">
        <v>109.119</v>
      </c>
      <c r="S23" s="58">
        <v>198.124</v>
      </c>
      <c r="T23" s="58">
        <v>93.369</v>
      </c>
      <c r="U23" s="58">
        <v>104.756</v>
      </c>
      <c r="V23" s="58">
        <v>2560.9160000000002</v>
      </c>
      <c r="W23" s="58">
        <v>1386.752</v>
      </c>
      <c r="X23" s="58">
        <v>1174.164</v>
      </c>
      <c r="Y23" s="58">
        <v>1881.605</v>
      </c>
      <c r="Z23" s="58">
        <v>1265.001</v>
      </c>
      <c r="AA23" s="58">
        <v>616.60400000000004</v>
      </c>
      <c r="AB23" s="58">
        <v>679.31100000000004</v>
      </c>
      <c r="AC23" s="58">
        <v>121.751</v>
      </c>
      <c r="AD23" s="58">
        <v>557.55999999999995</v>
      </c>
      <c r="AE23" s="58">
        <v>328.20400000000001</v>
      </c>
      <c r="AF23" s="58">
        <v>161.631</v>
      </c>
      <c r="AG23" s="58">
        <v>166.572</v>
      </c>
      <c r="AH23" s="58">
        <v>56.52</v>
      </c>
      <c r="AI23" s="58">
        <v>28.401</v>
      </c>
      <c r="AJ23" s="58">
        <v>28.119</v>
      </c>
      <c r="AK23" s="58">
        <v>25.251000000000001</v>
      </c>
      <c r="AL23" s="58">
        <v>18.916</v>
      </c>
      <c r="AM23" s="58">
        <v>6.335</v>
      </c>
      <c r="AN23" s="58">
        <v>14.901</v>
      </c>
      <c r="AO23" s="58">
        <v>10.552</v>
      </c>
      <c r="AP23" s="58">
        <v>4.3490000000000002</v>
      </c>
      <c r="AQ23" s="58">
        <v>10.351000000000001</v>
      </c>
      <c r="AR23" s="58">
        <v>8.3650000000000002</v>
      </c>
      <c r="AS23" s="58">
        <v>1.986</v>
      </c>
      <c r="AT23" s="58">
        <v>31.268999999999998</v>
      </c>
      <c r="AU23" s="58">
        <v>9.4849999999999994</v>
      </c>
      <c r="AV23" s="58">
        <v>21.783999999999999</v>
      </c>
      <c r="AW23" s="58">
        <v>294.68200000000002</v>
      </c>
      <c r="AX23" s="58">
        <v>144.09299999999999</v>
      </c>
      <c r="AY23" s="58">
        <v>150.58799999999999</v>
      </c>
      <c r="AZ23" s="58">
        <v>130.898</v>
      </c>
      <c r="BA23" s="58">
        <v>100.029</v>
      </c>
      <c r="BB23" s="58">
        <v>30.869</v>
      </c>
      <c r="BC23" s="58">
        <v>163.78299999999999</v>
      </c>
      <c r="BD23" s="58">
        <v>44.064999999999998</v>
      </c>
      <c r="BE23" s="58">
        <v>119.71899999999999</v>
      </c>
      <c r="BF23" s="58">
        <v>149.79599999999999</v>
      </c>
      <c r="BG23" s="58">
        <v>113.871</v>
      </c>
      <c r="BH23" s="58">
        <v>35.924999999999997</v>
      </c>
      <c r="BI23" s="58">
        <v>178.40799999999999</v>
      </c>
      <c r="BJ23" s="58">
        <v>47.76</v>
      </c>
      <c r="BK23" s="58">
        <v>130.64699999999999</v>
      </c>
      <c r="BL23" s="58">
        <v>178.684</v>
      </c>
      <c r="BM23" s="58">
        <v>54.616</v>
      </c>
      <c r="BN23" s="58">
        <v>124.068</v>
      </c>
      <c r="BO23" s="58">
        <v>2484.5740000000001</v>
      </c>
      <c r="BP23" s="58">
        <v>1306.05</v>
      </c>
      <c r="BQ23" s="58">
        <v>1178.5239999999999</v>
      </c>
      <c r="BR23" s="58">
        <v>1875.7159999999999</v>
      </c>
      <c r="BS23" s="58">
        <v>1182.489</v>
      </c>
      <c r="BT23" s="58">
        <v>693.22699999999998</v>
      </c>
      <c r="BU23" s="58">
        <v>608.85699999999997</v>
      </c>
      <c r="BV23" s="58">
        <v>123.56100000000001</v>
      </c>
      <c r="BW23" s="58">
        <v>485.29599999999999</v>
      </c>
      <c r="BX23" s="58">
        <v>327.226</v>
      </c>
      <c r="BY23" s="58">
        <v>164.33600000000001</v>
      </c>
      <c r="BZ23" s="58">
        <v>162.89099999999999</v>
      </c>
      <c r="CA23" s="58">
        <v>68.117999999999995</v>
      </c>
      <c r="CB23" s="58">
        <v>38.518999999999998</v>
      </c>
      <c r="CC23" s="58">
        <v>29.6</v>
      </c>
      <c r="CD23" s="58">
        <v>33.231999999999999</v>
      </c>
      <c r="CE23" s="58">
        <v>24.484000000000002</v>
      </c>
      <c r="CF23" s="58">
        <v>8.7479999999999993</v>
      </c>
      <c r="CG23" s="58">
        <v>19.635999999999999</v>
      </c>
      <c r="CH23" s="58">
        <v>15.009</v>
      </c>
      <c r="CI23" s="58">
        <v>4.6269999999999998</v>
      </c>
      <c r="CJ23" s="58">
        <v>13.595000000000001</v>
      </c>
      <c r="CK23" s="58">
        <v>9.4740000000000002</v>
      </c>
      <c r="CL23" s="58">
        <v>4.1210000000000004</v>
      </c>
      <c r="CM23" s="58">
        <v>34.887</v>
      </c>
      <c r="CN23" s="58">
        <v>14.035</v>
      </c>
      <c r="CO23" s="58">
        <v>20.852</v>
      </c>
      <c r="CP23" s="58">
        <v>288.78399999999999</v>
      </c>
      <c r="CQ23" s="58">
        <v>141.00399999999999</v>
      </c>
      <c r="CR23" s="58">
        <v>147.78</v>
      </c>
      <c r="CS23" s="58">
        <v>123.021</v>
      </c>
      <c r="CT23" s="58">
        <v>91.706000000000003</v>
      </c>
      <c r="CU23" s="58">
        <v>31.315000000000001</v>
      </c>
      <c r="CV23" s="58">
        <v>165.76400000000001</v>
      </c>
      <c r="CW23" s="58">
        <v>49.298000000000002</v>
      </c>
      <c r="CX23" s="58">
        <v>116.465</v>
      </c>
      <c r="CY23" s="58">
        <v>150.27500000000001</v>
      </c>
      <c r="CZ23" s="58">
        <v>111.129</v>
      </c>
      <c r="DA23" s="58">
        <v>39.146000000000001</v>
      </c>
      <c r="DB23" s="58">
        <v>176.95099999999999</v>
      </c>
      <c r="DC23" s="58">
        <v>53.207000000000001</v>
      </c>
      <c r="DD23" s="58">
        <v>123.745</v>
      </c>
      <c r="DE23" s="58">
        <v>185.4</v>
      </c>
      <c r="DF23" s="58">
        <v>64.308000000000007</v>
      </c>
      <c r="DG23" s="58">
        <v>121.092</v>
      </c>
      <c r="DH23" s="58">
        <v>2116.739</v>
      </c>
      <c r="DI23" s="58">
        <v>1189.943</v>
      </c>
      <c r="DJ23" s="58">
        <v>926.79600000000005</v>
      </c>
      <c r="DK23" s="58">
        <v>1343.89</v>
      </c>
      <c r="DL23" s="58">
        <v>905.70799999999997</v>
      </c>
      <c r="DM23" s="58">
        <v>438.18200000000002</v>
      </c>
      <c r="DN23" s="58">
        <v>772.84900000000005</v>
      </c>
      <c r="DO23" s="58">
        <v>284.23500000000001</v>
      </c>
      <c r="DP23" s="58">
        <v>488.61399999999998</v>
      </c>
      <c r="DQ23" s="58">
        <v>265.96699999999998</v>
      </c>
      <c r="DR23" s="58">
        <v>152.31399999999999</v>
      </c>
      <c r="DS23" s="58">
        <v>113.65300000000001</v>
      </c>
      <c r="DT23" s="58">
        <v>79.076999999999998</v>
      </c>
      <c r="DU23" s="58">
        <v>45.237000000000002</v>
      </c>
      <c r="DV23" s="58">
        <v>33.840000000000003</v>
      </c>
      <c r="DW23" s="58">
        <v>30.244</v>
      </c>
      <c r="DX23" s="58">
        <v>23.696999999999999</v>
      </c>
      <c r="DY23" s="58">
        <v>6.5469999999999997</v>
      </c>
      <c r="DZ23" s="58">
        <v>16.163</v>
      </c>
      <c r="EA23" s="58">
        <v>12.324</v>
      </c>
      <c r="EB23" s="58">
        <v>3.839</v>
      </c>
      <c r="EC23" s="58">
        <v>14.082000000000001</v>
      </c>
      <c r="ED23" s="58">
        <v>11.372999999999999</v>
      </c>
      <c r="EE23" s="58">
        <v>2.7090000000000001</v>
      </c>
      <c r="EF23" s="58">
        <v>48.832000000000001</v>
      </c>
      <c r="EG23" s="58">
        <v>21.54</v>
      </c>
      <c r="EH23" s="58">
        <v>27.292000000000002</v>
      </c>
      <c r="EI23" s="58">
        <v>217.93100000000001</v>
      </c>
      <c r="EJ23" s="58">
        <v>125.465</v>
      </c>
      <c r="EK23" s="58">
        <v>92.466999999999999</v>
      </c>
      <c r="EL23" s="58">
        <v>73.742999999999995</v>
      </c>
      <c r="EM23" s="58">
        <v>56.692</v>
      </c>
      <c r="EN23" s="58">
        <v>17.050999999999998</v>
      </c>
      <c r="EO23" s="58">
        <v>144.18799999999999</v>
      </c>
      <c r="EP23" s="58">
        <v>68.772000000000006</v>
      </c>
      <c r="EQ23" s="58">
        <v>75.415999999999997</v>
      </c>
      <c r="ER23" s="58">
        <v>97.358000000000004</v>
      </c>
      <c r="ES23" s="58">
        <v>74.647999999999996</v>
      </c>
      <c r="ET23" s="58">
        <v>22.71</v>
      </c>
      <c r="EU23" s="58">
        <v>168.60900000000001</v>
      </c>
      <c r="EV23" s="58">
        <v>77.667000000000002</v>
      </c>
      <c r="EW23" s="58">
        <v>90.942999999999998</v>
      </c>
      <c r="EX23" s="58">
        <v>160.351</v>
      </c>
      <c r="EY23" s="58">
        <v>81.096000000000004</v>
      </c>
      <c r="EZ23" s="58">
        <v>79.254999999999995</v>
      </c>
      <c r="FA23" s="58">
        <v>1697.586</v>
      </c>
      <c r="FB23" s="58">
        <v>930.33600000000001</v>
      </c>
      <c r="FC23" s="58">
        <v>767.25</v>
      </c>
      <c r="FD23" s="58">
        <v>1155.204</v>
      </c>
      <c r="FE23" s="58">
        <v>770.66099999999994</v>
      </c>
      <c r="FF23" s="58">
        <v>384.54300000000001</v>
      </c>
      <c r="FG23" s="58">
        <v>542.38199999999995</v>
      </c>
      <c r="FH23" s="58">
        <v>159.67500000000001</v>
      </c>
      <c r="FI23" s="58">
        <v>382.70699999999999</v>
      </c>
      <c r="FJ23" s="58">
        <v>219.352</v>
      </c>
      <c r="FK23" s="58">
        <v>124.47</v>
      </c>
      <c r="FL23" s="58">
        <v>94.882000000000005</v>
      </c>
      <c r="FM23" s="58">
        <v>56.74</v>
      </c>
      <c r="FN23" s="58">
        <v>32.847999999999999</v>
      </c>
      <c r="FO23" s="58">
        <v>23.891999999999999</v>
      </c>
      <c r="FP23" s="58">
        <v>25.004999999999999</v>
      </c>
      <c r="FQ23" s="58">
        <v>18.818999999999999</v>
      </c>
      <c r="FR23" s="58">
        <v>6.1859999999999999</v>
      </c>
      <c r="FS23" s="58">
        <v>13.692</v>
      </c>
      <c r="FT23" s="58">
        <v>9.9109999999999996</v>
      </c>
      <c r="FU23" s="58">
        <v>3.7810000000000001</v>
      </c>
      <c r="FV23" s="58">
        <v>11.313000000000001</v>
      </c>
      <c r="FW23" s="58">
        <v>8.9079999999999995</v>
      </c>
      <c r="FX23" s="58">
        <v>2.4049999999999998</v>
      </c>
      <c r="FY23" s="58">
        <v>31.734999999999999</v>
      </c>
      <c r="FZ23" s="58">
        <v>14.03</v>
      </c>
      <c r="GA23" s="58">
        <v>17.704999999999998</v>
      </c>
      <c r="GB23" s="58">
        <v>186.64599999999999</v>
      </c>
      <c r="GC23" s="58">
        <v>105.614</v>
      </c>
      <c r="GD23" s="58">
        <v>81.031999999999996</v>
      </c>
      <c r="GE23" s="58">
        <v>70.021000000000001</v>
      </c>
      <c r="GF23" s="58">
        <v>52.97</v>
      </c>
      <c r="GG23" s="58">
        <v>17.050999999999998</v>
      </c>
      <c r="GH23" s="58">
        <v>116.625</v>
      </c>
      <c r="GI23" s="58">
        <v>52.643999999999998</v>
      </c>
      <c r="GJ23" s="58">
        <v>63.981999999999999</v>
      </c>
      <c r="GK23" s="58">
        <v>89.710999999999999</v>
      </c>
      <c r="GL23" s="58">
        <v>67.361999999999995</v>
      </c>
      <c r="GM23" s="58">
        <v>22.349</v>
      </c>
      <c r="GN23" s="58">
        <v>129.64099999999999</v>
      </c>
      <c r="GO23" s="58">
        <v>57.107999999999997</v>
      </c>
      <c r="GP23" s="58">
        <v>72.533000000000001</v>
      </c>
      <c r="GQ23" s="58">
        <v>130.31700000000001</v>
      </c>
      <c r="GR23" s="58">
        <v>62.554000000000002</v>
      </c>
      <c r="GS23" s="58">
        <v>67.763000000000005</v>
      </c>
      <c r="GT23" s="58">
        <v>419.15300000000002</v>
      </c>
      <c r="GU23" s="58">
        <v>259.60700000000003</v>
      </c>
      <c r="GV23" s="58">
        <v>159.54599999999999</v>
      </c>
      <c r="GW23" s="58">
        <v>188.68600000000001</v>
      </c>
      <c r="GX23" s="58">
        <v>135.047</v>
      </c>
      <c r="GY23" s="58">
        <v>53.639000000000003</v>
      </c>
      <c r="GZ23" s="58">
        <v>230.46700000000001</v>
      </c>
      <c r="HA23" s="58">
        <v>124.56</v>
      </c>
      <c r="HB23" s="58">
        <v>105.907</v>
      </c>
      <c r="HC23" s="58">
        <v>46.615000000000002</v>
      </c>
      <c r="HD23" s="58">
        <v>27.844999999999999</v>
      </c>
      <c r="HE23" s="58">
        <v>18.771000000000001</v>
      </c>
      <c r="HF23" s="58">
        <v>22.337</v>
      </c>
      <c r="HG23" s="58">
        <v>12.388999999999999</v>
      </c>
      <c r="HH23" s="58">
        <v>9.9480000000000004</v>
      </c>
      <c r="HI23" s="58">
        <v>5.2389999999999999</v>
      </c>
      <c r="HJ23" s="58">
        <v>4.8780000000000001</v>
      </c>
      <c r="HK23" s="58">
        <v>0.36099999999999999</v>
      </c>
      <c r="HL23" s="58">
        <v>2.4700000000000002</v>
      </c>
      <c r="HM23" s="58">
        <v>2.4129999999999998</v>
      </c>
      <c r="HN23" s="58">
        <v>5.7000000000000002E-2</v>
      </c>
      <c r="HO23" s="58">
        <v>2.7690000000000001</v>
      </c>
      <c r="HP23" s="58">
        <v>2.4649999999999999</v>
      </c>
      <c r="HQ23" s="58">
        <v>0.30399999999999999</v>
      </c>
      <c r="HR23" s="58">
        <v>17.097999999999999</v>
      </c>
      <c r="HS23" s="58">
        <v>7.5110000000000001</v>
      </c>
      <c r="HT23" s="58">
        <v>9.5869999999999997</v>
      </c>
      <c r="HU23" s="58">
        <v>31.286000000000001</v>
      </c>
      <c r="HV23" s="58">
        <v>19.850999999999999</v>
      </c>
      <c r="HW23" s="58">
        <v>11.435</v>
      </c>
      <c r="HX23" s="58">
        <v>3.722</v>
      </c>
      <c r="HY23" s="58">
        <v>3.722</v>
      </c>
      <c r="HZ23" s="58">
        <v>0</v>
      </c>
      <c r="IA23" s="58">
        <v>27.562999999999999</v>
      </c>
      <c r="IB23" s="58">
        <v>16.129000000000001</v>
      </c>
      <c r="IC23" s="58">
        <v>11.435</v>
      </c>
      <c r="ID23" s="58">
        <v>7.6459999999999999</v>
      </c>
      <c r="IE23" s="58">
        <v>7.2850000000000001</v>
      </c>
      <c r="IF23" s="58">
        <v>0.36099999999999999</v>
      </c>
      <c r="IG23" s="58">
        <v>38.969000000000001</v>
      </c>
      <c r="IH23" s="58">
        <v>20.559000000000001</v>
      </c>
      <c r="II23" s="58">
        <v>18.41</v>
      </c>
      <c r="IJ23" s="58">
        <v>30.033999999999999</v>
      </c>
      <c r="IK23" s="58">
        <v>18.542000000000002</v>
      </c>
      <c r="IL23" s="58">
        <v>11.492000000000001</v>
      </c>
      <c r="IM23" s="58">
        <v>3724.732</v>
      </c>
      <c r="IN23" s="58">
        <v>2006.9179999999999</v>
      </c>
      <c r="IO23" s="58">
        <v>1717.8140000000001</v>
      </c>
      <c r="IP23" s="58">
        <v>2641.0129999999999</v>
      </c>
      <c r="IQ23" s="58">
        <v>1667.0160000000001</v>
      </c>
    </row>
    <row r="24" spans="1:251">
      <c r="A24" s="5">
        <v>42217</v>
      </c>
      <c r="B24" s="58">
        <v>11.388</v>
      </c>
      <c r="C24" s="58">
        <v>15.087</v>
      </c>
      <c r="D24" s="58">
        <v>355.55200000000002</v>
      </c>
      <c r="E24" s="58">
        <v>212.56200000000001</v>
      </c>
      <c r="F24" s="58">
        <v>142.989</v>
      </c>
      <c r="G24" s="58">
        <v>173.108</v>
      </c>
      <c r="H24" s="58">
        <v>137.11699999999999</v>
      </c>
      <c r="I24" s="58">
        <v>35.991</v>
      </c>
      <c r="J24" s="58">
        <v>182.44399999999999</v>
      </c>
      <c r="K24" s="58">
        <v>75.444999999999993</v>
      </c>
      <c r="L24" s="58">
        <v>106.999</v>
      </c>
      <c r="M24" s="58">
        <v>196.73400000000001</v>
      </c>
      <c r="N24" s="58">
        <v>155.286</v>
      </c>
      <c r="O24" s="58">
        <v>41.448</v>
      </c>
      <c r="P24" s="58">
        <v>193.93899999999999</v>
      </c>
      <c r="Q24" s="58">
        <v>79.116</v>
      </c>
      <c r="R24" s="58">
        <v>114.82299999999999</v>
      </c>
      <c r="S24" s="58">
        <v>198.316</v>
      </c>
      <c r="T24" s="58">
        <v>87.254999999999995</v>
      </c>
      <c r="U24" s="58">
        <v>111.06100000000001</v>
      </c>
      <c r="V24" s="58">
        <v>2563.172</v>
      </c>
      <c r="W24" s="58">
        <v>1387.7529999999999</v>
      </c>
      <c r="X24" s="58">
        <v>1175.42</v>
      </c>
      <c r="Y24" s="58">
        <v>1876.923</v>
      </c>
      <c r="Z24" s="58">
        <v>1267.7339999999999</v>
      </c>
      <c r="AA24" s="58">
        <v>609.18899999999996</v>
      </c>
      <c r="AB24" s="58">
        <v>686.24900000000002</v>
      </c>
      <c r="AC24" s="58">
        <v>120.01900000000001</v>
      </c>
      <c r="AD24" s="58">
        <v>566.23</v>
      </c>
      <c r="AE24" s="58">
        <v>323.90699999999998</v>
      </c>
      <c r="AF24" s="58">
        <v>161.136</v>
      </c>
      <c r="AG24" s="58">
        <v>162.77199999999999</v>
      </c>
      <c r="AH24" s="58">
        <v>53.619</v>
      </c>
      <c r="AI24" s="58">
        <v>29.951000000000001</v>
      </c>
      <c r="AJ24" s="58">
        <v>23.667999999999999</v>
      </c>
      <c r="AK24" s="58">
        <v>25.783000000000001</v>
      </c>
      <c r="AL24" s="58">
        <v>21.411000000000001</v>
      </c>
      <c r="AM24" s="58">
        <v>4.3719999999999999</v>
      </c>
      <c r="AN24" s="58">
        <v>10.349</v>
      </c>
      <c r="AO24" s="58">
        <v>7.5090000000000003</v>
      </c>
      <c r="AP24" s="58">
        <v>2.84</v>
      </c>
      <c r="AQ24" s="58">
        <v>15.433999999999999</v>
      </c>
      <c r="AR24" s="58">
        <v>13.901999999999999</v>
      </c>
      <c r="AS24" s="58">
        <v>1.5329999999999999</v>
      </c>
      <c r="AT24" s="58">
        <v>27.837</v>
      </c>
      <c r="AU24" s="58">
        <v>8.5410000000000004</v>
      </c>
      <c r="AV24" s="58">
        <v>19.295999999999999</v>
      </c>
      <c r="AW24" s="58">
        <v>293.83100000000002</v>
      </c>
      <c r="AX24" s="58">
        <v>141.94499999999999</v>
      </c>
      <c r="AY24" s="58">
        <v>151.886</v>
      </c>
      <c r="AZ24" s="58">
        <v>130.04</v>
      </c>
      <c r="BA24" s="58">
        <v>98.988</v>
      </c>
      <c r="BB24" s="58">
        <v>31.053000000000001</v>
      </c>
      <c r="BC24" s="58">
        <v>163.79</v>
      </c>
      <c r="BD24" s="58">
        <v>42.957000000000001</v>
      </c>
      <c r="BE24" s="58">
        <v>120.833</v>
      </c>
      <c r="BF24" s="58">
        <v>149.08799999999999</v>
      </c>
      <c r="BG24" s="58">
        <v>114.574</v>
      </c>
      <c r="BH24" s="58">
        <v>34.514000000000003</v>
      </c>
      <c r="BI24" s="58">
        <v>174.81899999999999</v>
      </c>
      <c r="BJ24" s="58">
        <v>46.561</v>
      </c>
      <c r="BK24" s="58">
        <v>128.25700000000001</v>
      </c>
      <c r="BL24" s="58">
        <v>174.13900000000001</v>
      </c>
      <c r="BM24" s="58">
        <v>50.466000000000001</v>
      </c>
      <c r="BN24" s="58">
        <v>123.673</v>
      </c>
      <c r="BO24" s="58">
        <v>2496.1309999999999</v>
      </c>
      <c r="BP24" s="58">
        <v>1300.6210000000001</v>
      </c>
      <c r="BQ24" s="58">
        <v>1195.51</v>
      </c>
      <c r="BR24" s="58">
        <v>1874.4490000000001</v>
      </c>
      <c r="BS24" s="58">
        <v>1173.704</v>
      </c>
      <c r="BT24" s="58">
        <v>700.745</v>
      </c>
      <c r="BU24" s="58">
        <v>621.68200000000002</v>
      </c>
      <c r="BV24" s="58">
        <v>126.917</v>
      </c>
      <c r="BW24" s="58">
        <v>494.76499999999999</v>
      </c>
      <c r="BX24" s="58">
        <v>335.40800000000002</v>
      </c>
      <c r="BY24" s="58">
        <v>166.857</v>
      </c>
      <c r="BZ24" s="58">
        <v>168.55099999999999</v>
      </c>
      <c r="CA24" s="58">
        <v>60.44</v>
      </c>
      <c r="CB24" s="58">
        <v>33.875</v>
      </c>
      <c r="CC24" s="58">
        <v>26.565999999999999</v>
      </c>
      <c r="CD24" s="58">
        <v>22.765000000000001</v>
      </c>
      <c r="CE24" s="58">
        <v>17.940000000000001</v>
      </c>
      <c r="CF24" s="58">
        <v>4.8259999999999996</v>
      </c>
      <c r="CG24" s="58">
        <v>8.1980000000000004</v>
      </c>
      <c r="CH24" s="58">
        <v>4.9359999999999999</v>
      </c>
      <c r="CI24" s="58">
        <v>3.262</v>
      </c>
      <c r="CJ24" s="58">
        <v>14.568</v>
      </c>
      <c r="CK24" s="58">
        <v>13.004</v>
      </c>
      <c r="CL24" s="58">
        <v>1.5640000000000001</v>
      </c>
      <c r="CM24" s="58">
        <v>37.674999999999997</v>
      </c>
      <c r="CN24" s="58">
        <v>15.935</v>
      </c>
      <c r="CO24" s="58">
        <v>21.74</v>
      </c>
      <c r="CP24" s="58">
        <v>301.166</v>
      </c>
      <c r="CQ24" s="58">
        <v>145.44800000000001</v>
      </c>
      <c r="CR24" s="58">
        <v>155.71799999999999</v>
      </c>
      <c r="CS24" s="58">
        <v>126.294</v>
      </c>
      <c r="CT24" s="58">
        <v>91.203000000000003</v>
      </c>
      <c r="CU24" s="58">
        <v>35.091000000000001</v>
      </c>
      <c r="CV24" s="58">
        <v>174.87200000000001</v>
      </c>
      <c r="CW24" s="58">
        <v>54.246000000000002</v>
      </c>
      <c r="CX24" s="58">
        <v>120.626</v>
      </c>
      <c r="CY24" s="58">
        <v>145.47399999999999</v>
      </c>
      <c r="CZ24" s="58">
        <v>106.904</v>
      </c>
      <c r="DA24" s="58">
        <v>38.57</v>
      </c>
      <c r="DB24" s="58">
        <v>189.934</v>
      </c>
      <c r="DC24" s="58">
        <v>59.953000000000003</v>
      </c>
      <c r="DD24" s="58">
        <v>129.98099999999999</v>
      </c>
      <c r="DE24" s="58">
        <v>183.07</v>
      </c>
      <c r="DF24" s="58">
        <v>59.182000000000002</v>
      </c>
      <c r="DG24" s="58">
        <v>123.88800000000001</v>
      </c>
      <c r="DH24" s="58">
        <v>2116.808</v>
      </c>
      <c r="DI24" s="58">
        <v>1188.1759999999999</v>
      </c>
      <c r="DJ24" s="58">
        <v>928.63199999999995</v>
      </c>
      <c r="DK24" s="58">
        <v>1337.8140000000001</v>
      </c>
      <c r="DL24" s="58">
        <v>901.95</v>
      </c>
      <c r="DM24" s="58">
        <v>435.86399999999998</v>
      </c>
      <c r="DN24" s="58">
        <v>778.99400000000003</v>
      </c>
      <c r="DO24" s="58">
        <v>286.226</v>
      </c>
      <c r="DP24" s="58">
        <v>492.76799999999997</v>
      </c>
      <c r="DQ24" s="58">
        <v>241.023</v>
      </c>
      <c r="DR24" s="58">
        <v>136.84200000000001</v>
      </c>
      <c r="DS24" s="58">
        <v>104.181</v>
      </c>
      <c r="DT24" s="58">
        <v>73.515000000000001</v>
      </c>
      <c r="DU24" s="58">
        <v>43.265999999999998</v>
      </c>
      <c r="DV24" s="58">
        <v>30.248999999999999</v>
      </c>
      <c r="DW24" s="58">
        <v>23.041</v>
      </c>
      <c r="DX24" s="58">
        <v>21.699000000000002</v>
      </c>
      <c r="DY24" s="58">
        <v>1.343</v>
      </c>
      <c r="DZ24" s="58">
        <v>12.861000000000001</v>
      </c>
      <c r="EA24" s="58">
        <v>11.87</v>
      </c>
      <c r="EB24" s="58">
        <v>0.99199999999999999</v>
      </c>
      <c r="EC24" s="58">
        <v>10.18</v>
      </c>
      <c r="ED24" s="58">
        <v>9.8290000000000006</v>
      </c>
      <c r="EE24" s="58">
        <v>0.35099999999999998</v>
      </c>
      <c r="EF24" s="58">
        <v>50.473999999999997</v>
      </c>
      <c r="EG24" s="58">
        <v>21.568000000000001</v>
      </c>
      <c r="EH24" s="58">
        <v>28.905999999999999</v>
      </c>
      <c r="EI24" s="58">
        <v>193.357</v>
      </c>
      <c r="EJ24" s="58">
        <v>107.24299999999999</v>
      </c>
      <c r="EK24" s="58">
        <v>86.114000000000004</v>
      </c>
      <c r="EL24" s="58">
        <v>67.662999999999997</v>
      </c>
      <c r="EM24" s="58">
        <v>50.74</v>
      </c>
      <c r="EN24" s="58">
        <v>16.922999999999998</v>
      </c>
      <c r="EO24" s="58">
        <v>125.694</v>
      </c>
      <c r="EP24" s="58">
        <v>56.503</v>
      </c>
      <c r="EQ24" s="58">
        <v>69.191000000000003</v>
      </c>
      <c r="ER24" s="58">
        <v>85.503</v>
      </c>
      <c r="ES24" s="58">
        <v>67.236999999999995</v>
      </c>
      <c r="ET24" s="58">
        <v>18.265999999999998</v>
      </c>
      <c r="EU24" s="58">
        <v>155.52000000000001</v>
      </c>
      <c r="EV24" s="58">
        <v>69.605000000000004</v>
      </c>
      <c r="EW24" s="58">
        <v>85.915999999999997</v>
      </c>
      <c r="EX24" s="58">
        <v>138.55500000000001</v>
      </c>
      <c r="EY24" s="58">
        <v>68.373000000000005</v>
      </c>
      <c r="EZ24" s="58">
        <v>70.182000000000002</v>
      </c>
      <c r="FA24" s="58">
        <v>1684.711</v>
      </c>
      <c r="FB24" s="58">
        <v>921.81500000000005</v>
      </c>
      <c r="FC24" s="58">
        <v>762.89700000000005</v>
      </c>
      <c r="FD24" s="58">
        <v>1142.9690000000001</v>
      </c>
      <c r="FE24" s="58">
        <v>762.202</v>
      </c>
      <c r="FF24" s="58">
        <v>380.767</v>
      </c>
      <c r="FG24" s="58">
        <v>541.74199999999996</v>
      </c>
      <c r="FH24" s="58">
        <v>159.613</v>
      </c>
      <c r="FI24" s="58">
        <v>382.12900000000002</v>
      </c>
      <c r="FJ24" s="58">
        <v>200.95599999999999</v>
      </c>
      <c r="FK24" s="58">
        <v>111.685</v>
      </c>
      <c r="FL24" s="58">
        <v>89.271000000000001</v>
      </c>
      <c r="FM24" s="58">
        <v>54.375</v>
      </c>
      <c r="FN24" s="58">
        <v>32.658999999999999</v>
      </c>
      <c r="FO24" s="58">
        <v>21.716000000000001</v>
      </c>
      <c r="FP24" s="58">
        <v>19.155000000000001</v>
      </c>
      <c r="FQ24" s="58">
        <v>18.617000000000001</v>
      </c>
      <c r="FR24" s="58">
        <v>0.53900000000000003</v>
      </c>
      <c r="FS24" s="58">
        <v>11.113</v>
      </c>
      <c r="FT24" s="58">
        <v>10.68</v>
      </c>
      <c r="FU24" s="58">
        <v>0.433</v>
      </c>
      <c r="FV24" s="58">
        <v>8.0419999999999998</v>
      </c>
      <c r="FW24" s="58">
        <v>7.9359999999999999</v>
      </c>
      <c r="FX24" s="58">
        <v>0.106</v>
      </c>
      <c r="FY24" s="58">
        <v>35.219000000000001</v>
      </c>
      <c r="FZ24" s="58">
        <v>14.042999999999999</v>
      </c>
      <c r="GA24" s="58">
        <v>21.177</v>
      </c>
      <c r="GB24" s="58">
        <v>168.023</v>
      </c>
      <c r="GC24" s="58">
        <v>90.712000000000003</v>
      </c>
      <c r="GD24" s="58">
        <v>77.311000000000007</v>
      </c>
      <c r="GE24" s="58">
        <v>65.069999999999993</v>
      </c>
      <c r="GF24" s="58">
        <v>48.683999999999997</v>
      </c>
      <c r="GG24" s="58">
        <v>16.385999999999999</v>
      </c>
      <c r="GH24" s="58">
        <v>102.952</v>
      </c>
      <c r="GI24" s="58">
        <v>42.027000000000001</v>
      </c>
      <c r="GJ24" s="58">
        <v>60.924999999999997</v>
      </c>
      <c r="GK24" s="58">
        <v>79.024000000000001</v>
      </c>
      <c r="GL24" s="58">
        <v>62.1</v>
      </c>
      <c r="GM24" s="58">
        <v>16.925000000000001</v>
      </c>
      <c r="GN24" s="58">
        <v>121.932</v>
      </c>
      <c r="GO24" s="58">
        <v>49.585999999999999</v>
      </c>
      <c r="GP24" s="58">
        <v>72.346000000000004</v>
      </c>
      <c r="GQ24" s="58">
        <v>114.065</v>
      </c>
      <c r="GR24" s="58">
        <v>52.707999999999998</v>
      </c>
      <c r="GS24" s="58">
        <v>61.357999999999997</v>
      </c>
      <c r="GT24" s="58">
        <v>432.096</v>
      </c>
      <c r="GU24" s="58">
        <v>266.36099999999999</v>
      </c>
      <c r="GV24" s="58">
        <v>165.73500000000001</v>
      </c>
      <c r="GW24" s="58">
        <v>194.845</v>
      </c>
      <c r="GX24" s="58">
        <v>139.74799999999999</v>
      </c>
      <c r="GY24" s="58">
        <v>55.097000000000001</v>
      </c>
      <c r="GZ24" s="58">
        <v>237.251</v>
      </c>
      <c r="HA24" s="58">
        <v>126.613</v>
      </c>
      <c r="HB24" s="58">
        <v>110.63800000000001</v>
      </c>
      <c r="HC24" s="58">
        <v>40.067</v>
      </c>
      <c r="HD24" s="58">
        <v>25.157</v>
      </c>
      <c r="HE24" s="58">
        <v>14.911</v>
      </c>
      <c r="HF24" s="58">
        <v>19.140999999999998</v>
      </c>
      <c r="HG24" s="58">
        <v>10.606999999999999</v>
      </c>
      <c r="HH24" s="58">
        <v>8.5329999999999995</v>
      </c>
      <c r="HI24" s="58">
        <v>3.8860000000000001</v>
      </c>
      <c r="HJ24" s="58">
        <v>3.0819999999999999</v>
      </c>
      <c r="HK24" s="58">
        <v>0.80400000000000005</v>
      </c>
      <c r="HL24" s="58">
        <v>1.748</v>
      </c>
      <c r="HM24" s="58">
        <v>1.1890000000000001</v>
      </c>
      <c r="HN24" s="58">
        <v>0.55900000000000005</v>
      </c>
      <c r="HO24" s="58">
        <v>2.1379999999999999</v>
      </c>
      <c r="HP24" s="58">
        <v>1.893</v>
      </c>
      <c r="HQ24" s="58">
        <v>0.245</v>
      </c>
      <c r="HR24" s="58">
        <v>15.255000000000001</v>
      </c>
      <c r="HS24" s="58">
        <v>7.5250000000000004</v>
      </c>
      <c r="HT24" s="58">
        <v>7.73</v>
      </c>
      <c r="HU24" s="58">
        <v>25.334</v>
      </c>
      <c r="HV24" s="58">
        <v>16.532</v>
      </c>
      <c r="HW24" s="58">
        <v>8.8030000000000008</v>
      </c>
      <c r="HX24" s="58">
        <v>2.593</v>
      </c>
      <c r="HY24" s="58">
        <v>2.056</v>
      </c>
      <c r="HZ24" s="58">
        <v>0.53700000000000003</v>
      </c>
      <c r="IA24" s="58">
        <v>22.742000000000001</v>
      </c>
      <c r="IB24" s="58">
        <v>14.476000000000001</v>
      </c>
      <c r="IC24" s="58">
        <v>8.266</v>
      </c>
      <c r="ID24" s="58">
        <v>6.4790000000000001</v>
      </c>
      <c r="IE24" s="58">
        <v>5.1379999999999999</v>
      </c>
      <c r="IF24" s="58">
        <v>1.341</v>
      </c>
      <c r="IG24" s="58">
        <v>33.588999999999999</v>
      </c>
      <c r="IH24" s="58">
        <v>20.018999999999998</v>
      </c>
      <c r="II24" s="58">
        <v>13.57</v>
      </c>
      <c r="IJ24" s="58">
        <v>24.49</v>
      </c>
      <c r="IK24" s="58">
        <v>15.664999999999999</v>
      </c>
      <c r="IL24" s="58">
        <v>8.8249999999999993</v>
      </c>
      <c r="IM24" s="58">
        <v>3708.7849999999999</v>
      </c>
      <c r="IN24" s="58">
        <v>1986.758</v>
      </c>
      <c r="IO24" s="58">
        <v>1722.027</v>
      </c>
      <c r="IP24" s="58">
        <v>2604.7930000000001</v>
      </c>
      <c r="IQ24" s="58">
        <v>1646.75</v>
      </c>
    </row>
    <row r="25" spans="1:251">
      <c r="A25" s="5">
        <v>42248</v>
      </c>
      <c r="B25" s="58">
        <v>9.2479999999999993</v>
      </c>
      <c r="C25" s="58">
        <v>17.37</v>
      </c>
      <c r="D25" s="58">
        <v>354.93799999999999</v>
      </c>
      <c r="E25" s="58">
        <v>200.71299999999999</v>
      </c>
      <c r="F25" s="58">
        <v>154.22499999999999</v>
      </c>
      <c r="G25" s="58">
        <v>168.26400000000001</v>
      </c>
      <c r="H25" s="58">
        <v>126.92100000000001</v>
      </c>
      <c r="I25" s="58">
        <v>41.343000000000004</v>
      </c>
      <c r="J25" s="58">
        <v>186.67400000000001</v>
      </c>
      <c r="K25" s="58">
        <v>73.792000000000002</v>
      </c>
      <c r="L25" s="58">
        <v>112.88200000000001</v>
      </c>
      <c r="M25" s="58">
        <v>193.767</v>
      </c>
      <c r="N25" s="58">
        <v>145.26</v>
      </c>
      <c r="O25" s="58">
        <v>48.506999999999998</v>
      </c>
      <c r="P25" s="58">
        <v>201.00399999999999</v>
      </c>
      <c r="Q25" s="58">
        <v>77.744</v>
      </c>
      <c r="R25" s="58">
        <v>123.26</v>
      </c>
      <c r="S25" s="58">
        <v>202.98500000000001</v>
      </c>
      <c r="T25" s="58">
        <v>84.316000000000003</v>
      </c>
      <c r="U25" s="58">
        <v>118.669</v>
      </c>
      <c r="V25" s="58">
        <v>2555.337</v>
      </c>
      <c r="W25" s="58">
        <v>1378.865</v>
      </c>
      <c r="X25" s="58">
        <v>1176.472</v>
      </c>
      <c r="Y25" s="58">
        <v>1880.739</v>
      </c>
      <c r="Z25" s="58">
        <v>1253.893</v>
      </c>
      <c r="AA25" s="58">
        <v>626.84500000000003</v>
      </c>
      <c r="AB25" s="58">
        <v>674.59900000000005</v>
      </c>
      <c r="AC25" s="58">
        <v>124.97199999999999</v>
      </c>
      <c r="AD25" s="58">
        <v>549.62699999999995</v>
      </c>
      <c r="AE25" s="58">
        <v>341.74400000000003</v>
      </c>
      <c r="AF25" s="58">
        <v>179.37899999999999</v>
      </c>
      <c r="AG25" s="58">
        <v>162.36500000000001</v>
      </c>
      <c r="AH25" s="58">
        <v>66.697999999999993</v>
      </c>
      <c r="AI25" s="58">
        <v>40.01</v>
      </c>
      <c r="AJ25" s="58">
        <v>26.687999999999999</v>
      </c>
      <c r="AK25" s="58">
        <v>35.113999999999997</v>
      </c>
      <c r="AL25" s="58">
        <v>26.974</v>
      </c>
      <c r="AM25" s="58">
        <v>8.14</v>
      </c>
      <c r="AN25" s="58">
        <v>12.481999999999999</v>
      </c>
      <c r="AO25" s="58">
        <v>9.5939999999999994</v>
      </c>
      <c r="AP25" s="58">
        <v>2.8879999999999999</v>
      </c>
      <c r="AQ25" s="58">
        <v>22.631</v>
      </c>
      <c r="AR25" s="58">
        <v>17.38</v>
      </c>
      <c r="AS25" s="58">
        <v>5.2519999999999998</v>
      </c>
      <c r="AT25" s="58">
        <v>31.584</v>
      </c>
      <c r="AU25" s="58">
        <v>13.036</v>
      </c>
      <c r="AV25" s="58">
        <v>18.547999999999998</v>
      </c>
      <c r="AW25" s="58">
        <v>302.78899999999999</v>
      </c>
      <c r="AX25" s="58">
        <v>155.33699999999999</v>
      </c>
      <c r="AY25" s="58">
        <v>147.452</v>
      </c>
      <c r="AZ25" s="58">
        <v>126.026</v>
      </c>
      <c r="BA25" s="58">
        <v>100.449</v>
      </c>
      <c r="BB25" s="58">
        <v>25.577000000000002</v>
      </c>
      <c r="BC25" s="58">
        <v>176.76300000000001</v>
      </c>
      <c r="BD25" s="58">
        <v>54.887999999999998</v>
      </c>
      <c r="BE25" s="58">
        <v>121.875</v>
      </c>
      <c r="BF25" s="58">
        <v>154.239</v>
      </c>
      <c r="BG25" s="58">
        <v>121.286</v>
      </c>
      <c r="BH25" s="58">
        <v>32.951999999999998</v>
      </c>
      <c r="BI25" s="58">
        <v>187.505</v>
      </c>
      <c r="BJ25" s="58">
        <v>58.093000000000004</v>
      </c>
      <c r="BK25" s="58">
        <v>129.41200000000001</v>
      </c>
      <c r="BL25" s="58">
        <v>189.245</v>
      </c>
      <c r="BM25" s="58">
        <v>64.481999999999999</v>
      </c>
      <c r="BN25" s="58">
        <v>124.76300000000001</v>
      </c>
      <c r="BO25" s="58">
        <v>2502.5749999999998</v>
      </c>
      <c r="BP25" s="58">
        <v>1311.479</v>
      </c>
      <c r="BQ25" s="58">
        <v>1191.096</v>
      </c>
      <c r="BR25" s="58">
        <v>1890.5519999999999</v>
      </c>
      <c r="BS25" s="58">
        <v>1186.7329999999999</v>
      </c>
      <c r="BT25" s="58">
        <v>703.81899999999996</v>
      </c>
      <c r="BU25" s="58">
        <v>612.02200000000005</v>
      </c>
      <c r="BV25" s="58">
        <v>124.745</v>
      </c>
      <c r="BW25" s="58">
        <v>487.27699999999999</v>
      </c>
      <c r="BX25" s="58">
        <v>352.76</v>
      </c>
      <c r="BY25" s="58">
        <v>179.79</v>
      </c>
      <c r="BZ25" s="58">
        <v>172.97</v>
      </c>
      <c r="CA25" s="58">
        <v>80.135000000000005</v>
      </c>
      <c r="CB25" s="58">
        <v>46.439</v>
      </c>
      <c r="CC25" s="58">
        <v>33.695999999999998</v>
      </c>
      <c r="CD25" s="58">
        <v>40.69</v>
      </c>
      <c r="CE25" s="58">
        <v>31.489000000000001</v>
      </c>
      <c r="CF25" s="58">
        <v>9.2010000000000005</v>
      </c>
      <c r="CG25" s="58">
        <v>17.614999999999998</v>
      </c>
      <c r="CH25" s="58">
        <v>13.228999999999999</v>
      </c>
      <c r="CI25" s="58">
        <v>4.3860000000000001</v>
      </c>
      <c r="CJ25" s="58">
        <v>23.074999999999999</v>
      </c>
      <c r="CK25" s="58">
        <v>18.260000000000002</v>
      </c>
      <c r="CL25" s="58">
        <v>4.8150000000000004</v>
      </c>
      <c r="CM25" s="58">
        <v>39.445</v>
      </c>
      <c r="CN25" s="58">
        <v>14.95</v>
      </c>
      <c r="CO25" s="58">
        <v>24.495000000000001</v>
      </c>
      <c r="CP25" s="58">
        <v>305.346</v>
      </c>
      <c r="CQ25" s="58">
        <v>153.86699999999999</v>
      </c>
      <c r="CR25" s="58">
        <v>151.47900000000001</v>
      </c>
      <c r="CS25" s="58">
        <v>134.32900000000001</v>
      </c>
      <c r="CT25" s="58">
        <v>97.551000000000002</v>
      </c>
      <c r="CU25" s="58">
        <v>36.777999999999999</v>
      </c>
      <c r="CV25" s="58">
        <v>171.017</v>
      </c>
      <c r="CW25" s="58">
        <v>56.314999999999998</v>
      </c>
      <c r="CX25" s="58">
        <v>114.70099999999999</v>
      </c>
      <c r="CY25" s="58">
        <v>164.959</v>
      </c>
      <c r="CZ25" s="58">
        <v>119.869</v>
      </c>
      <c r="DA25" s="58">
        <v>45.091000000000001</v>
      </c>
      <c r="DB25" s="58">
        <v>187.80099999999999</v>
      </c>
      <c r="DC25" s="58">
        <v>59.921999999999997</v>
      </c>
      <c r="DD25" s="58">
        <v>127.879</v>
      </c>
      <c r="DE25" s="58">
        <v>188.63200000000001</v>
      </c>
      <c r="DF25" s="58">
        <v>69.545000000000002</v>
      </c>
      <c r="DG25" s="58">
        <v>119.087</v>
      </c>
      <c r="DH25" s="58">
        <v>2136.605</v>
      </c>
      <c r="DI25" s="58">
        <v>1197.0630000000001</v>
      </c>
      <c r="DJ25" s="58">
        <v>939.54100000000005</v>
      </c>
      <c r="DK25" s="58">
        <v>1346.337</v>
      </c>
      <c r="DL25" s="58">
        <v>899.90899999999999</v>
      </c>
      <c r="DM25" s="58">
        <v>446.428</v>
      </c>
      <c r="DN25" s="58">
        <v>790.26700000000005</v>
      </c>
      <c r="DO25" s="58">
        <v>297.154</v>
      </c>
      <c r="DP25" s="58">
        <v>493.113</v>
      </c>
      <c r="DQ25" s="58">
        <v>221.404</v>
      </c>
      <c r="DR25" s="58">
        <v>117.645</v>
      </c>
      <c r="DS25" s="58">
        <v>103.758</v>
      </c>
      <c r="DT25" s="58">
        <v>61.485999999999997</v>
      </c>
      <c r="DU25" s="58">
        <v>38.71</v>
      </c>
      <c r="DV25" s="58">
        <v>22.776</v>
      </c>
      <c r="DW25" s="58">
        <v>23.571999999999999</v>
      </c>
      <c r="DX25" s="58">
        <v>20.556000000000001</v>
      </c>
      <c r="DY25" s="58">
        <v>3.016</v>
      </c>
      <c r="DZ25" s="58">
        <v>8.8059999999999992</v>
      </c>
      <c r="EA25" s="58">
        <v>7.4619999999999997</v>
      </c>
      <c r="EB25" s="58">
        <v>1.3440000000000001</v>
      </c>
      <c r="EC25" s="58">
        <v>14.766</v>
      </c>
      <c r="ED25" s="58">
        <v>13.093999999999999</v>
      </c>
      <c r="EE25" s="58">
        <v>1.6719999999999999</v>
      </c>
      <c r="EF25" s="58">
        <v>37.914000000000001</v>
      </c>
      <c r="EG25" s="58">
        <v>18.154</v>
      </c>
      <c r="EH25" s="58">
        <v>19.760000000000002</v>
      </c>
      <c r="EI25" s="58">
        <v>180.33600000000001</v>
      </c>
      <c r="EJ25" s="58">
        <v>90.884</v>
      </c>
      <c r="EK25" s="58">
        <v>89.450999999999993</v>
      </c>
      <c r="EL25" s="58">
        <v>52.21</v>
      </c>
      <c r="EM25" s="58">
        <v>37.930999999999997</v>
      </c>
      <c r="EN25" s="58">
        <v>14.279</v>
      </c>
      <c r="EO25" s="58">
        <v>128.125</v>
      </c>
      <c r="EP25" s="58">
        <v>52.953000000000003</v>
      </c>
      <c r="EQ25" s="58">
        <v>75.171999999999997</v>
      </c>
      <c r="ER25" s="58">
        <v>70.498000000000005</v>
      </c>
      <c r="ES25" s="58">
        <v>53.587000000000003</v>
      </c>
      <c r="ET25" s="58">
        <v>16.911000000000001</v>
      </c>
      <c r="EU25" s="58">
        <v>150.90600000000001</v>
      </c>
      <c r="EV25" s="58">
        <v>64.058000000000007</v>
      </c>
      <c r="EW25" s="58">
        <v>86.847999999999999</v>
      </c>
      <c r="EX25" s="58">
        <v>136.93100000000001</v>
      </c>
      <c r="EY25" s="58">
        <v>60.414999999999999</v>
      </c>
      <c r="EZ25" s="58">
        <v>76.516000000000005</v>
      </c>
      <c r="FA25" s="58">
        <v>1697.145</v>
      </c>
      <c r="FB25" s="58">
        <v>923.03700000000003</v>
      </c>
      <c r="FC25" s="58">
        <v>774.10900000000004</v>
      </c>
      <c r="FD25" s="58">
        <v>1148.0509999999999</v>
      </c>
      <c r="FE25" s="58">
        <v>755.02599999999995</v>
      </c>
      <c r="FF25" s="58">
        <v>393.02499999999998</v>
      </c>
      <c r="FG25" s="58">
        <v>549.09500000000003</v>
      </c>
      <c r="FH25" s="58">
        <v>168.011</v>
      </c>
      <c r="FI25" s="58">
        <v>381.08300000000003</v>
      </c>
      <c r="FJ25" s="58">
        <v>182.20500000000001</v>
      </c>
      <c r="FK25" s="58">
        <v>95.438999999999993</v>
      </c>
      <c r="FL25" s="58">
        <v>86.766999999999996</v>
      </c>
      <c r="FM25" s="58">
        <v>44.692999999999998</v>
      </c>
      <c r="FN25" s="58">
        <v>28.581</v>
      </c>
      <c r="FO25" s="58">
        <v>16.111999999999998</v>
      </c>
      <c r="FP25" s="58">
        <v>21.277000000000001</v>
      </c>
      <c r="FQ25" s="58">
        <v>18.262</v>
      </c>
      <c r="FR25" s="58">
        <v>3.016</v>
      </c>
      <c r="FS25" s="58">
        <v>8.2799999999999994</v>
      </c>
      <c r="FT25" s="58">
        <v>6.9370000000000003</v>
      </c>
      <c r="FU25" s="58">
        <v>1.3440000000000001</v>
      </c>
      <c r="FV25" s="58">
        <v>12.997</v>
      </c>
      <c r="FW25" s="58">
        <v>11.324999999999999</v>
      </c>
      <c r="FX25" s="58">
        <v>1.6719999999999999</v>
      </c>
      <c r="FY25" s="58">
        <v>23.416</v>
      </c>
      <c r="FZ25" s="58">
        <v>10.32</v>
      </c>
      <c r="GA25" s="58">
        <v>13.096</v>
      </c>
      <c r="GB25" s="58">
        <v>153.083</v>
      </c>
      <c r="GC25" s="58">
        <v>76.393000000000001</v>
      </c>
      <c r="GD25" s="58">
        <v>76.688999999999993</v>
      </c>
      <c r="GE25" s="58">
        <v>48.642000000000003</v>
      </c>
      <c r="GF25" s="58">
        <v>35.817</v>
      </c>
      <c r="GG25" s="58">
        <v>12.824999999999999</v>
      </c>
      <c r="GH25" s="58">
        <v>104.441</v>
      </c>
      <c r="GI25" s="58">
        <v>40.576000000000001</v>
      </c>
      <c r="GJ25" s="58">
        <v>63.865000000000002</v>
      </c>
      <c r="GK25" s="58">
        <v>65.051000000000002</v>
      </c>
      <c r="GL25" s="58">
        <v>49.594999999999999</v>
      </c>
      <c r="GM25" s="58">
        <v>15.456</v>
      </c>
      <c r="GN25" s="58">
        <v>117.154</v>
      </c>
      <c r="GO25" s="58">
        <v>45.844000000000001</v>
      </c>
      <c r="GP25" s="58">
        <v>71.31</v>
      </c>
      <c r="GQ25" s="58">
        <v>112.721</v>
      </c>
      <c r="GR25" s="58">
        <v>47.512999999999998</v>
      </c>
      <c r="GS25" s="58">
        <v>65.207999999999998</v>
      </c>
      <c r="GT25" s="58">
        <v>439.459</v>
      </c>
      <c r="GU25" s="58">
        <v>274.02699999999999</v>
      </c>
      <c r="GV25" s="58">
        <v>165.43299999999999</v>
      </c>
      <c r="GW25" s="58">
        <v>198.28700000000001</v>
      </c>
      <c r="GX25" s="58">
        <v>144.88399999999999</v>
      </c>
      <c r="GY25" s="58">
        <v>53.402999999999999</v>
      </c>
      <c r="GZ25" s="58">
        <v>241.173</v>
      </c>
      <c r="HA25" s="58">
        <v>129.143</v>
      </c>
      <c r="HB25" s="58">
        <v>112.03</v>
      </c>
      <c r="HC25" s="58">
        <v>39.198999999999998</v>
      </c>
      <c r="HD25" s="58">
        <v>22.207000000000001</v>
      </c>
      <c r="HE25" s="58">
        <v>16.992000000000001</v>
      </c>
      <c r="HF25" s="58">
        <v>16.792999999999999</v>
      </c>
      <c r="HG25" s="58">
        <v>10.129</v>
      </c>
      <c r="HH25" s="58">
        <v>6.6639999999999997</v>
      </c>
      <c r="HI25" s="58">
        <v>2.294</v>
      </c>
      <c r="HJ25" s="58">
        <v>2.294</v>
      </c>
      <c r="HK25" s="58">
        <v>0</v>
      </c>
      <c r="HL25" s="58">
        <v>0.52600000000000002</v>
      </c>
      <c r="HM25" s="58">
        <v>0.52600000000000002</v>
      </c>
      <c r="HN25" s="58">
        <v>0</v>
      </c>
      <c r="HO25" s="58">
        <v>1.7689999999999999</v>
      </c>
      <c r="HP25" s="58">
        <v>1.7689999999999999</v>
      </c>
      <c r="HQ25" s="58">
        <v>0</v>
      </c>
      <c r="HR25" s="58">
        <v>14.499000000000001</v>
      </c>
      <c r="HS25" s="58">
        <v>7.835</v>
      </c>
      <c r="HT25" s="58">
        <v>6.6639999999999997</v>
      </c>
      <c r="HU25" s="58">
        <v>27.253</v>
      </c>
      <c r="HV25" s="58">
        <v>14.491</v>
      </c>
      <c r="HW25" s="58">
        <v>12.762</v>
      </c>
      <c r="HX25" s="58">
        <v>3.569</v>
      </c>
      <c r="HY25" s="58">
        <v>2.1139999999999999</v>
      </c>
      <c r="HZ25" s="58">
        <v>1.454</v>
      </c>
      <c r="IA25" s="58">
        <v>23.684000000000001</v>
      </c>
      <c r="IB25" s="58">
        <v>12.375999999999999</v>
      </c>
      <c r="IC25" s="58">
        <v>11.308</v>
      </c>
      <c r="ID25" s="58">
        <v>5.4470000000000001</v>
      </c>
      <c r="IE25" s="58">
        <v>3.992</v>
      </c>
      <c r="IF25" s="58">
        <v>1.454</v>
      </c>
      <c r="IG25" s="58">
        <v>33.752000000000002</v>
      </c>
      <c r="IH25" s="58">
        <v>18.215</v>
      </c>
      <c r="II25" s="58">
        <v>15.537000000000001</v>
      </c>
      <c r="IJ25" s="58">
        <v>24.21</v>
      </c>
      <c r="IK25" s="58">
        <v>12.901999999999999</v>
      </c>
      <c r="IL25" s="58">
        <v>11.308</v>
      </c>
      <c r="IM25" s="58">
        <v>3742.2660000000001</v>
      </c>
      <c r="IN25" s="58">
        <v>2000.576</v>
      </c>
      <c r="IO25" s="58">
        <v>1741.691</v>
      </c>
      <c r="IP25" s="58">
        <v>2619.1550000000002</v>
      </c>
      <c r="IQ25" s="58">
        <v>1636.076</v>
      </c>
    </row>
    <row r="26" spans="1:251">
      <c r="A26" s="5">
        <v>42278</v>
      </c>
      <c r="B26" s="58">
        <v>14.462</v>
      </c>
      <c r="C26" s="58">
        <v>17.498000000000001</v>
      </c>
      <c r="D26" s="58">
        <v>342.97800000000001</v>
      </c>
      <c r="E26" s="58">
        <v>199.07900000000001</v>
      </c>
      <c r="F26" s="58">
        <v>143.899</v>
      </c>
      <c r="G26" s="58">
        <v>162.31299999999999</v>
      </c>
      <c r="H26" s="58">
        <v>123.465</v>
      </c>
      <c r="I26" s="58">
        <v>38.847999999999999</v>
      </c>
      <c r="J26" s="58">
        <v>180.66499999999999</v>
      </c>
      <c r="K26" s="58">
        <v>75.614000000000004</v>
      </c>
      <c r="L26" s="58">
        <v>105.051</v>
      </c>
      <c r="M26" s="58">
        <v>178.12100000000001</v>
      </c>
      <c r="N26" s="58">
        <v>132.99</v>
      </c>
      <c r="O26" s="58">
        <v>45.131</v>
      </c>
      <c r="P26" s="58">
        <v>194.92400000000001</v>
      </c>
      <c r="Q26" s="58">
        <v>79.590999999999994</v>
      </c>
      <c r="R26" s="58">
        <v>115.333</v>
      </c>
      <c r="S26" s="58">
        <v>190.69200000000001</v>
      </c>
      <c r="T26" s="58">
        <v>83.555999999999997</v>
      </c>
      <c r="U26" s="58">
        <v>107.136</v>
      </c>
      <c r="V26" s="58">
        <v>2576.0630000000001</v>
      </c>
      <c r="W26" s="58">
        <v>1390.83</v>
      </c>
      <c r="X26" s="58">
        <v>1185.2329999999999</v>
      </c>
      <c r="Y26" s="58">
        <v>1883.646</v>
      </c>
      <c r="Z26" s="58">
        <v>1261.5409999999999</v>
      </c>
      <c r="AA26" s="58">
        <v>622.10500000000002</v>
      </c>
      <c r="AB26" s="58">
        <v>692.41700000000003</v>
      </c>
      <c r="AC26" s="58">
        <v>129.28899999999999</v>
      </c>
      <c r="AD26" s="58">
        <v>563.12800000000004</v>
      </c>
      <c r="AE26" s="58">
        <v>331.19600000000003</v>
      </c>
      <c r="AF26" s="58">
        <v>177.476</v>
      </c>
      <c r="AG26" s="58">
        <v>153.72</v>
      </c>
      <c r="AH26" s="58">
        <v>57.125</v>
      </c>
      <c r="AI26" s="58">
        <v>29.850999999999999</v>
      </c>
      <c r="AJ26" s="58">
        <v>27.273</v>
      </c>
      <c r="AK26" s="58">
        <v>26.146999999999998</v>
      </c>
      <c r="AL26" s="58">
        <v>19.166</v>
      </c>
      <c r="AM26" s="58">
        <v>6.9809999999999999</v>
      </c>
      <c r="AN26" s="58">
        <v>15.292999999999999</v>
      </c>
      <c r="AO26" s="58">
        <v>10.536</v>
      </c>
      <c r="AP26" s="58">
        <v>4.7569999999999997</v>
      </c>
      <c r="AQ26" s="58">
        <v>10.853999999999999</v>
      </c>
      <c r="AR26" s="58">
        <v>8.6300000000000008</v>
      </c>
      <c r="AS26" s="58">
        <v>2.2240000000000002</v>
      </c>
      <c r="AT26" s="58">
        <v>30.978000000000002</v>
      </c>
      <c r="AU26" s="58">
        <v>10.686</v>
      </c>
      <c r="AV26" s="58">
        <v>20.292000000000002</v>
      </c>
      <c r="AW26" s="58">
        <v>299.93799999999999</v>
      </c>
      <c r="AX26" s="58">
        <v>160.745</v>
      </c>
      <c r="AY26" s="58">
        <v>139.19300000000001</v>
      </c>
      <c r="AZ26" s="58">
        <v>128.333</v>
      </c>
      <c r="BA26" s="58">
        <v>105.822</v>
      </c>
      <c r="BB26" s="58">
        <v>22.510999999999999</v>
      </c>
      <c r="BC26" s="58">
        <v>171.60499999999999</v>
      </c>
      <c r="BD26" s="58">
        <v>54.923000000000002</v>
      </c>
      <c r="BE26" s="58">
        <v>116.682</v>
      </c>
      <c r="BF26" s="58">
        <v>148.52600000000001</v>
      </c>
      <c r="BG26" s="58">
        <v>120.068</v>
      </c>
      <c r="BH26" s="58">
        <v>28.459</v>
      </c>
      <c r="BI26" s="58">
        <v>182.66900000000001</v>
      </c>
      <c r="BJ26" s="58">
        <v>57.408000000000001</v>
      </c>
      <c r="BK26" s="58">
        <v>125.261</v>
      </c>
      <c r="BL26" s="58">
        <v>186.898</v>
      </c>
      <c r="BM26" s="58">
        <v>65.459000000000003</v>
      </c>
      <c r="BN26" s="58">
        <v>121.44</v>
      </c>
      <c r="BO26" s="58">
        <v>2498.098</v>
      </c>
      <c r="BP26" s="58">
        <v>1310.32</v>
      </c>
      <c r="BQ26" s="58">
        <v>1187.778</v>
      </c>
      <c r="BR26" s="58">
        <v>1870.681</v>
      </c>
      <c r="BS26" s="58">
        <v>1181.819</v>
      </c>
      <c r="BT26" s="58">
        <v>688.86199999999997</v>
      </c>
      <c r="BU26" s="58">
        <v>627.41800000000001</v>
      </c>
      <c r="BV26" s="58">
        <v>128.50200000000001</v>
      </c>
      <c r="BW26" s="58">
        <v>498.916</v>
      </c>
      <c r="BX26" s="58">
        <v>328.33</v>
      </c>
      <c r="BY26" s="58">
        <v>159.79300000000001</v>
      </c>
      <c r="BZ26" s="58">
        <v>168.53800000000001</v>
      </c>
      <c r="CA26" s="58">
        <v>57.131999999999998</v>
      </c>
      <c r="CB26" s="58">
        <v>32.543999999999997</v>
      </c>
      <c r="CC26" s="58">
        <v>24.588000000000001</v>
      </c>
      <c r="CD26" s="58">
        <v>29.798999999999999</v>
      </c>
      <c r="CE26" s="58">
        <v>21.904</v>
      </c>
      <c r="CF26" s="58">
        <v>7.8949999999999996</v>
      </c>
      <c r="CG26" s="58">
        <v>14.278</v>
      </c>
      <c r="CH26" s="58">
        <v>9.4949999999999992</v>
      </c>
      <c r="CI26" s="58">
        <v>4.7830000000000004</v>
      </c>
      <c r="CJ26" s="58">
        <v>15.521000000000001</v>
      </c>
      <c r="CK26" s="58">
        <v>12.409000000000001</v>
      </c>
      <c r="CL26" s="58">
        <v>3.1120000000000001</v>
      </c>
      <c r="CM26" s="58">
        <v>27.332999999999998</v>
      </c>
      <c r="CN26" s="58">
        <v>10.64</v>
      </c>
      <c r="CO26" s="58">
        <v>16.693000000000001</v>
      </c>
      <c r="CP26" s="58">
        <v>290.72699999999998</v>
      </c>
      <c r="CQ26" s="58">
        <v>138.47</v>
      </c>
      <c r="CR26" s="58">
        <v>152.25700000000001</v>
      </c>
      <c r="CS26" s="58">
        <v>118.70099999999999</v>
      </c>
      <c r="CT26" s="58">
        <v>85.679000000000002</v>
      </c>
      <c r="CU26" s="58">
        <v>33.023000000000003</v>
      </c>
      <c r="CV26" s="58">
        <v>172.02600000000001</v>
      </c>
      <c r="CW26" s="58">
        <v>52.792000000000002</v>
      </c>
      <c r="CX26" s="58">
        <v>119.23399999999999</v>
      </c>
      <c r="CY26" s="58">
        <v>141.19900000000001</v>
      </c>
      <c r="CZ26" s="58">
        <v>102.991</v>
      </c>
      <c r="DA26" s="58">
        <v>38.207999999999998</v>
      </c>
      <c r="DB26" s="58">
        <v>187.131</v>
      </c>
      <c r="DC26" s="58">
        <v>56.802</v>
      </c>
      <c r="DD26" s="58">
        <v>130.32900000000001</v>
      </c>
      <c r="DE26" s="58">
        <v>186.304</v>
      </c>
      <c r="DF26" s="58">
        <v>62.286999999999999</v>
      </c>
      <c r="DG26" s="58">
        <v>124.017</v>
      </c>
      <c r="DH26" s="58">
        <v>2176.8670000000002</v>
      </c>
      <c r="DI26" s="58">
        <v>1209.8219999999999</v>
      </c>
      <c r="DJ26" s="58">
        <v>967.04499999999996</v>
      </c>
      <c r="DK26" s="58">
        <v>1387.4369999999999</v>
      </c>
      <c r="DL26" s="58">
        <v>924.85</v>
      </c>
      <c r="DM26" s="58">
        <v>462.58699999999999</v>
      </c>
      <c r="DN26" s="58">
        <v>789.43</v>
      </c>
      <c r="DO26" s="58">
        <v>284.97199999999998</v>
      </c>
      <c r="DP26" s="58">
        <v>504.45800000000003</v>
      </c>
      <c r="DQ26" s="58">
        <v>227.78100000000001</v>
      </c>
      <c r="DR26" s="58">
        <v>126.367</v>
      </c>
      <c r="DS26" s="58">
        <v>101.414</v>
      </c>
      <c r="DT26" s="58">
        <v>68.414000000000001</v>
      </c>
      <c r="DU26" s="58">
        <v>44.191000000000003</v>
      </c>
      <c r="DV26" s="58">
        <v>24.222999999999999</v>
      </c>
      <c r="DW26" s="58">
        <v>26.414999999999999</v>
      </c>
      <c r="DX26" s="58">
        <v>20.981000000000002</v>
      </c>
      <c r="DY26" s="58">
        <v>5.4329999999999998</v>
      </c>
      <c r="DZ26" s="58">
        <v>17.884</v>
      </c>
      <c r="EA26" s="58">
        <v>13.545</v>
      </c>
      <c r="EB26" s="58">
        <v>4.3390000000000004</v>
      </c>
      <c r="EC26" s="58">
        <v>8.5310000000000006</v>
      </c>
      <c r="ED26" s="58">
        <v>7.4370000000000003</v>
      </c>
      <c r="EE26" s="58">
        <v>1.0940000000000001</v>
      </c>
      <c r="EF26" s="58">
        <v>41.999000000000002</v>
      </c>
      <c r="EG26" s="58">
        <v>23.21</v>
      </c>
      <c r="EH26" s="58">
        <v>18.789000000000001</v>
      </c>
      <c r="EI26" s="58">
        <v>180.20099999999999</v>
      </c>
      <c r="EJ26" s="58">
        <v>95.611000000000004</v>
      </c>
      <c r="EK26" s="58">
        <v>84.59</v>
      </c>
      <c r="EL26" s="58">
        <v>62.323999999999998</v>
      </c>
      <c r="EM26" s="58">
        <v>46.759</v>
      </c>
      <c r="EN26" s="58">
        <v>15.565</v>
      </c>
      <c r="EO26" s="58">
        <v>117.877</v>
      </c>
      <c r="EP26" s="58">
        <v>48.851999999999997</v>
      </c>
      <c r="EQ26" s="58">
        <v>69.025000000000006</v>
      </c>
      <c r="ER26" s="58">
        <v>82.16</v>
      </c>
      <c r="ES26" s="58">
        <v>62.796999999999997</v>
      </c>
      <c r="ET26" s="58">
        <v>19.363</v>
      </c>
      <c r="EU26" s="58">
        <v>145.62100000000001</v>
      </c>
      <c r="EV26" s="58">
        <v>63.57</v>
      </c>
      <c r="EW26" s="58">
        <v>82.051000000000002</v>
      </c>
      <c r="EX26" s="58">
        <v>135.76</v>
      </c>
      <c r="EY26" s="58">
        <v>62.396000000000001</v>
      </c>
      <c r="EZ26" s="58">
        <v>73.364000000000004</v>
      </c>
      <c r="FA26" s="58">
        <v>1729.5309999999999</v>
      </c>
      <c r="FB26" s="58">
        <v>931.82</v>
      </c>
      <c r="FC26" s="58">
        <v>797.71199999999999</v>
      </c>
      <c r="FD26" s="58">
        <v>1182.778</v>
      </c>
      <c r="FE26" s="58">
        <v>775.48500000000001</v>
      </c>
      <c r="FF26" s="58">
        <v>407.29199999999997</v>
      </c>
      <c r="FG26" s="58">
        <v>546.75400000000002</v>
      </c>
      <c r="FH26" s="58">
        <v>156.33500000000001</v>
      </c>
      <c r="FI26" s="58">
        <v>390.41899999999998</v>
      </c>
      <c r="FJ26" s="58">
        <v>185.262</v>
      </c>
      <c r="FK26" s="58">
        <v>98.786000000000001</v>
      </c>
      <c r="FL26" s="58">
        <v>86.475999999999999</v>
      </c>
      <c r="FM26" s="58">
        <v>48.923999999999999</v>
      </c>
      <c r="FN26" s="58">
        <v>30.398</v>
      </c>
      <c r="FO26" s="58">
        <v>18.526</v>
      </c>
      <c r="FP26" s="58">
        <v>21.206</v>
      </c>
      <c r="FQ26" s="58">
        <v>16.783999999999999</v>
      </c>
      <c r="FR26" s="58">
        <v>4.4219999999999997</v>
      </c>
      <c r="FS26" s="58">
        <v>13.622</v>
      </c>
      <c r="FT26" s="58">
        <v>9.9990000000000006</v>
      </c>
      <c r="FU26" s="58">
        <v>3.6230000000000002</v>
      </c>
      <c r="FV26" s="58">
        <v>7.5830000000000002</v>
      </c>
      <c r="FW26" s="58">
        <v>6.7850000000000001</v>
      </c>
      <c r="FX26" s="58">
        <v>0.79900000000000004</v>
      </c>
      <c r="FY26" s="58">
        <v>27.718</v>
      </c>
      <c r="FZ26" s="58">
        <v>13.615</v>
      </c>
      <c r="GA26" s="58">
        <v>14.103999999999999</v>
      </c>
      <c r="GB26" s="58">
        <v>154.37700000000001</v>
      </c>
      <c r="GC26" s="58">
        <v>80.266999999999996</v>
      </c>
      <c r="GD26" s="58">
        <v>74.111000000000004</v>
      </c>
      <c r="GE26" s="58">
        <v>58.191000000000003</v>
      </c>
      <c r="GF26" s="58">
        <v>43.368000000000002</v>
      </c>
      <c r="GG26" s="58">
        <v>14.823</v>
      </c>
      <c r="GH26" s="58">
        <v>96.186000000000007</v>
      </c>
      <c r="GI26" s="58">
        <v>36.898000000000003</v>
      </c>
      <c r="GJ26" s="58">
        <v>59.287999999999997</v>
      </c>
      <c r="GK26" s="58">
        <v>73.135999999999996</v>
      </c>
      <c r="GL26" s="58">
        <v>55.526000000000003</v>
      </c>
      <c r="GM26" s="58">
        <v>17.61</v>
      </c>
      <c r="GN26" s="58">
        <v>112.126</v>
      </c>
      <c r="GO26" s="58">
        <v>43.26</v>
      </c>
      <c r="GP26" s="58">
        <v>68.866</v>
      </c>
      <c r="GQ26" s="58">
        <v>109.809</v>
      </c>
      <c r="GR26" s="58">
        <v>46.896999999999998</v>
      </c>
      <c r="GS26" s="58">
        <v>62.911000000000001</v>
      </c>
      <c r="GT26" s="58">
        <v>447.33600000000001</v>
      </c>
      <c r="GU26" s="58">
        <v>278.00200000000001</v>
      </c>
      <c r="GV26" s="58">
        <v>169.334</v>
      </c>
      <c r="GW26" s="58">
        <v>204.65899999999999</v>
      </c>
      <c r="GX26" s="58">
        <v>149.36500000000001</v>
      </c>
      <c r="GY26" s="58">
        <v>55.293999999999997</v>
      </c>
      <c r="GZ26" s="58">
        <v>242.67699999999999</v>
      </c>
      <c r="HA26" s="58">
        <v>128.637</v>
      </c>
      <c r="HB26" s="58">
        <v>114.039</v>
      </c>
      <c r="HC26" s="58">
        <v>42.518999999999998</v>
      </c>
      <c r="HD26" s="58">
        <v>27.58</v>
      </c>
      <c r="HE26" s="58">
        <v>14.939</v>
      </c>
      <c r="HF26" s="58">
        <v>19.489999999999998</v>
      </c>
      <c r="HG26" s="58">
        <v>13.792999999999999</v>
      </c>
      <c r="HH26" s="58">
        <v>5.6970000000000001</v>
      </c>
      <c r="HI26" s="58">
        <v>5.2089999999999996</v>
      </c>
      <c r="HJ26" s="58">
        <v>4.1980000000000004</v>
      </c>
      <c r="HK26" s="58">
        <v>1.0109999999999999</v>
      </c>
      <c r="HL26" s="58">
        <v>4.2610000000000001</v>
      </c>
      <c r="HM26" s="58">
        <v>3.5449999999999999</v>
      </c>
      <c r="HN26" s="58">
        <v>0.71599999999999997</v>
      </c>
      <c r="HO26" s="58">
        <v>0.94799999999999995</v>
      </c>
      <c r="HP26" s="58">
        <v>0.65200000000000002</v>
      </c>
      <c r="HQ26" s="58">
        <v>0.29599999999999999</v>
      </c>
      <c r="HR26" s="58">
        <v>14.281000000000001</v>
      </c>
      <c r="HS26" s="58">
        <v>9.5950000000000006</v>
      </c>
      <c r="HT26" s="58">
        <v>4.6849999999999996</v>
      </c>
      <c r="HU26" s="58">
        <v>25.823</v>
      </c>
      <c r="HV26" s="58">
        <v>15.343999999999999</v>
      </c>
      <c r="HW26" s="58">
        <v>10.478999999999999</v>
      </c>
      <c r="HX26" s="58">
        <v>4.133</v>
      </c>
      <c r="HY26" s="58">
        <v>3.391</v>
      </c>
      <c r="HZ26" s="58">
        <v>0.74199999999999999</v>
      </c>
      <c r="IA26" s="58">
        <v>21.690999999999999</v>
      </c>
      <c r="IB26" s="58">
        <v>11.952999999999999</v>
      </c>
      <c r="IC26" s="58">
        <v>9.7370000000000001</v>
      </c>
      <c r="ID26" s="58">
        <v>9.0229999999999997</v>
      </c>
      <c r="IE26" s="58">
        <v>7.27</v>
      </c>
      <c r="IF26" s="58">
        <v>1.7529999999999999</v>
      </c>
      <c r="IG26" s="58">
        <v>33.494999999999997</v>
      </c>
      <c r="IH26" s="58">
        <v>20.309999999999999</v>
      </c>
      <c r="II26" s="58">
        <v>13.185</v>
      </c>
      <c r="IJ26" s="58">
        <v>25.952000000000002</v>
      </c>
      <c r="IK26" s="58">
        <v>15.499000000000001</v>
      </c>
      <c r="IL26" s="58">
        <v>10.452999999999999</v>
      </c>
      <c r="IM26" s="58">
        <v>3757.9630000000002</v>
      </c>
      <c r="IN26" s="58">
        <v>2016.4369999999999</v>
      </c>
      <c r="IO26" s="58">
        <v>1741.527</v>
      </c>
      <c r="IP26" s="58">
        <v>2644.9250000000002</v>
      </c>
      <c r="IQ26" s="58">
        <v>1675.7239999999999</v>
      </c>
    </row>
    <row r="27" spans="1:251">
      <c r="A27" s="5">
        <v>42309</v>
      </c>
      <c r="B27" s="58">
        <v>13.856</v>
      </c>
      <c r="C27" s="58">
        <v>16.715</v>
      </c>
      <c r="D27" s="58">
        <v>351.584</v>
      </c>
      <c r="E27" s="58">
        <v>204.47900000000001</v>
      </c>
      <c r="F27" s="58">
        <v>147.10499999999999</v>
      </c>
      <c r="G27" s="58">
        <v>162.554</v>
      </c>
      <c r="H27" s="58">
        <v>125.76600000000001</v>
      </c>
      <c r="I27" s="58">
        <v>36.787999999999997</v>
      </c>
      <c r="J27" s="58">
        <v>189.03100000000001</v>
      </c>
      <c r="K27" s="58">
        <v>78.712999999999994</v>
      </c>
      <c r="L27" s="58">
        <v>110.31699999999999</v>
      </c>
      <c r="M27" s="58">
        <v>182.86600000000001</v>
      </c>
      <c r="N27" s="58">
        <v>140.83000000000001</v>
      </c>
      <c r="O27" s="58">
        <v>42.034999999999997</v>
      </c>
      <c r="P27" s="58">
        <v>200.90899999999999</v>
      </c>
      <c r="Q27" s="58">
        <v>84.084000000000003</v>
      </c>
      <c r="R27" s="58">
        <v>116.825</v>
      </c>
      <c r="S27" s="58">
        <v>204.851</v>
      </c>
      <c r="T27" s="58">
        <v>91.215000000000003</v>
      </c>
      <c r="U27" s="58">
        <v>113.636</v>
      </c>
      <c r="V27" s="58">
        <v>2576.5700000000002</v>
      </c>
      <c r="W27" s="58">
        <v>1390.509</v>
      </c>
      <c r="X27" s="58">
        <v>1186.0609999999999</v>
      </c>
      <c r="Y27" s="58">
        <v>1896.0730000000001</v>
      </c>
      <c r="Z27" s="58">
        <v>1271.5060000000001</v>
      </c>
      <c r="AA27" s="58">
        <v>624.56799999999998</v>
      </c>
      <c r="AB27" s="58">
        <v>680.49699999999996</v>
      </c>
      <c r="AC27" s="58">
        <v>119.003</v>
      </c>
      <c r="AD27" s="58">
        <v>561.49400000000003</v>
      </c>
      <c r="AE27" s="58">
        <v>313.56099999999998</v>
      </c>
      <c r="AF27" s="58">
        <v>156.32300000000001</v>
      </c>
      <c r="AG27" s="58">
        <v>157.238</v>
      </c>
      <c r="AH27" s="58">
        <v>53.536999999999999</v>
      </c>
      <c r="AI27" s="58">
        <v>26.077999999999999</v>
      </c>
      <c r="AJ27" s="58">
        <v>27.459</v>
      </c>
      <c r="AK27" s="58">
        <v>23.466999999999999</v>
      </c>
      <c r="AL27" s="58">
        <v>16.395</v>
      </c>
      <c r="AM27" s="58">
        <v>7.0720000000000001</v>
      </c>
      <c r="AN27" s="58">
        <v>11.865</v>
      </c>
      <c r="AO27" s="58">
        <v>7.4219999999999997</v>
      </c>
      <c r="AP27" s="58">
        <v>4.4429999999999996</v>
      </c>
      <c r="AQ27" s="58">
        <v>11.603</v>
      </c>
      <c r="AR27" s="58">
        <v>8.9730000000000008</v>
      </c>
      <c r="AS27" s="58">
        <v>2.63</v>
      </c>
      <c r="AT27" s="58">
        <v>30.07</v>
      </c>
      <c r="AU27" s="58">
        <v>9.6820000000000004</v>
      </c>
      <c r="AV27" s="58">
        <v>20.387</v>
      </c>
      <c r="AW27" s="58">
        <v>287.31099999999998</v>
      </c>
      <c r="AX27" s="58">
        <v>143.43100000000001</v>
      </c>
      <c r="AY27" s="58">
        <v>143.87899999999999</v>
      </c>
      <c r="AZ27" s="58">
        <v>122.06100000000001</v>
      </c>
      <c r="BA27" s="58">
        <v>94.840999999999994</v>
      </c>
      <c r="BB27" s="58">
        <v>27.22</v>
      </c>
      <c r="BC27" s="58">
        <v>165.25</v>
      </c>
      <c r="BD27" s="58">
        <v>48.591000000000001</v>
      </c>
      <c r="BE27" s="58">
        <v>116.65900000000001</v>
      </c>
      <c r="BF27" s="58">
        <v>138.553</v>
      </c>
      <c r="BG27" s="58">
        <v>106.401</v>
      </c>
      <c r="BH27" s="58">
        <v>32.152000000000001</v>
      </c>
      <c r="BI27" s="58">
        <v>175.00800000000001</v>
      </c>
      <c r="BJ27" s="58">
        <v>49.921999999999997</v>
      </c>
      <c r="BK27" s="58">
        <v>125.086</v>
      </c>
      <c r="BL27" s="58">
        <v>177.114</v>
      </c>
      <c r="BM27" s="58">
        <v>56.012</v>
      </c>
      <c r="BN27" s="58">
        <v>121.102</v>
      </c>
      <c r="BO27" s="58">
        <v>2519.2240000000002</v>
      </c>
      <c r="BP27" s="58">
        <v>1314.133</v>
      </c>
      <c r="BQ27" s="58">
        <v>1205.0899999999999</v>
      </c>
      <c r="BR27" s="58">
        <v>1894.8219999999999</v>
      </c>
      <c r="BS27" s="58">
        <v>1187.941</v>
      </c>
      <c r="BT27" s="58">
        <v>706.88099999999997</v>
      </c>
      <c r="BU27" s="58">
        <v>624.40200000000004</v>
      </c>
      <c r="BV27" s="58">
        <v>126.193</v>
      </c>
      <c r="BW27" s="58">
        <v>498.209</v>
      </c>
      <c r="BX27" s="58">
        <v>311.10300000000001</v>
      </c>
      <c r="BY27" s="58">
        <v>142.006</v>
      </c>
      <c r="BZ27" s="58">
        <v>169.09800000000001</v>
      </c>
      <c r="CA27" s="58">
        <v>58.968000000000004</v>
      </c>
      <c r="CB27" s="58">
        <v>32.442</v>
      </c>
      <c r="CC27" s="58">
        <v>26.526</v>
      </c>
      <c r="CD27" s="58">
        <v>28.405000000000001</v>
      </c>
      <c r="CE27" s="58">
        <v>20.512</v>
      </c>
      <c r="CF27" s="58">
        <v>7.8929999999999998</v>
      </c>
      <c r="CG27" s="58">
        <v>14.718999999999999</v>
      </c>
      <c r="CH27" s="58">
        <v>11.026</v>
      </c>
      <c r="CI27" s="58">
        <v>3.6930000000000001</v>
      </c>
      <c r="CJ27" s="58">
        <v>13.686</v>
      </c>
      <c r="CK27" s="58">
        <v>9.4860000000000007</v>
      </c>
      <c r="CL27" s="58">
        <v>4.2</v>
      </c>
      <c r="CM27" s="58">
        <v>30.562999999999999</v>
      </c>
      <c r="CN27" s="58">
        <v>11.929</v>
      </c>
      <c r="CO27" s="58">
        <v>18.632999999999999</v>
      </c>
      <c r="CP27" s="58">
        <v>279.53500000000003</v>
      </c>
      <c r="CQ27" s="58">
        <v>125.53400000000001</v>
      </c>
      <c r="CR27" s="58">
        <v>154.001</v>
      </c>
      <c r="CS27" s="58">
        <v>118.396</v>
      </c>
      <c r="CT27" s="58">
        <v>78.680999999999997</v>
      </c>
      <c r="CU27" s="58">
        <v>39.715000000000003</v>
      </c>
      <c r="CV27" s="58">
        <v>161.13900000000001</v>
      </c>
      <c r="CW27" s="58">
        <v>46.853000000000002</v>
      </c>
      <c r="CX27" s="58">
        <v>114.286</v>
      </c>
      <c r="CY27" s="58">
        <v>138.13300000000001</v>
      </c>
      <c r="CZ27" s="58">
        <v>91.703000000000003</v>
      </c>
      <c r="DA27" s="58">
        <v>46.43</v>
      </c>
      <c r="DB27" s="58">
        <v>172.97</v>
      </c>
      <c r="DC27" s="58">
        <v>50.302</v>
      </c>
      <c r="DD27" s="58">
        <v>122.66800000000001</v>
      </c>
      <c r="DE27" s="58">
        <v>175.858</v>
      </c>
      <c r="DF27" s="58">
        <v>57.88</v>
      </c>
      <c r="DG27" s="58">
        <v>117.979</v>
      </c>
      <c r="DH27" s="58">
        <v>2204.7890000000002</v>
      </c>
      <c r="DI27" s="58">
        <v>1224.0409999999999</v>
      </c>
      <c r="DJ27" s="58">
        <v>980.74800000000005</v>
      </c>
      <c r="DK27" s="58">
        <v>1386.865</v>
      </c>
      <c r="DL27" s="58">
        <v>921.298</v>
      </c>
      <c r="DM27" s="58">
        <v>465.56700000000001</v>
      </c>
      <c r="DN27" s="58">
        <v>817.92399999999998</v>
      </c>
      <c r="DO27" s="58">
        <v>302.74299999999999</v>
      </c>
      <c r="DP27" s="58">
        <v>515.18100000000004</v>
      </c>
      <c r="DQ27" s="58">
        <v>234.322</v>
      </c>
      <c r="DR27" s="58">
        <v>131.21299999999999</v>
      </c>
      <c r="DS27" s="58">
        <v>103.10899999999999</v>
      </c>
      <c r="DT27" s="58">
        <v>70.484999999999999</v>
      </c>
      <c r="DU27" s="58">
        <v>44.012</v>
      </c>
      <c r="DV27" s="58">
        <v>26.472999999999999</v>
      </c>
      <c r="DW27" s="58">
        <v>29.311</v>
      </c>
      <c r="DX27" s="58">
        <v>22.183</v>
      </c>
      <c r="DY27" s="58">
        <v>7.1280000000000001</v>
      </c>
      <c r="DZ27" s="58">
        <v>20.084</v>
      </c>
      <c r="EA27" s="58">
        <v>14.336</v>
      </c>
      <c r="EB27" s="58">
        <v>5.7480000000000002</v>
      </c>
      <c r="EC27" s="58">
        <v>9.2270000000000003</v>
      </c>
      <c r="ED27" s="58">
        <v>7.8470000000000004</v>
      </c>
      <c r="EE27" s="58">
        <v>1.38</v>
      </c>
      <c r="EF27" s="58">
        <v>41.174999999999997</v>
      </c>
      <c r="EG27" s="58">
        <v>21.829000000000001</v>
      </c>
      <c r="EH27" s="58">
        <v>19.344999999999999</v>
      </c>
      <c r="EI27" s="58">
        <v>184.208</v>
      </c>
      <c r="EJ27" s="58">
        <v>101.913</v>
      </c>
      <c r="EK27" s="58">
        <v>82.295000000000002</v>
      </c>
      <c r="EL27" s="58">
        <v>66.753</v>
      </c>
      <c r="EM27" s="58">
        <v>50.795000000000002</v>
      </c>
      <c r="EN27" s="58">
        <v>15.957000000000001</v>
      </c>
      <c r="EO27" s="58">
        <v>117.455</v>
      </c>
      <c r="EP27" s="58">
        <v>51.118000000000002</v>
      </c>
      <c r="EQ27" s="58">
        <v>66.337000000000003</v>
      </c>
      <c r="ER27" s="58">
        <v>90.192999999999998</v>
      </c>
      <c r="ES27" s="58">
        <v>67.503</v>
      </c>
      <c r="ET27" s="58">
        <v>22.69</v>
      </c>
      <c r="EU27" s="58">
        <v>144.13</v>
      </c>
      <c r="EV27" s="58">
        <v>63.71</v>
      </c>
      <c r="EW27" s="58">
        <v>80.42</v>
      </c>
      <c r="EX27" s="58">
        <v>137.53899999999999</v>
      </c>
      <c r="EY27" s="58">
        <v>65.453999999999994</v>
      </c>
      <c r="EZ27" s="58">
        <v>72.084999999999994</v>
      </c>
      <c r="FA27" s="58">
        <v>1741.691</v>
      </c>
      <c r="FB27" s="58">
        <v>939.85500000000002</v>
      </c>
      <c r="FC27" s="58">
        <v>801.83600000000001</v>
      </c>
      <c r="FD27" s="58">
        <v>1184.8389999999999</v>
      </c>
      <c r="FE27" s="58">
        <v>775.88099999999997</v>
      </c>
      <c r="FF27" s="58">
        <v>408.95800000000003</v>
      </c>
      <c r="FG27" s="58">
        <v>556.85199999999998</v>
      </c>
      <c r="FH27" s="58">
        <v>163.97399999999999</v>
      </c>
      <c r="FI27" s="58">
        <v>392.87799999999999</v>
      </c>
      <c r="FJ27" s="58">
        <v>194.6</v>
      </c>
      <c r="FK27" s="58">
        <v>108.11499999999999</v>
      </c>
      <c r="FL27" s="58">
        <v>86.484999999999999</v>
      </c>
      <c r="FM27" s="58">
        <v>51.332999999999998</v>
      </c>
      <c r="FN27" s="58">
        <v>33.1</v>
      </c>
      <c r="FO27" s="58">
        <v>18.233000000000001</v>
      </c>
      <c r="FP27" s="58">
        <v>24.280999999999999</v>
      </c>
      <c r="FQ27" s="58">
        <v>18.731999999999999</v>
      </c>
      <c r="FR27" s="58">
        <v>5.548</v>
      </c>
      <c r="FS27" s="58">
        <v>16.038</v>
      </c>
      <c r="FT27" s="58">
        <v>11.87</v>
      </c>
      <c r="FU27" s="58">
        <v>4.1680000000000001</v>
      </c>
      <c r="FV27" s="58">
        <v>8.2430000000000003</v>
      </c>
      <c r="FW27" s="58">
        <v>6.8620000000000001</v>
      </c>
      <c r="FX27" s="58">
        <v>1.38</v>
      </c>
      <c r="FY27" s="58">
        <v>27.052</v>
      </c>
      <c r="FZ27" s="58">
        <v>14.367000000000001</v>
      </c>
      <c r="GA27" s="58">
        <v>12.685</v>
      </c>
      <c r="GB27" s="58">
        <v>159.9</v>
      </c>
      <c r="GC27" s="58">
        <v>86.975999999999999</v>
      </c>
      <c r="GD27" s="58">
        <v>72.924000000000007</v>
      </c>
      <c r="GE27" s="58">
        <v>61.351999999999997</v>
      </c>
      <c r="GF27" s="58">
        <v>47.063000000000002</v>
      </c>
      <c r="GG27" s="58">
        <v>14.288</v>
      </c>
      <c r="GH27" s="58">
        <v>98.549000000000007</v>
      </c>
      <c r="GI27" s="58">
        <v>39.912999999999997</v>
      </c>
      <c r="GJ27" s="58">
        <v>58.636000000000003</v>
      </c>
      <c r="GK27" s="58">
        <v>80.028999999999996</v>
      </c>
      <c r="GL27" s="58">
        <v>60.588000000000001</v>
      </c>
      <c r="GM27" s="58">
        <v>19.440999999999999</v>
      </c>
      <c r="GN27" s="58">
        <v>114.571</v>
      </c>
      <c r="GO27" s="58">
        <v>47.527000000000001</v>
      </c>
      <c r="GP27" s="58">
        <v>67.043999999999997</v>
      </c>
      <c r="GQ27" s="58">
        <v>114.587</v>
      </c>
      <c r="GR27" s="58">
        <v>51.783000000000001</v>
      </c>
      <c r="GS27" s="58">
        <v>62.804000000000002</v>
      </c>
      <c r="GT27" s="58">
        <v>463.09800000000001</v>
      </c>
      <c r="GU27" s="58">
        <v>284.185</v>
      </c>
      <c r="GV27" s="58">
        <v>178.91200000000001</v>
      </c>
      <c r="GW27" s="58">
        <v>202.02600000000001</v>
      </c>
      <c r="GX27" s="58">
        <v>145.417</v>
      </c>
      <c r="GY27" s="58">
        <v>56.609000000000002</v>
      </c>
      <c r="GZ27" s="58">
        <v>261.07100000000003</v>
      </c>
      <c r="HA27" s="58">
        <v>138.768</v>
      </c>
      <c r="HB27" s="58">
        <v>122.303</v>
      </c>
      <c r="HC27" s="58">
        <v>39.722000000000001</v>
      </c>
      <c r="HD27" s="58">
        <v>23.097999999999999</v>
      </c>
      <c r="HE27" s="58">
        <v>16.623999999999999</v>
      </c>
      <c r="HF27" s="58">
        <v>19.152999999999999</v>
      </c>
      <c r="HG27" s="58">
        <v>10.913</v>
      </c>
      <c r="HH27" s="58">
        <v>8.24</v>
      </c>
      <c r="HI27" s="58">
        <v>5.03</v>
      </c>
      <c r="HJ27" s="58">
        <v>3.45</v>
      </c>
      <c r="HK27" s="58">
        <v>1.58</v>
      </c>
      <c r="HL27" s="58">
        <v>4.0460000000000003</v>
      </c>
      <c r="HM27" s="58">
        <v>2.4660000000000002</v>
      </c>
      <c r="HN27" s="58">
        <v>1.58</v>
      </c>
      <c r="HO27" s="58">
        <v>0.98499999999999999</v>
      </c>
      <c r="HP27" s="58">
        <v>0.98499999999999999</v>
      </c>
      <c r="HQ27" s="58">
        <v>0</v>
      </c>
      <c r="HR27" s="58">
        <v>14.122999999999999</v>
      </c>
      <c r="HS27" s="58">
        <v>7.4619999999999997</v>
      </c>
      <c r="HT27" s="58">
        <v>6.66</v>
      </c>
      <c r="HU27" s="58">
        <v>24.306999999999999</v>
      </c>
      <c r="HV27" s="58">
        <v>14.936999999999999</v>
      </c>
      <c r="HW27" s="58">
        <v>9.3710000000000004</v>
      </c>
      <c r="HX27" s="58">
        <v>5.4009999999999998</v>
      </c>
      <c r="HY27" s="58">
        <v>3.7320000000000002</v>
      </c>
      <c r="HZ27" s="58">
        <v>1.669</v>
      </c>
      <c r="IA27" s="58">
        <v>18.905999999999999</v>
      </c>
      <c r="IB27" s="58">
        <v>11.205</v>
      </c>
      <c r="IC27" s="58">
        <v>7.702</v>
      </c>
      <c r="ID27" s="58">
        <v>10.164</v>
      </c>
      <c r="IE27" s="58">
        <v>6.915</v>
      </c>
      <c r="IF27" s="58">
        <v>3.2490000000000001</v>
      </c>
      <c r="IG27" s="58">
        <v>29.558</v>
      </c>
      <c r="IH27" s="58">
        <v>16.183</v>
      </c>
      <c r="II27" s="58">
        <v>13.375</v>
      </c>
      <c r="IJ27" s="58">
        <v>22.952000000000002</v>
      </c>
      <c r="IK27" s="58">
        <v>13.670999999999999</v>
      </c>
      <c r="IL27" s="58">
        <v>9.2810000000000006</v>
      </c>
      <c r="IM27" s="58">
        <v>3812.35</v>
      </c>
      <c r="IN27" s="58">
        <v>2035.2860000000001</v>
      </c>
      <c r="IO27" s="58">
        <v>1777.0640000000001</v>
      </c>
      <c r="IP27" s="58">
        <v>2689.4690000000001</v>
      </c>
      <c r="IQ27" s="58">
        <v>1682.9749999999999</v>
      </c>
    </row>
    <row r="28" spans="1:251">
      <c r="A28" s="5">
        <v>42339</v>
      </c>
      <c r="B28" s="58">
        <v>16.196999999999999</v>
      </c>
      <c r="C28" s="58">
        <v>18.698</v>
      </c>
      <c r="D28" s="58">
        <v>366.66300000000001</v>
      </c>
      <c r="E28" s="58">
        <v>215.32599999999999</v>
      </c>
      <c r="F28" s="58">
        <v>151.33799999999999</v>
      </c>
      <c r="G28" s="58">
        <v>181.74700000000001</v>
      </c>
      <c r="H28" s="58">
        <v>140.24199999999999</v>
      </c>
      <c r="I28" s="58">
        <v>41.506</v>
      </c>
      <c r="J28" s="58">
        <v>184.916</v>
      </c>
      <c r="K28" s="58">
        <v>75.084000000000003</v>
      </c>
      <c r="L28" s="58">
        <v>109.83199999999999</v>
      </c>
      <c r="M28" s="58">
        <v>204.13900000000001</v>
      </c>
      <c r="N28" s="58">
        <v>155.096</v>
      </c>
      <c r="O28" s="58">
        <v>49.043999999999997</v>
      </c>
      <c r="P28" s="58">
        <v>202.154</v>
      </c>
      <c r="Q28" s="58">
        <v>81.316000000000003</v>
      </c>
      <c r="R28" s="58">
        <v>120.83799999999999</v>
      </c>
      <c r="S28" s="58">
        <v>196.255</v>
      </c>
      <c r="T28" s="58">
        <v>83.247</v>
      </c>
      <c r="U28" s="58">
        <v>113.008</v>
      </c>
      <c r="V28" s="58">
        <v>2574.875</v>
      </c>
      <c r="W28" s="58">
        <v>1390.7929999999999</v>
      </c>
      <c r="X28" s="58">
        <v>1184.0820000000001</v>
      </c>
      <c r="Y28" s="58">
        <v>1904.59</v>
      </c>
      <c r="Z28" s="58">
        <v>1269.5519999999999</v>
      </c>
      <c r="AA28" s="58">
        <v>635.03700000000003</v>
      </c>
      <c r="AB28" s="58">
        <v>670.28499999999997</v>
      </c>
      <c r="AC28" s="58">
        <v>121.24</v>
      </c>
      <c r="AD28" s="58">
        <v>549.04499999999996</v>
      </c>
      <c r="AE28" s="58">
        <v>322.33300000000003</v>
      </c>
      <c r="AF28" s="58">
        <v>162.83799999999999</v>
      </c>
      <c r="AG28" s="58">
        <v>159.495</v>
      </c>
      <c r="AH28" s="58">
        <v>59.939</v>
      </c>
      <c r="AI28" s="58">
        <v>29.329000000000001</v>
      </c>
      <c r="AJ28" s="58">
        <v>30.61</v>
      </c>
      <c r="AK28" s="58">
        <v>31.166</v>
      </c>
      <c r="AL28" s="58">
        <v>21.49</v>
      </c>
      <c r="AM28" s="58">
        <v>9.6750000000000007</v>
      </c>
      <c r="AN28" s="58">
        <v>13.738</v>
      </c>
      <c r="AO28" s="58">
        <v>9.5169999999999995</v>
      </c>
      <c r="AP28" s="58">
        <v>4.2210000000000001</v>
      </c>
      <c r="AQ28" s="58">
        <v>17.428000000000001</v>
      </c>
      <c r="AR28" s="58">
        <v>11.974</v>
      </c>
      <c r="AS28" s="58">
        <v>5.4539999999999997</v>
      </c>
      <c r="AT28" s="58">
        <v>28.773</v>
      </c>
      <c r="AU28" s="58">
        <v>7.8390000000000004</v>
      </c>
      <c r="AV28" s="58">
        <v>20.934999999999999</v>
      </c>
      <c r="AW28" s="58">
        <v>284.21100000000001</v>
      </c>
      <c r="AX28" s="58">
        <v>142.71299999999999</v>
      </c>
      <c r="AY28" s="58">
        <v>141.49799999999999</v>
      </c>
      <c r="AZ28" s="58">
        <v>124.16</v>
      </c>
      <c r="BA28" s="58">
        <v>97.241</v>
      </c>
      <c r="BB28" s="58">
        <v>26.917999999999999</v>
      </c>
      <c r="BC28" s="58">
        <v>160.05099999999999</v>
      </c>
      <c r="BD28" s="58">
        <v>45.472000000000001</v>
      </c>
      <c r="BE28" s="58">
        <v>114.57899999999999</v>
      </c>
      <c r="BF28" s="58">
        <v>150.227</v>
      </c>
      <c r="BG28" s="58">
        <v>115.53400000000001</v>
      </c>
      <c r="BH28" s="58">
        <v>34.692999999999998</v>
      </c>
      <c r="BI28" s="58">
        <v>172.10599999999999</v>
      </c>
      <c r="BJ28" s="58">
        <v>47.304000000000002</v>
      </c>
      <c r="BK28" s="58">
        <v>124.80200000000001</v>
      </c>
      <c r="BL28" s="58">
        <v>173.78899999999999</v>
      </c>
      <c r="BM28" s="58">
        <v>54.988999999999997</v>
      </c>
      <c r="BN28" s="58">
        <v>118.801</v>
      </c>
      <c r="BO28" s="58">
        <v>2507.3090000000002</v>
      </c>
      <c r="BP28" s="58">
        <v>1310.8389999999999</v>
      </c>
      <c r="BQ28" s="58">
        <v>1196.47</v>
      </c>
      <c r="BR28" s="58">
        <v>1886.0029999999999</v>
      </c>
      <c r="BS28" s="58">
        <v>1190.2139999999999</v>
      </c>
      <c r="BT28" s="58">
        <v>695.78899999999999</v>
      </c>
      <c r="BU28" s="58">
        <v>621.30600000000004</v>
      </c>
      <c r="BV28" s="58">
        <v>120.624</v>
      </c>
      <c r="BW28" s="58">
        <v>500.68099999999998</v>
      </c>
      <c r="BX28" s="58">
        <v>296.94200000000001</v>
      </c>
      <c r="BY28" s="58">
        <v>136.05099999999999</v>
      </c>
      <c r="BZ28" s="58">
        <v>160.89099999999999</v>
      </c>
      <c r="CA28" s="58">
        <v>72.262</v>
      </c>
      <c r="CB28" s="58">
        <v>38.795999999999999</v>
      </c>
      <c r="CC28" s="58">
        <v>33.466000000000001</v>
      </c>
      <c r="CD28" s="58">
        <v>31.710999999999999</v>
      </c>
      <c r="CE28" s="58">
        <v>25.172000000000001</v>
      </c>
      <c r="CF28" s="58">
        <v>6.5389999999999997</v>
      </c>
      <c r="CG28" s="58">
        <v>14.728</v>
      </c>
      <c r="CH28" s="58">
        <v>10.935</v>
      </c>
      <c r="CI28" s="58">
        <v>3.7930000000000001</v>
      </c>
      <c r="CJ28" s="58">
        <v>16.983000000000001</v>
      </c>
      <c r="CK28" s="58">
        <v>14.237</v>
      </c>
      <c r="CL28" s="58">
        <v>2.746</v>
      </c>
      <c r="CM28" s="58">
        <v>40.551000000000002</v>
      </c>
      <c r="CN28" s="58">
        <v>13.624000000000001</v>
      </c>
      <c r="CO28" s="58">
        <v>26.927</v>
      </c>
      <c r="CP28" s="58">
        <v>253.845</v>
      </c>
      <c r="CQ28" s="58">
        <v>110.765</v>
      </c>
      <c r="CR28" s="58">
        <v>143.08000000000001</v>
      </c>
      <c r="CS28" s="58">
        <v>93.414000000000001</v>
      </c>
      <c r="CT28" s="58">
        <v>67.247</v>
      </c>
      <c r="CU28" s="58">
        <v>26.167999999999999</v>
      </c>
      <c r="CV28" s="58">
        <v>160.43100000000001</v>
      </c>
      <c r="CW28" s="58">
        <v>43.518999999999998</v>
      </c>
      <c r="CX28" s="58">
        <v>116.91200000000001</v>
      </c>
      <c r="CY28" s="58">
        <v>117.09099999999999</v>
      </c>
      <c r="CZ28" s="58">
        <v>85.066000000000003</v>
      </c>
      <c r="DA28" s="58">
        <v>32.024999999999999</v>
      </c>
      <c r="DB28" s="58">
        <v>179.851</v>
      </c>
      <c r="DC28" s="58">
        <v>50.985999999999997</v>
      </c>
      <c r="DD28" s="58">
        <v>128.86600000000001</v>
      </c>
      <c r="DE28" s="58">
        <v>175.15799999999999</v>
      </c>
      <c r="DF28" s="58">
        <v>54.453000000000003</v>
      </c>
      <c r="DG28" s="58">
        <v>120.705</v>
      </c>
      <c r="DH28" s="58">
        <v>2185.38</v>
      </c>
      <c r="DI28" s="58">
        <v>1220.354</v>
      </c>
      <c r="DJ28" s="58">
        <v>965.02599999999995</v>
      </c>
      <c r="DK28" s="58">
        <v>1391.252</v>
      </c>
      <c r="DL28" s="58">
        <v>932.11099999999999</v>
      </c>
      <c r="DM28" s="58">
        <v>459.14</v>
      </c>
      <c r="DN28" s="58">
        <v>794.12800000000004</v>
      </c>
      <c r="DO28" s="58">
        <v>288.24299999999999</v>
      </c>
      <c r="DP28" s="58">
        <v>505.88600000000002</v>
      </c>
      <c r="DQ28" s="58">
        <v>239.904</v>
      </c>
      <c r="DR28" s="58">
        <v>133.934</v>
      </c>
      <c r="DS28" s="58">
        <v>105.97</v>
      </c>
      <c r="DT28" s="58">
        <v>77.097999999999999</v>
      </c>
      <c r="DU28" s="58">
        <v>45.334000000000003</v>
      </c>
      <c r="DV28" s="58">
        <v>31.763999999999999</v>
      </c>
      <c r="DW28" s="58">
        <v>27.847999999999999</v>
      </c>
      <c r="DX28" s="58">
        <v>23.756</v>
      </c>
      <c r="DY28" s="58">
        <v>4.0919999999999996</v>
      </c>
      <c r="DZ28" s="58">
        <v>16.940999999999999</v>
      </c>
      <c r="EA28" s="58">
        <v>14.44</v>
      </c>
      <c r="EB28" s="58">
        <v>2.5019999999999998</v>
      </c>
      <c r="EC28" s="58">
        <v>10.907</v>
      </c>
      <c r="ED28" s="58">
        <v>9.3160000000000007</v>
      </c>
      <c r="EE28" s="58">
        <v>1.591</v>
      </c>
      <c r="EF28" s="58">
        <v>49.250999999999998</v>
      </c>
      <c r="EG28" s="58">
        <v>21.579000000000001</v>
      </c>
      <c r="EH28" s="58">
        <v>27.672000000000001</v>
      </c>
      <c r="EI28" s="58">
        <v>184.99</v>
      </c>
      <c r="EJ28" s="58">
        <v>102.56</v>
      </c>
      <c r="EK28" s="58">
        <v>82.43</v>
      </c>
      <c r="EL28" s="58">
        <v>61.795999999999999</v>
      </c>
      <c r="EM28" s="58">
        <v>48.171999999999997</v>
      </c>
      <c r="EN28" s="58">
        <v>13.624000000000001</v>
      </c>
      <c r="EO28" s="58">
        <v>123.194</v>
      </c>
      <c r="EP28" s="58">
        <v>54.387999999999998</v>
      </c>
      <c r="EQ28" s="58">
        <v>68.805999999999997</v>
      </c>
      <c r="ER28" s="58">
        <v>83.602999999999994</v>
      </c>
      <c r="ES28" s="58">
        <v>65.885999999999996</v>
      </c>
      <c r="ET28" s="58">
        <v>17.716999999999999</v>
      </c>
      <c r="EU28" s="58">
        <v>156.30099999999999</v>
      </c>
      <c r="EV28" s="58">
        <v>68.048000000000002</v>
      </c>
      <c r="EW28" s="58">
        <v>88.253</v>
      </c>
      <c r="EX28" s="58">
        <v>140.13499999999999</v>
      </c>
      <c r="EY28" s="58">
        <v>68.828000000000003</v>
      </c>
      <c r="EZ28" s="58">
        <v>71.308000000000007</v>
      </c>
      <c r="FA28" s="58">
        <v>1731.51</v>
      </c>
      <c r="FB28" s="58">
        <v>939.54399999999998</v>
      </c>
      <c r="FC28" s="58">
        <v>791.96500000000003</v>
      </c>
      <c r="FD28" s="58">
        <v>1191.0889999999999</v>
      </c>
      <c r="FE28" s="58">
        <v>786.94899999999996</v>
      </c>
      <c r="FF28" s="58">
        <v>404.14</v>
      </c>
      <c r="FG28" s="58">
        <v>540.41999999999996</v>
      </c>
      <c r="FH28" s="58">
        <v>152.595</v>
      </c>
      <c r="FI28" s="58">
        <v>387.82499999999999</v>
      </c>
      <c r="FJ28" s="58">
        <v>195.08799999999999</v>
      </c>
      <c r="FK28" s="58">
        <v>107.471</v>
      </c>
      <c r="FL28" s="58">
        <v>87.617000000000004</v>
      </c>
      <c r="FM28" s="58">
        <v>54.442</v>
      </c>
      <c r="FN28" s="58">
        <v>30.611000000000001</v>
      </c>
      <c r="FO28" s="58">
        <v>23.83</v>
      </c>
      <c r="FP28" s="58">
        <v>22.414999999999999</v>
      </c>
      <c r="FQ28" s="58">
        <v>18.768999999999998</v>
      </c>
      <c r="FR28" s="58">
        <v>3.6459999999999999</v>
      </c>
      <c r="FS28" s="58">
        <v>13.760999999999999</v>
      </c>
      <c r="FT28" s="58">
        <v>11.259</v>
      </c>
      <c r="FU28" s="58">
        <v>2.5019999999999998</v>
      </c>
      <c r="FV28" s="58">
        <v>8.6549999999999994</v>
      </c>
      <c r="FW28" s="58">
        <v>7.51</v>
      </c>
      <c r="FX28" s="58">
        <v>1.1439999999999999</v>
      </c>
      <c r="FY28" s="58">
        <v>32.026000000000003</v>
      </c>
      <c r="FZ28" s="58">
        <v>11.842000000000001</v>
      </c>
      <c r="GA28" s="58">
        <v>20.184000000000001</v>
      </c>
      <c r="GB28" s="58">
        <v>158.821</v>
      </c>
      <c r="GC28" s="58">
        <v>87.620999999999995</v>
      </c>
      <c r="GD28" s="58">
        <v>71.2</v>
      </c>
      <c r="GE28" s="58">
        <v>57.241999999999997</v>
      </c>
      <c r="GF28" s="58">
        <v>44.133000000000003</v>
      </c>
      <c r="GG28" s="58">
        <v>13.109</v>
      </c>
      <c r="GH28" s="58">
        <v>101.578</v>
      </c>
      <c r="GI28" s="58">
        <v>43.488</v>
      </c>
      <c r="GJ28" s="58">
        <v>58.091000000000001</v>
      </c>
      <c r="GK28" s="58">
        <v>74.132999999999996</v>
      </c>
      <c r="GL28" s="58">
        <v>57.378</v>
      </c>
      <c r="GM28" s="58">
        <v>16.754999999999999</v>
      </c>
      <c r="GN28" s="58">
        <v>120.955</v>
      </c>
      <c r="GO28" s="58">
        <v>50.093000000000004</v>
      </c>
      <c r="GP28" s="58">
        <v>70.861000000000004</v>
      </c>
      <c r="GQ28" s="58">
        <v>115.339</v>
      </c>
      <c r="GR28" s="58">
        <v>54.747</v>
      </c>
      <c r="GS28" s="58">
        <v>60.591999999999999</v>
      </c>
      <c r="GT28" s="58">
        <v>453.87099999999998</v>
      </c>
      <c r="GU28" s="58">
        <v>280.81</v>
      </c>
      <c r="GV28" s="58">
        <v>173.06100000000001</v>
      </c>
      <c r="GW28" s="58">
        <v>200.16200000000001</v>
      </c>
      <c r="GX28" s="58">
        <v>145.16200000000001</v>
      </c>
      <c r="GY28" s="58">
        <v>55</v>
      </c>
      <c r="GZ28" s="58">
        <v>253.708</v>
      </c>
      <c r="HA28" s="58">
        <v>135.648</v>
      </c>
      <c r="HB28" s="58">
        <v>118.06</v>
      </c>
      <c r="HC28" s="58">
        <v>44.816000000000003</v>
      </c>
      <c r="HD28" s="58">
        <v>26.463000000000001</v>
      </c>
      <c r="HE28" s="58">
        <v>18.353000000000002</v>
      </c>
      <c r="HF28" s="58">
        <v>22.657</v>
      </c>
      <c r="HG28" s="58">
        <v>14.723000000000001</v>
      </c>
      <c r="HH28" s="58">
        <v>7.9340000000000002</v>
      </c>
      <c r="HI28" s="58">
        <v>5.4329999999999998</v>
      </c>
      <c r="HJ28" s="58">
        <v>4.9859999999999998</v>
      </c>
      <c r="HK28" s="58">
        <v>0.44600000000000001</v>
      </c>
      <c r="HL28" s="58">
        <v>3.181</v>
      </c>
      <c r="HM28" s="58">
        <v>3.181</v>
      </c>
      <c r="HN28" s="58">
        <v>0</v>
      </c>
      <c r="HO28" s="58">
        <v>2.2519999999999998</v>
      </c>
      <c r="HP28" s="58">
        <v>1.806</v>
      </c>
      <c r="HQ28" s="58">
        <v>0.44600000000000001</v>
      </c>
      <c r="HR28" s="58">
        <v>17.224</v>
      </c>
      <c r="HS28" s="58">
        <v>9.7370000000000001</v>
      </c>
      <c r="HT28" s="58">
        <v>7.4870000000000001</v>
      </c>
      <c r="HU28" s="58">
        <v>26.169</v>
      </c>
      <c r="HV28" s="58">
        <v>14.939</v>
      </c>
      <c r="HW28" s="58">
        <v>11.23</v>
      </c>
      <c r="HX28" s="58">
        <v>4.5540000000000003</v>
      </c>
      <c r="HY28" s="58">
        <v>4.0389999999999997</v>
      </c>
      <c r="HZ28" s="58">
        <v>0.51500000000000001</v>
      </c>
      <c r="IA28" s="58">
        <v>21.616</v>
      </c>
      <c r="IB28" s="58">
        <v>10.9</v>
      </c>
      <c r="IC28" s="58">
        <v>10.715</v>
      </c>
      <c r="ID28" s="58">
        <v>9.4700000000000006</v>
      </c>
      <c r="IE28" s="58">
        <v>8.5079999999999991</v>
      </c>
      <c r="IF28" s="58">
        <v>0.96099999999999997</v>
      </c>
      <c r="IG28" s="58">
        <v>35.345999999999997</v>
      </c>
      <c r="IH28" s="58">
        <v>17.954999999999998</v>
      </c>
      <c r="II28" s="58">
        <v>17.391999999999999</v>
      </c>
      <c r="IJ28" s="58">
        <v>24.795999999999999</v>
      </c>
      <c r="IK28" s="58">
        <v>14.081</v>
      </c>
      <c r="IL28" s="58">
        <v>10.715</v>
      </c>
      <c r="IM28" s="58">
        <v>3834.1260000000002</v>
      </c>
      <c r="IN28" s="58">
        <v>2039.0060000000001</v>
      </c>
      <c r="IO28" s="58">
        <v>1795.12</v>
      </c>
      <c r="IP28" s="58">
        <v>2723.5450000000001</v>
      </c>
      <c r="IQ28" s="58">
        <v>1695.4690000000001</v>
      </c>
    </row>
    <row r="29" spans="1:251">
      <c r="A29" s="5">
        <v>42370</v>
      </c>
      <c r="B29" s="58">
        <v>8.3789999999999996</v>
      </c>
      <c r="C29" s="58">
        <v>16.849</v>
      </c>
      <c r="D29" s="58">
        <v>363.375</v>
      </c>
      <c r="E29" s="58">
        <v>215.77</v>
      </c>
      <c r="F29" s="58">
        <v>147.60599999999999</v>
      </c>
      <c r="G29" s="58">
        <v>182.25299999999999</v>
      </c>
      <c r="H29" s="58">
        <v>136.93600000000001</v>
      </c>
      <c r="I29" s="58">
        <v>45.317999999999998</v>
      </c>
      <c r="J29" s="58">
        <v>181.12200000000001</v>
      </c>
      <c r="K29" s="58">
        <v>78.834000000000003</v>
      </c>
      <c r="L29" s="58">
        <v>102.288</v>
      </c>
      <c r="M29" s="58">
        <v>222.43199999999999</v>
      </c>
      <c r="N29" s="58">
        <v>164.96600000000001</v>
      </c>
      <c r="O29" s="58">
        <v>57.465000000000003</v>
      </c>
      <c r="P29" s="58">
        <v>192.10499999999999</v>
      </c>
      <c r="Q29" s="58">
        <v>82.263000000000005</v>
      </c>
      <c r="R29" s="58">
        <v>109.842</v>
      </c>
      <c r="S29" s="58">
        <v>205.768</v>
      </c>
      <c r="T29" s="58">
        <v>96.677000000000007</v>
      </c>
      <c r="U29" s="58">
        <v>109.092</v>
      </c>
      <c r="V29" s="58">
        <v>2533.3150000000001</v>
      </c>
      <c r="W29" s="58">
        <v>1379.6389999999999</v>
      </c>
      <c r="X29" s="58">
        <v>1153.6759999999999</v>
      </c>
      <c r="Y29" s="58">
        <v>1879.2760000000001</v>
      </c>
      <c r="Z29" s="58">
        <v>1260.7950000000001</v>
      </c>
      <c r="AA29" s="58">
        <v>618.48099999999999</v>
      </c>
      <c r="AB29" s="58">
        <v>654.03899999999999</v>
      </c>
      <c r="AC29" s="58">
        <v>118.84399999999999</v>
      </c>
      <c r="AD29" s="58">
        <v>535.19500000000005</v>
      </c>
      <c r="AE29" s="58">
        <v>334.48899999999998</v>
      </c>
      <c r="AF29" s="58">
        <v>174.68</v>
      </c>
      <c r="AG29" s="58">
        <v>159.809</v>
      </c>
      <c r="AH29" s="58">
        <v>69.911000000000001</v>
      </c>
      <c r="AI29" s="58">
        <v>38.558</v>
      </c>
      <c r="AJ29" s="58">
        <v>31.352</v>
      </c>
      <c r="AK29" s="58">
        <v>38.979999999999997</v>
      </c>
      <c r="AL29" s="58">
        <v>28.428999999999998</v>
      </c>
      <c r="AM29" s="58">
        <v>10.551</v>
      </c>
      <c r="AN29" s="58">
        <v>15.711</v>
      </c>
      <c r="AO29" s="58">
        <v>9.56</v>
      </c>
      <c r="AP29" s="58">
        <v>6.1509999999999998</v>
      </c>
      <c r="AQ29" s="58">
        <v>23.268000000000001</v>
      </c>
      <c r="AR29" s="58">
        <v>18.869</v>
      </c>
      <c r="AS29" s="58">
        <v>4.4000000000000004</v>
      </c>
      <c r="AT29" s="58">
        <v>30.931000000000001</v>
      </c>
      <c r="AU29" s="58">
        <v>10.129</v>
      </c>
      <c r="AV29" s="58">
        <v>20.802</v>
      </c>
      <c r="AW29" s="58">
        <v>287.60500000000002</v>
      </c>
      <c r="AX29" s="58">
        <v>146.024</v>
      </c>
      <c r="AY29" s="58">
        <v>141.58099999999999</v>
      </c>
      <c r="AZ29" s="58">
        <v>125</v>
      </c>
      <c r="BA29" s="58">
        <v>100.78100000000001</v>
      </c>
      <c r="BB29" s="58">
        <v>24.219000000000001</v>
      </c>
      <c r="BC29" s="58">
        <v>162.60499999999999</v>
      </c>
      <c r="BD29" s="58">
        <v>45.243000000000002</v>
      </c>
      <c r="BE29" s="58">
        <v>117.36199999999999</v>
      </c>
      <c r="BF29" s="58">
        <v>159.31100000000001</v>
      </c>
      <c r="BG29" s="58">
        <v>126.13</v>
      </c>
      <c r="BH29" s="58">
        <v>33.18</v>
      </c>
      <c r="BI29" s="58">
        <v>175.178</v>
      </c>
      <c r="BJ29" s="58">
        <v>48.548999999999999</v>
      </c>
      <c r="BK29" s="58">
        <v>126.629</v>
      </c>
      <c r="BL29" s="58">
        <v>178.316</v>
      </c>
      <c r="BM29" s="58">
        <v>54.802999999999997</v>
      </c>
      <c r="BN29" s="58">
        <v>123.51300000000001</v>
      </c>
      <c r="BO29" s="58">
        <v>2455.5419999999999</v>
      </c>
      <c r="BP29" s="58">
        <v>1290.0440000000001</v>
      </c>
      <c r="BQ29" s="58">
        <v>1165.498</v>
      </c>
      <c r="BR29" s="58">
        <v>1832.0509999999999</v>
      </c>
      <c r="BS29" s="58">
        <v>1164.886</v>
      </c>
      <c r="BT29" s="58">
        <v>667.16600000000005</v>
      </c>
      <c r="BU29" s="58">
        <v>623.49099999999999</v>
      </c>
      <c r="BV29" s="58">
        <v>125.158</v>
      </c>
      <c r="BW29" s="58">
        <v>498.33300000000003</v>
      </c>
      <c r="BX29" s="58">
        <v>311.10199999999998</v>
      </c>
      <c r="BY29" s="58">
        <v>153.42699999999999</v>
      </c>
      <c r="BZ29" s="58">
        <v>157.67500000000001</v>
      </c>
      <c r="CA29" s="58">
        <v>72.599000000000004</v>
      </c>
      <c r="CB29" s="58">
        <v>45.253999999999998</v>
      </c>
      <c r="CC29" s="58">
        <v>27.344999999999999</v>
      </c>
      <c r="CD29" s="58">
        <v>43.338999999999999</v>
      </c>
      <c r="CE29" s="58">
        <v>33.243000000000002</v>
      </c>
      <c r="CF29" s="58">
        <v>10.096</v>
      </c>
      <c r="CG29" s="58">
        <v>22.988</v>
      </c>
      <c r="CH29" s="58">
        <v>17.109000000000002</v>
      </c>
      <c r="CI29" s="58">
        <v>5.8789999999999996</v>
      </c>
      <c r="CJ29" s="58">
        <v>20.352</v>
      </c>
      <c r="CK29" s="58">
        <v>16.135000000000002</v>
      </c>
      <c r="CL29" s="58">
        <v>4.2169999999999996</v>
      </c>
      <c r="CM29" s="58">
        <v>29.26</v>
      </c>
      <c r="CN29" s="58">
        <v>12.010999999999999</v>
      </c>
      <c r="CO29" s="58">
        <v>17.248999999999999</v>
      </c>
      <c r="CP29" s="58">
        <v>260.57</v>
      </c>
      <c r="CQ29" s="58">
        <v>120.43300000000001</v>
      </c>
      <c r="CR29" s="58">
        <v>140.137</v>
      </c>
      <c r="CS29" s="58">
        <v>105.42100000000001</v>
      </c>
      <c r="CT29" s="58">
        <v>78.096999999999994</v>
      </c>
      <c r="CU29" s="58">
        <v>27.324000000000002</v>
      </c>
      <c r="CV29" s="58">
        <v>155.149</v>
      </c>
      <c r="CW29" s="58">
        <v>42.337000000000003</v>
      </c>
      <c r="CX29" s="58">
        <v>112.813</v>
      </c>
      <c r="CY29" s="58">
        <v>143.32599999999999</v>
      </c>
      <c r="CZ29" s="58">
        <v>106.304</v>
      </c>
      <c r="DA29" s="58">
        <v>37.021999999999998</v>
      </c>
      <c r="DB29" s="58">
        <v>167.77600000000001</v>
      </c>
      <c r="DC29" s="58">
        <v>47.122999999999998</v>
      </c>
      <c r="DD29" s="58">
        <v>120.65300000000001</v>
      </c>
      <c r="DE29" s="58">
        <v>178.137</v>
      </c>
      <c r="DF29" s="58">
        <v>59.445</v>
      </c>
      <c r="DG29" s="58">
        <v>118.691</v>
      </c>
      <c r="DH29" s="58">
        <v>2136.0360000000001</v>
      </c>
      <c r="DI29" s="58">
        <v>1191.3820000000001</v>
      </c>
      <c r="DJ29" s="58">
        <v>944.654</v>
      </c>
      <c r="DK29" s="58">
        <v>1357.88</v>
      </c>
      <c r="DL29" s="58">
        <v>904.71799999999996</v>
      </c>
      <c r="DM29" s="58">
        <v>453.16199999999998</v>
      </c>
      <c r="DN29" s="58">
        <v>778.15499999999997</v>
      </c>
      <c r="DO29" s="58">
        <v>286.66399999999999</v>
      </c>
      <c r="DP29" s="58">
        <v>491.49200000000002</v>
      </c>
      <c r="DQ29" s="58">
        <v>249.86099999999999</v>
      </c>
      <c r="DR29" s="58">
        <v>142.47900000000001</v>
      </c>
      <c r="DS29" s="58">
        <v>107.38200000000001</v>
      </c>
      <c r="DT29" s="58">
        <v>85.472999999999999</v>
      </c>
      <c r="DU29" s="58">
        <v>58.015000000000001</v>
      </c>
      <c r="DV29" s="58">
        <v>27.457999999999998</v>
      </c>
      <c r="DW29" s="58">
        <v>35.856999999999999</v>
      </c>
      <c r="DX29" s="58">
        <v>28.518000000000001</v>
      </c>
      <c r="DY29" s="58">
        <v>7.3390000000000004</v>
      </c>
      <c r="DZ29" s="58">
        <v>18.728999999999999</v>
      </c>
      <c r="EA29" s="58">
        <v>17.611000000000001</v>
      </c>
      <c r="EB29" s="58">
        <v>1.119</v>
      </c>
      <c r="EC29" s="58">
        <v>17.128</v>
      </c>
      <c r="ED29" s="58">
        <v>10.907999999999999</v>
      </c>
      <c r="EE29" s="58">
        <v>6.22</v>
      </c>
      <c r="EF29" s="58">
        <v>49.616</v>
      </c>
      <c r="EG29" s="58">
        <v>29.497</v>
      </c>
      <c r="EH29" s="58">
        <v>20.119</v>
      </c>
      <c r="EI29" s="58">
        <v>190.851</v>
      </c>
      <c r="EJ29" s="58">
        <v>102.94</v>
      </c>
      <c r="EK29" s="58">
        <v>87.911000000000001</v>
      </c>
      <c r="EL29" s="58">
        <v>60.725000000000001</v>
      </c>
      <c r="EM29" s="58">
        <v>46.226999999999997</v>
      </c>
      <c r="EN29" s="58">
        <v>14.497999999999999</v>
      </c>
      <c r="EO29" s="58">
        <v>130.126</v>
      </c>
      <c r="EP29" s="58">
        <v>56.713000000000001</v>
      </c>
      <c r="EQ29" s="58">
        <v>73.412000000000006</v>
      </c>
      <c r="ER29" s="58">
        <v>91.394000000000005</v>
      </c>
      <c r="ES29" s="58">
        <v>69.557000000000002</v>
      </c>
      <c r="ET29" s="58">
        <v>21.837</v>
      </c>
      <c r="EU29" s="58">
        <v>158.46700000000001</v>
      </c>
      <c r="EV29" s="58">
        <v>72.921999999999997</v>
      </c>
      <c r="EW29" s="58">
        <v>85.545000000000002</v>
      </c>
      <c r="EX29" s="58">
        <v>148.85499999999999</v>
      </c>
      <c r="EY29" s="58">
        <v>74.323999999999998</v>
      </c>
      <c r="EZ29" s="58">
        <v>74.531000000000006</v>
      </c>
      <c r="FA29" s="58">
        <v>1702.751</v>
      </c>
      <c r="FB29" s="58">
        <v>924.30200000000002</v>
      </c>
      <c r="FC29" s="58">
        <v>778.44899999999996</v>
      </c>
      <c r="FD29" s="58">
        <v>1169.106</v>
      </c>
      <c r="FE29" s="58">
        <v>765.27700000000004</v>
      </c>
      <c r="FF29" s="58">
        <v>403.82900000000001</v>
      </c>
      <c r="FG29" s="58">
        <v>533.64499999999998</v>
      </c>
      <c r="FH29" s="58">
        <v>159.02500000000001</v>
      </c>
      <c r="FI29" s="58">
        <v>374.62</v>
      </c>
      <c r="FJ29" s="58">
        <v>206.279</v>
      </c>
      <c r="FK29" s="58">
        <v>115.84099999999999</v>
      </c>
      <c r="FL29" s="58">
        <v>90.438000000000002</v>
      </c>
      <c r="FM29" s="58">
        <v>64.275000000000006</v>
      </c>
      <c r="FN29" s="58">
        <v>43.165999999999997</v>
      </c>
      <c r="FO29" s="58">
        <v>21.109000000000002</v>
      </c>
      <c r="FP29" s="58">
        <v>29.23</v>
      </c>
      <c r="FQ29" s="58">
        <v>23.986999999999998</v>
      </c>
      <c r="FR29" s="58">
        <v>5.2430000000000003</v>
      </c>
      <c r="FS29" s="58">
        <v>14.951000000000001</v>
      </c>
      <c r="FT29" s="58">
        <v>14.048</v>
      </c>
      <c r="FU29" s="58">
        <v>0.90300000000000002</v>
      </c>
      <c r="FV29" s="58">
        <v>14.279</v>
      </c>
      <c r="FW29" s="58">
        <v>9.9390000000000001</v>
      </c>
      <c r="FX29" s="58">
        <v>4.34</v>
      </c>
      <c r="FY29" s="58">
        <v>35.043999999999997</v>
      </c>
      <c r="FZ29" s="58">
        <v>19.178999999999998</v>
      </c>
      <c r="GA29" s="58">
        <v>15.866</v>
      </c>
      <c r="GB29" s="58">
        <v>165.11600000000001</v>
      </c>
      <c r="GC29" s="58">
        <v>88.29</v>
      </c>
      <c r="GD29" s="58">
        <v>76.825999999999993</v>
      </c>
      <c r="GE29" s="58">
        <v>57.706000000000003</v>
      </c>
      <c r="GF29" s="58">
        <v>43.591999999999999</v>
      </c>
      <c r="GG29" s="58">
        <v>14.113</v>
      </c>
      <c r="GH29" s="58">
        <v>107.41</v>
      </c>
      <c r="GI29" s="58">
        <v>44.697000000000003</v>
      </c>
      <c r="GJ29" s="58">
        <v>62.713000000000001</v>
      </c>
      <c r="GK29" s="58">
        <v>82.153000000000006</v>
      </c>
      <c r="GL29" s="58">
        <v>62.796999999999997</v>
      </c>
      <c r="GM29" s="58">
        <v>19.356999999999999</v>
      </c>
      <c r="GN29" s="58">
        <v>124.126</v>
      </c>
      <c r="GO29" s="58">
        <v>53.045000000000002</v>
      </c>
      <c r="GP29" s="58">
        <v>71.081000000000003</v>
      </c>
      <c r="GQ29" s="58">
        <v>122.36199999999999</v>
      </c>
      <c r="GR29" s="58">
        <v>58.744999999999997</v>
      </c>
      <c r="GS29" s="58">
        <v>63.616</v>
      </c>
      <c r="GT29" s="58">
        <v>433.28500000000003</v>
      </c>
      <c r="GU29" s="58">
        <v>267.08</v>
      </c>
      <c r="GV29" s="58">
        <v>166.20500000000001</v>
      </c>
      <c r="GW29" s="58">
        <v>188.774</v>
      </c>
      <c r="GX29" s="58">
        <v>139.44200000000001</v>
      </c>
      <c r="GY29" s="58">
        <v>49.332000000000001</v>
      </c>
      <c r="GZ29" s="58">
        <v>244.511</v>
      </c>
      <c r="HA29" s="58">
        <v>127.63800000000001</v>
      </c>
      <c r="HB29" s="58">
        <v>116.872</v>
      </c>
      <c r="HC29" s="58">
        <v>43.581000000000003</v>
      </c>
      <c r="HD29" s="58">
        <v>26.638000000000002</v>
      </c>
      <c r="HE29" s="58">
        <v>16.943999999999999</v>
      </c>
      <c r="HF29" s="58">
        <v>21.198</v>
      </c>
      <c r="HG29" s="58">
        <v>14.849</v>
      </c>
      <c r="HH29" s="58">
        <v>6.3490000000000002</v>
      </c>
      <c r="HI29" s="58">
        <v>6.6269999999999998</v>
      </c>
      <c r="HJ29" s="58">
        <v>4.5309999999999997</v>
      </c>
      <c r="HK29" s="58">
        <v>2.0950000000000002</v>
      </c>
      <c r="HL29" s="58">
        <v>3.778</v>
      </c>
      <c r="HM29" s="58">
        <v>3.5630000000000002</v>
      </c>
      <c r="HN29" s="58">
        <v>0.215</v>
      </c>
      <c r="HO29" s="58">
        <v>2.8490000000000002</v>
      </c>
      <c r="HP29" s="58">
        <v>0.96899999999999997</v>
      </c>
      <c r="HQ29" s="58">
        <v>1.88</v>
      </c>
      <c r="HR29" s="58">
        <v>14.571</v>
      </c>
      <c r="HS29" s="58">
        <v>10.318</v>
      </c>
      <c r="HT29" s="58">
        <v>4.2539999999999996</v>
      </c>
      <c r="HU29" s="58">
        <v>25.734999999999999</v>
      </c>
      <c r="HV29" s="58">
        <v>14.65</v>
      </c>
      <c r="HW29" s="58">
        <v>11.084</v>
      </c>
      <c r="HX29" s="58">
        <v>3.0190000000000001</v>
      </c>
      <c r="HY29" s="58">
        <v>2.6349999999999998</v>
      </c>
      <c r="HZ29" s="58">
        <v>0.38500000000000001</v>
      </c>
      <c r="IA29" s="58">
        <v>22.715</v>
      </c>
      <c r="IB29" s="58">
        <v>12.016</v>
      </c>
      <c r="IC29" s="58">
        <v>10.699</v>
      </c>
      <c r="ID29" s="58">
        <v>9.24</v>
      </c>
      <c r="IE29" s="58">
        <v>6.76</v>
      </c>
      <c r="IF29" s="58">
        <v>2.48</v>
      </c>
      <c r="IG29" s="58">
        <v>34.341000000000001</v>
      </c>
      <c r="IH29" s="58">
        <v>19.878</v>
      </c>
      <c r="II29" s="58">
        <v>14.462999999999999</v>
      </c>
      <c r="IJ29" s="58">
        <v>26.492999999999999</v>
      </c>
      <c r="IK29" s="58">
        <v>15.579000000000001</v>
      </c>
      <c r="IL29" s="58">
        <v>10.914999999999999</v>
      </c>
      <c r="IM29" s="58">
        <v>3740.2190000000001</v>
      </c>
      <c r="IN29" s="58">
        <v>2004.0840000000001</v>
      </c>
      <c r="IO29" s="58">
        <v>1736.135</v>
      </c>
      <c r="IP29" s="58">
        <v>2634.741</v>
      </c>
      <c r="IQ29" s="58">
        <v>1652.16</v>
      </c>
    </row>
    <row r="30" spans="1:251">
      <c r="A30" s="5">
        <v>42401</v>
      </c>
      <c r="B30" s="58">
        <v>8.0709999999999997</v>
      </c>
      <c r="C30" s="58">
        <v>15.426</v>
      </c>
      <c r="D30" s="58">
        <v>348.07600000000002</v>
      </c>
      <c r="E30" s="58">
        <v>207.334</v>
      </c>
      <c r="F30" s="58">
        <v>140.74199999999999</v>
      </c>
      <c r="G30" s="58">
        <v>173.36</v>
      </c>
      <c r="H30" s="58">
        <v>136.63200000000001</v>
      </c>
      <c r="I30" s="58">
        <v>36.728000000000002</v>
      </c>
      <c r="J30" s="58">
        <v>174.71600000000001</v>
      </c>
      <c r="K30" s="58">
        <v>70.701999999999998</v>
      </c>
      <c r="L30" s="58">
        <v>104.015</v>
      </c>
      <c r="M30" s="58">
        <v>191.78399999999999</v>
      </c>
      <c r="N30" s="58">
        <v>149.71700000000001</v>
      </c>
      <c r="O30" s="58">
        <v>42.067999999999998</v>
      </c>
      <c r="P30" s="58">
        <v>185.601</v>
      </c>
      <c r="Q30" s="58">
        <v>73.802000000000007</v>
      </c>
      <c r="R30" s="58">
        <v>111.79900000000001</v>
      </c>
      <c r="S30" s="58">
        <v>188.322</v>
      </c>
      <c r="T30" s="58">
        <v>81.322000000000003</v>
      </c>
      <c r="U30" s="58">
        <v>107</v>
      </c>
      <c r="V30" s="58">
        <v>2566.971</v>
      </c>
      <c r="W30" s="58">
        <v>1395.7529999999999</v>
      </c>
      <c r="X30" s="58">
        <v>1171.2170000000001</v>
      </c>
      <c r="Y30" s="58">
        <v>1910.8109999999999</v>
      </c>
      <c r="Z30" s="58">
        <v>1286.2270000000001</v>
      </c>
      <c r="AA30" s="58">
        <v>624.58399999999995</v>
      </c>
      <c r="AB30" s="58">
        <v>656.15899999999999</v>
      </c>
      <c r="AC30" s="58">
        <v>109.526</v>
      </c>
      <c r="AD30" s="58">
        <v>546.63300000000004</v>
      </c>
      <c r="AE30" s="58">
        <v>318.50700000000001</v>
      </c>
      <c r="AF30" s="58">
        <v>163.22800000000001</v>
      </c>
      <c r="AG30" s="58">
        <v>155.279</v>
      </c>
      <c r="AH30" s="58">
        <v>63.030999999999999</v>
      </c>
      <c r="AI30" s="58">
        <v>32.139000000000003</v>
      </c>
      <c r="AJ30" s="58">
        <v>30.890999999999998</v>
      </c>
      <c r="AK30" s="58">
        <v>28.542999999999999</v>
      </c>
      <c r="AL30" s="58">
        <v>22.201000000000001</v>
      </c>
      <c r="AM30" s="58">
        <v>6.3419999999999996</v>
      </c>
      <c r="AN30" s="58">
        <v>15.808999999999999</v>
      </c>
      <c r="AO30" s="58">
        <v>11.863</v>
      </c>
      <c r="AP30" s="58">
        <v>3.9460000000000002</v>
      </c>
      <c r="AQ30" s="58">
        <v>12.734999999999999</v>
      </c>
      <c r="AR30" s="58">
        <v>10.337999999999999</v>
      </c>
      <c r="AS30" s="58">
        <v>2.3959999999999999</v>
      </c>
      <c r="AT30" s="58">
        <v>34.488</v>
      </c>
      <c r="AU30" s="58">
        <v>9.9380000000000006</v>
      </c>
      <c r="AV30" s="58">
        <v>24.548999999999999</v>
      </c>
      <c r="AW30" s="58">
        <v>274.77100000000002</v>
      </c>
      <c r="AX30" s="58">
        <v>139.88</v>
      </c>
      <c r="AY30" s="58">
        <v>134.89099999999999</v>
      </c>
      <c r="AZ30" s="58">
        <v>122.226</v>
      </c>
      <c r="BA30" s="58">
        <v>98.265000000000001</v>
      </c>
      <c r="BB30" s="58">
        <v>23.960999999999999</v>
      </c>
      <c r="BC30" s="58">
        <v>152.54599999999999</v>
      </c>
      <c r="BD30" s="58">
        <v>41.615000000000002</v>
      </c>
      <c r="BE30" s="58">
        <v>110.931</v>
      </c>
      <c r="BF30" s="58">
        <v>144.12</v>
      </c>
      <c r="BG30" s="58">
        <v>114.77200000000001</v>
      </c>
      <c r="BH30" s="58">
        <v>29.347999999999999</v>
      </c>
      <c r="BI30" s="58">
        <v>174.387</v>
      </c>
      <c r="BJ30" s="58">
        <v>48.456000000000003</v>
      </c>
      <c r="BK30" s="58">
        <v>125.931</v>
      </c>
      <c r="BL30" s="58">
        <v>168.35400000000001</v>
      </c>
      <c r="BM30" s="58">
        <v>53.478000000000002</v>
      </c>
      <c r="BN30" s="58">
        <v>114.877</v>
      </c>
      <c r="BO30" s="58">
        <v>2514.5920000000001</v>
      </c>
      <c r="BP30" s="58">
        <v>1312.6559999999999</v>
      </c>
      <c r="BQ30" s="58">
        <v>1201.9359999999999</v>
      </c>
      <c r="BR30" s="58">
        <v>1871.7159999999999</v>
      </c>
      <c r="BS30" s="58">
        <v>1182.33</v>
      </c>
      <c r="BT30" s="58">
        <v>689.38599999999997</v>
      </c>
      <c r="BU30" s="58">
        <v>642.87599999999998</v>
      </c>
      <c r="BV30" s="58">
        <v>130.32599999999999</v>
      </c>
      <c r="BW30" s="58">
        <v>512.54999999999995</v>
      </c>
      <c r="BX30" s="58">
        <v>322.05099999999999</v>
      </c>
      <c r="BY30" s="58">
        <v>150.816</v>
      </c>
      <c r="BZ30" s="58">
        <v>171.23400000000001</v>
      </c>
      <c r="CA30" s="58">
        <v>79.593999999999994</v>
      </c>
      <c r="CB30" s="58">
        <v>42.984999999999999</v>
      </c>
      <c r="CC30" s="58">
        <v>36.609000000000002</v>
      </c>
      <c r="CD30" s="58">
        <v>39.475999999999999</v>
      </c>
      <c r="CE30" s="58">
        <v>28.824000000000002</v>
      </c>
      <c r="CF30" s="58">
        <v>10.651999999999999</v>
      </c>
      <c r="CG30" s="58">
        <v>20.751999999999999</v>
      </c>
      <c r="CH30" s="58">
        <v>15.507999999999999</v>
      </c>
      <c r="CI30" s="58">
        <v>5.2439999999999998</v>
      </c>
      <c r="CJ30" s="58">
        <v>18.724</v>
      </c>
      <c r="CK30" s="58">
        <v>13.316000000000001</v>
      </c>
      <c r="CL30" s="58">
        <v>5.4080000000000004</v>
      </c>
      <c r="CM30" s="58">
        <v>40.118000000000002</v>
      </c>
      <c r="CN30" s="58">
        <v>14.161</v>
      </c>
      <c r="CO30" s="58">
        <v>25.957000000000001</v>
      </c>
      <c r="CP30" s="58">
        <v>270.04599999999999</v>
      </c>
      <c r="CQ30" s="58">
        <v>122.465</v>
      </c>
      <c r="CR30" s="58">
        <v>147.58099999999999</v>
      </c>
      <c r="CS30" s="58">
        <v>107.86199999999999</v>
      </c>
      <c r="CT30" s="58">
        <v>75.66</v>
      </c>
      <c r="CU30" s="58">
        <v>32.201000000000001</v>
      </c>
      <c r="CV30" s="58">
        <v>162.184</v>
      </c>
      <c r="CW30" s="58">
        <v>46.805</v>
      </c>
      <c r="CX30" s="58">
        <v>115.379</v>
      </c>
      <c r="CY30" s="58">
        <v>139.227</v>
      </c>
      <c r="CZ30" s="58">
        <v>99.126999999999995</v>
      </c>
      <c r="DA30" s="58">
        <v>40.1</v>
      </c>
      <c r="DB30" s="58">
        <v>182.82300000000001</v>
      </c>
      <c r="DC30" s="58">
        <v>51.689</v>
      </c>
      <c r="DD30" s="58">
        <v>131.13399999999999</v>
      </c>
      <c r="DE30" s="58">
        <v>182.93600000000001</v>
      </c>
      <c r="DF30" s="58">
        <v>62.311999999999998</v>
      </c>
      <c r="DG30" s="58">
        <v>120.623</v>
      </c>
      <c r="DH30" s="58">
        <v>2187.8829999999998</v>
      </c>
      <c r="DI30" s="58">
        <v>1216.633</v>
      </c>
      <c r="DJ30" s="58">
        <v>971.25</v>
      </c>
      <c r="DK30" s="58">
        <v>1382.22</v>
      </c>
      <c r="DL30" s="58">
        <v>922.76499999999999</v>
      </c>
      <c r="DM30" s="58">
        <v>459.45499999999998</v>
      </c>
      <c r="DN30" s="58">
        <v>805.66300000000001</v>
      </c>
      <c r="DO30" s="58">
        <v>293.86799999999999</v>
      </c>
      <c r="DP30" s="58">
        <v>511.79500000000002</v>
      </c>
      <c r="DQ30" s="58">
        <v>228.81700000000001</v>
      </c>
      <c r="DR30" s="58">
        <v>136.285</v>
      </c>
      <c r="DS30" s="58">
        <v>92.531999999999996</v>
      </c>
      <c r="DT30" s="58">
        <v>70.965999999999994</v>
      </c>
      <c r="DU30" s="58">
        <v>49.927999999999997</v>
      </c>
      <c r="DV30" s="58">
        <v>21.038</v>
      </c>
      <c r="DW30" s="58">
        <v>25.24</v>
      </c>
      <c r="DX30" s="58">
        <v>22.478999999999999</v>
      </c>
      <c r="DY30" s="58">
        <v>2.76</v>
      </c>
      <c r="DZ30" s="58">
        <v>13.433999999999999</v>
      </c>
      <c r="EA30" s="58">
        <v>11.676</v>
      </c>
      <c r="EB30" s="58">
        <v>1.758</v>
      </c>
      <c r="EC30" s="58">
        <v>11.805</v>
      </c>
      <c r="ED30" s="58">
        <v>10.803000000000001</v>
      </c>
      <c r="EE30" s="58">
        <v>1.002</v>
      </c>
      <c r="EF30" s="58">
        <v>45.725999999999999</v>
      </c>
      <c r="EG30" s="58">
        <v>27.449000000000002</v>
      </c>
      <c r="EH30" s="58">
        <v>18.277000000000001</v>
      </c>
      <c r="EI30" s="58">
        <v>179.37100000000001</v>
      </c>
      <c r="EJ30" s="58">
        <v>101.84399999999999</v>
      </c>
      <c r="EK30" s="58">
        <v>77.528000000000006</v>
      </c>
      <c r="EL30" s="58">
        <v>58.28</v>
      </c>
      <c r="EM30" s="58">
        <v>45.063000000000002</v>
      </c>
      <c r="EN30" s="58">
        <v>13.217000000000001</v>
      </c>
      <c r="EO30" s="58">
        <v>121.09099999999999</v>
      </c>
      <c r="EP30" s="58">
        <v>56.780999999999999</v>
      </c>
      <c r="EQ30" s="58">
        <v>64.31</v>
      </c>
      <c r="ER30" s="58">
        <v>78.018000000000001</v>
      </c>
      <c r="ES30" s="58">
        <v>62.923000000000002</v>
      </c>
      <c r="ET30" s="58">
        <v>15.095000000000001</v>
      </c>
      <c r="EU30" s="58">
        <v>150.79900000000001</v>
      </c>
      <c r="EV30" s="58">
        <v>73.361999999999995</v>
      </c>
      <c r="EW30" s="58">
        <v>77.436999999999998</v>
      </c>
      <c r="EX30" s="58">
        <v>134.52500000000001</v>
      </c>
      <c r="EY30" s="58">
        <v>68.456999999999994</v>
      </c>
      <c r="EZ30" s="58">
        <v>66.069000000000003</v>
      </c>
      <c r="FA30" s="58">
        <v>1738.857</v>
      </c>
      <c r="FB30" s="58">
        <v>940.57600000000002</v>
      </c>
      <c r="FC30" s="58">
        <v>798.28099999999995</v>
      </c>
      <c r="FD30" s="58">
        <v>1188.1500000000001</v>
      </c>
      <c r="FE30" s="58">
        <v>779.80200000000002</v>
      </c>
      <c r="FF30" s="58">
        <v>408.34800000000001</v>
      </c>
      <c r="FG30" s="58">
        <v>550.70699999999999</v>
      </c>
      <c r="FH30" s="58">
        <v>160.77500000000001</v>
      </c>
      <c r="FI30" s="58">
        <v>389.93200000000002</v>
      </c>
      <c r="FJ30" s="58">
        <v>192.417</v>
      </c>
      <c r="FK30" s="58">
        <v>109.82899999999999</v>
      </c>
      <c r="FL30" s="58">
        <v>82.587999999999994</v>
      </c>
      <c r="FM30" s="58">
        <v>52.682000000000002</v>
      </c>
      <c r="FN30" s="58">
        <v>35.651000000000003</v>
      </c>
      <c r="FO30" s="58">
        <v>17.030999999999999</v>
      </c>
      <c r="FP30" s="58">
        <v>20.683</v>
      </c>
      <c r="FQ30" s="58">
        <v>18.771999999999998</v>
      </c>
      <c r="FR30" s="58">
        <v>1.911</v>
      </c>
      <c r="FS30" s="58">
        <v>9.9339999999999993</v>
      </c>
      <c r="FT30" s="58">
        <v>9.0250000000000004</v>
      </c>
      <c r="FU30" s="58">
        <v>0.90900000000000003</v>
      </c>
      <c r="FV30" s="58">
        <v>10.749000000000001</v>
      </c>
      <c r="FW30" s="58">
        <v>9.7469999999999999</v>
      </c>
      <c r="FX30" s="58">
        <v>1.002</v>
      </c>
      <c r="FY30" s="58">
        <v>31.998999999999999</v>
      </c>
      <c r="FZ30" s="58">
        <v>16.879000000000001</v>
      </c>
      <c r="GA30" s="58">
        <v>15.12</v>
      </c>
      <c r="GB30" s="58">
        <v>155.505</v>
      </c>
      <c r="GC30" s="58">
        <v>85.349000000000004</v>
      </c>
      <c r="GD30" s="58">
        <v>70.156000000000006</v>
      </c>
      <c r="GE30" s="58">
        <v>54.83</v>
      </c>
      <c r="GF30" s="58">
        <v>42.197000000000003</v>
      </c>
      <c r="GG30" s="58">
        <v>12.632999999999999</v>
      </c>
      <c r="GH30" s="58">
        <v>100.67400000000001</v>
      </c>
      <c r="GI30" s="58">
        <v>43.152000000000001</v>
      </c>
      <c r="GJ30" s="58">
        <v>57.523000000000003</v>
      </c>
      <c r="GK30" s="58">
        <v>71.31</v>
      </c>
      <c r="GL30" s="58">
        <v>57.235999999999997</v>
      </c>
      <c r="GM30" s="58">
        <v>14.074</v>
      </c>
      <c r="GN30" s="58">
        <v>121.107</v>
      </c>
      <c r="GO30" s="58">
        <v>52.593000000000004</v>
      </c>
      <c r="GP30" s="58">
        <v>68.513000000000005</v>
      </c>
      <c r="GQ30" s="58">
        <v>110.60899999999999</v>
      </c>
      <c r="GR30" s="58">
        <v>52.177</v>
      </c>
      <c r="GS30" s="58">
        <v>58.430999999999997</v>
      </c>
      <c r="GT30" s="58">
        <v>449.02600000000001</v>
      </c>
      <c r="GU30" s="58">
        <v>276.05700000000002</v>
      </c>
      <c r="GV30" s="58">
        <v>172.96899999999999</v>
      </c>
      <c r="GW30" s="58">
        <v>194.07</v>
      </c>
      <c r="GX30" s="58">
        <v>142.96299999999999</v>
      </c>
      <c r="GY30" s="58">
        <v>51.106999999999999</v>
      </c>
      <c r="GZ30" s="58">
        <v>254.95599999999999</v>
      </c>
      <c r="HA30" s="58">
        <v>133.09299999999999</v>
      </c>
      <c r="HB30" s="58">
        <v>121.863</v>
      </c>
      <c r="HC30" s="58">
        <v>36.4</v>
      </c>
      <c r="HD30" s="58">
        <v>26.456</v>
      </c>
      <c r="HE30" s="58">
        <v>9.9440000000000008</v>
      </c>
      <c r="HF30" s="58">
        <v>18.283000000000001</v>
      </c>
      <c r="HG30" s="58">
        <v>14.276999999999999</v>
      </c>
      <c r="HH30" s="58">
        <v>4.0069999999999997</v>
      </c>
      <c r="HI30" s="58">
        <v>4.5570000000000004</v>
      </c>
      <c r="HJ30" s="58">
        <v>3.7069999999999999</v>
      </c>
      <c r="HK30" s="58">
        <v>0.85</v>
      </c>
      <c r="HL30" s="58">
        <v>3.5</v>
      </c>
      <c r="HM30" s="58">
        <v>2.6509999999999998</v>
      </c>
      <c r="HN30" s="58">
        <v>0.85</v>
      </c>
      <c r="HO30" s="58">
        <v>1.056</v>
      </c>
      <c r="HP30" s="58">
        <v>1.056</v>
      </c>
      <c r="HQ30" s="58">
        <v>0</v>
      </c>
      <c r="HR30" s="58">
        <v>13.727</v>
      </c>
      <c r="HS30" s="58">
        <v>10.57</v>
      </c>
      <c r="HT30" s="58">
        <v>3.157</v>
      </c>
      <c r="HU30" s="58">
        <v>23.867000000000001</v>
      </c>
      <c r="HV30" s="58">
        <v>16.495000000000001</v>
      </c>
      <c r="HW30" s="58">
        <v>7.3719999999999999</v>
      </c>
      <c r="HX30" s="58">
        <v>3.45</v>
      </c>
      <c r="HY30" s="58">
        <v>2.8660000000000001</v>
      </c>
      <c r="HZ30" s="58">
        <v>0.58399999999999996</v>
      </c>
      <c r="IA30" s="58">
        <v>20.417000000000002</v>
      </c>
      <c r="IB30" s="58">
        <v>13.629</v>
      </c>
      <c r="IC30" s="58">
        <v>6.7880000000000003</v>
      </c>
      <c r="ID30" s="58">
        <v>6.7080000000000002</v>
      </c>
      <c r="IE30" s="58">
        <v>5.6870000000000003</v>
      </c>
      <c r="IF30" s="58">
        <v>1.0209999999999999</v>
      </c>
      <c r="IG30" s="58">
        <v>29.692</v>
      </c>
      <c r="IH30" s="58">
        <v>20.768999999999998</v>
      </c>
      <c r="II30" s="58">
        <v>8.9239999999999995</v>
      </c>
      <c r="IJ30" s="58">
        <v>23.917000000000002</v>
      </c>
      <c r="IK30" s="58">
        <v>16.28</v>
      </c>
      <c r="IL30" s="58">
        <v>7.6369999999999996</v>
      </c>
      <c r="IM30" s="58">
        <v>3801.5819999999999</v>
      </c>
      <c r="IN30" s="58">
        <v>2025.5530000000001</v>
      </c>
      <c r="IO30" s="58">
        <v>1776.029</v>
      </c>
      <c r="IP30" s="58">
        <v>2677.944</v>
      </c>
      <c r="IQ30" s="58">
        <v>1681.4179999999999</v>
      </c>
    </row>
    <row r="31" spans="1:251">
      <c r="A31" s="5">
        <v>42430</v>
      </c>
      <c r="B31" s="58">
        <v>19.036999999999999</v>
      </c>
      <c r="C31" s="58">
        <v>20.8</v>
      </c>
      <c r="D31" s="58">
        <v>367.53800000000001</v>
      </c>
      <c r="E31" s="58">
        <v>220.21</v>
      </c>
      <c r="F31" s="58">
        <v>147.328</v>
      </c>
      <c r="G31" s="58">
        <v>174.136</v>
      </c>
      <c r="H31" s="58">
        <v>138.798</v>
      </c>
      <c r="I31" s="58">
        <v>35.338000000000001</v>
      </c>
      <c r="J31" s="58">
        <v>193.40199999999999</v>
      </c>
      <c r="K31" s="58">
        <v>81.412000000000006</v>
      </c>
      <c r="L31" s="58">
        <v>111.99</v>
      </c>
      <c r="M31" s="58">
        <v>196.97300000000001</v>
      </c>
      <c r="N31" s="58">
        <v>156.584</v>
      </c>
      <c r="O31" s="58">
        <v>40.389000000000003</v>
      </c>
      <c r="P31" s="58">
        <v>206.042</v>
      </c>
      <c r="Q31" s="58">
        <v>85.807000000000002</v>
      </c>
      <c r="R31" s="58">
        <v>120.235</v>
      </c>
      <c r="S31" s="58">
        <v>206.429</v>
      </c>
      <c r="T31" s="58">
        <v>91.950999999999993</v>
      </c>
      <c r="U31" s="58">
        <v>114.47799999999999</v>
      </c>
      <c r="V31" s="58">
        <v>2581.2939999999999</v>
      </c>
      <c r="W31" s="58">
        <v>1398.453</v>
      </c>
      <c r="X31" s="58">
        <v>1182.8399999999999</v>
      </c>
      <c r="Y31" s="58">
        <v>1907.3040000000001</v>
      </c>
      <c r="Z31" s="58">
        <v>1274.3140000000001</v>
      </c>
      <c r="AA31" s="58">
        <v>632.98900000000003</v>
      </c>
      <c r="AB31" s="58">
        <v>673.99</v>
      </c>
      <c r="AC31" s="58">
        <v>124.139</v>
      </c>
      <c r="AD31" s="58">
        <v>549.851</v>
      </c>
      <c r="AE31" s="58">
        <v>332.47300000000001</v>
      </c>
      <c r="AF31" s="58">
        <v>171.17599999999999</v>
      </c>
      <c r="AG31" s="58">
        <v>161.297</v>
      </c>
      <c r="AH31" s="58">
        <v>68.423000000000002</v>
      </c>
      <c r="AI31" s="58">
        <v>39.697000000000003</v>
      </c>
      <c r="AJ31" s="58">
        <v>28.725999999999999</v>
      </c>
      <c r="AK31" s="58">
        <v>34.207000000000001</v>
      </c>
      <c r="AL31" s="58">
        <v>29.244</v>
      </c>
      <c r="AM31" s="58">
        <v>4.9630000000000001</v>
      </c>
      <c r="AN31" s="58">
        <v>20.609000000000002</v>
      </c>
      <c r="AO31" s="58">
        <v>17.858000000000001</v>
      </c>
      <c r="AP31" s="58">
        <v>2.7509999999999999</v>
      </c>
      <c r="AQ31" s="58">
        <v>13.598000000000001</v>
      </c>
      <c r="AR31" s="58">
        <v>11.387</v>
      </c>
      <c r="AS31" s="58">
        <v>2.2120000000000002</v>
      </c>
      <c r="AT31" s="58">
        <v>34.216000000000001</v>
      </c>
      <c r="AU31" s="58">
        <v>10.452999999999999</v>
      </c>
      <c r="AV31" s="58">
        <v>23.763000000000002</v>
      </c>
      <c r="AW31" s="58">
        <v>294.70699999999999</v>
      </c>
      <c r="AX31" s="58">
        <v>148.81</v>
      </c>
      <c r="AY31" s="58">
        <v>145.89699999999999</v>
      </c>
      <c r="AZ31" s="58">
        <v>133.12799999999999</v>
      </c>
      <c r="BA31" s="58">
        <v>101.77500000000001</v>
      </c>
      <c r="BB31" s="58">
        <v>31.352</v>
      </c>
      <c r="BC31" s="58">
        <v>161.58000000000001</v>
      </c>
      <c r="BD31" s="58">
        <v>47.034999999999997</v>
      </c>
      <c r="BE31" s="58">
        <v>114.545</v>
      </c>
      <c r="BF31" s="58">
        <v>157.35499999999999</v>
      </c>
      <c r="BG31" s="58">
        <v>122.246</v>
      </c>
      <c r="BH31" s="58">
        <v>35.109000000000002</v>
      </c>
      <c r="BI31" s="58">
        <v>175.11699999999999</v>
      </c>
      <c r="BJ31" s="58">
        <v>48.93</v>
      </c>
      <c r="BK31" s="58">
        <v>126.188</v>
      </c>
      <c r="BL31" s="58">
        <v>182.18899999999999</v>
      </c>
      <c r="BM31" s="58">
        <v>64.891999999999996</v>
      </c>
      <c r="BN31" s="58">
        <v>117.29600000000001</v>
      </c>
      <c r="BO31" s="58">
        <v>2498.7669999999998</v>
      </c>
      <c r="BP31" s="58">
        <v>1297.0709999999999</v>
      </c>
      <c r="BQ31" s="58">
        <v>1201.6959999999999</v>
      </c>
      <c r="BR31" s="58">
        <v>1855.2619999999999</v>
      </c>
      <c r="BS31" s="58">
        <v>1175.2170000000001</v>
      </c>
      <c r="BT31" s="58">
        <v>680.04499999999996</v>
      </c>
      <c r="BU31" s="58">
        <v>643.50400000000002</v>
      </c>
      <c r="BV31" s="58">
        <v>121.85299999999999</v>
      </c>
      <c r="BW31" s="58">
        <v>521.65099999999995</v>
      </c>
      <c r="BX31" s="58">
        <v>316.31700000000001</v>
      </c>
      <c r="BY31" s="58">
        <v>147.57</v>
      </c>
      <c r="BZ31" s="58">
        <v>168.74799999999999</v>
      </c>
      <c r="CA31" s="58">
        <v>66.001999999999995</v>
      </c>
      <c r="CB31" s="58">
        <v>35.633000000000003</v>
      </c>
      <c r="CC31" s="58">
        <v>30.367999999999999</v>
      </c>
      <c r="CD31" s="58">
        <v>30.167000000000002</v>
      </c>
      <c r="CE31" s="58">
        <v>22.864999999999998</v>
      </c>
      <c r="CF31" s="58">
        <v>7.3019999999999996</v>
      </c>
      <c r="CG31" s="58">
        <v>12.601000000000001</v>
      </c>
      <c r="CH31" s="58">
        <v>9.6750000000000007</v>
      </c>
      <c r="CI31" s="58">
        <v>2.9249999999999998</v>
      </c>
      <c r="CJ31" s="58">
        <v>17.567</v>
      </c>
      <c r="CK31" s="58">
        <v>13.19</v>
      </c>
      <c r="CL31" s="58">
        <v>4.3769999999999998</v>
      </c>
      <c r="CM31" s="58">
        <v>35.834000000000003</v>
      </c>
      <c r="CN31" s="58">
        <v>12.769</v>
      </c>
      <c r="CO31" s="58">
        <v>23.065999999999999</v>
      </c>
      <c r="CP31" s="58">
        <v>276.10199999999998</v>
      </c>
      <c r="CQ31" s="58">
        <v>125.60299999999999</v>
      </c>
      <c r="CR31" s="58">
        <v>150.499</v>
      </c>
      <c r="CS31" s="58">
        <v>106.82</v>
      </c>
      <c r="CT31" s="58">
        <v>77.819999999999993</v>
      </c>
      <c r="CU31" s="58">
        <v>29</v>
      </c>
      <c r="CV31" s="58">
        <v>169.28200000000001</v>
      </c>
      <c r="CW31" s="58">
        <v>47.783999999999999</v>
      </c>
      <c r="CX31" s="58">
        <v>121.498</v>
      </c>
      <c r="CY31" s="58">
        <v>131.673</v>
      </c>
      <c r="CZ31" s="58">
        <v>95.472999999999999</v>
      </c>
      <c r="DA31" s="58">
        <v>36.200000000000003</v>
      </c>
      <c r="DB31" s="58">
        <v>184.64400000000001</v>
      </c>
      <c r="DC31" s="58">
        <v>52.097000000000001</v>
      </c>
      <c r="DD31" s="58">
        <v>132.548</v>
      </c>
      <c r="DE31" s="58">
        <v>181.88300000000001</v>
      </c>
      <c r="DF31" s="58">
        <v>57.459000000000003</v>
      </c>
      <c r="DG31" s="58">
        <v>124.42400000000001</v>
      </c>
      <c r="DH31" s="58">
        <v>2202.09</v>
      </c>
      <c r="DI31" s="58">
        <v>1221.2929999999999</v>
      </c>
      <c r="DJ31" s="58">
        <v>980.79700000000003</v>
      </c>
      <c r="DK31" s="58">
        <v>1380.473</v>
      </c>
      <c r="DL31" s="58">
        <v>921.51</v>
      </c>
      <c r="DM31" s="58">
        <v>458.964</v>
      </c>
      <c r="DN31" s="58">
        <v>821.61599999999999</v>
      </c>
      <c r="DO31" s="58">
        <v>299.78300000000002</v>
      </c>
      <c r="DP31" s="58">
        <v>521.83299999999997</v>
      </c>
      <c r="DQ31" s="58">
        <v>218.21700000000001</v>
      </c>
      <c r="DR31" s="58">
        <v>126.589</v>
      </c>
      <c r="DS31" s="58">
        <v>91.628</v>
      </c>
      <c r="DT31" s="58">
        <v>61.536000000000001</v>
      </c>
      <c r="DU31" s="58">
        <v>38.616</v>
      </c>
      <c r="DV31" s="58">
        <v>22.92</v>
      </c>
      <c r="DW31" s="58">
        <v>21.722000000000001</v>
      </c>
      <c r="DX31" s="58">
        <v>18.68</v>
      </c>
      <c r="DY31" s="58">
        <v>3.0409999999999999</v>
      </c>
      <c r="DZ31" s="58">
        <v>13.18</v>
      </c>
      <c r="EA31" s="58">
        <v>11.081</v>
      </c>
      <c r="EB31" s="58">
        <v>2.0990000000000002</v>
      </c>
      <c r="EC31" s="58">
        <v>8.5419999999999998</v>
      </c>
      <c r="ED31" s="58">
        <v>7.5990000000000002</v>
      </c>
      <c r="EE31" s="58">
        <v>0.94299999999999995</v>
      </c>
      <c r="EF31" s="58">
        <v>39.814</v>
      </c>
      <c r="EG31" s="58">
        <v>19.934999999999999</v>
      </c>
      <c r="EH31" s="58">
        <v>19.879000000000001</v>
      </c>
      <c r="EI31" s="58">
        <v>177.459</v>
      </c>
      <c r="EJ31" s="58">
        <v>102.261</v>
      </c>
      <c r="EK31" s="58">
        <v>75.197999999999993</v>
      </c>
      <c r="EL31" s="58">
        <v>63.347000000000001</v>
      </c>
      <c r="EM31" s="58">
        <v>46.366999999999997</v>
      </c>
      <c r="EN31" s="58">
        <v>16.98</v>
      </c>
      <c r="EO31" s="58">
        <v>114.11199999999999</v>
      </c>
      <c r="EP31" s="58">
        <v>55.893999999999998</v>
      </c>
      <c r="EQ31" s="58">
        <v>58.218000000000004</v>
      </c>
      <c r="ER31" s="58">
        <v>79.372</v>
      </c>
      <c r="ES31" s="58">
        <v>59.350999999999999</v>
      </c>
      <c r="ET31" s="58">
        <v>20.021000000000001</v>
      </c>
      <c r="EU31" s="58">
        <v>138.845</v>
      </c>
      <c r="EV31" s="58">
        <v>67.238</v>
      </c>
      <c r="EW31" s="58">
        <v>71.606999999999999</v>
      </c>
      <c r="EX31" s="58">
        <v>127.292</v>
      </c>
      <c r="EY31" s="58">
        <v>66.974999999999994</v>
      </c>
      <c r="EZ31" s="58">
        <v>60.317</v>
      </c>
      <c r="FA31" s="58">
        <v>1745.067</v>
      </c>
      <c r="FB31" s="58">
        <v>937.54399999999998</v>
      </c>
      <c r="FC31" s="58">
        <v>807.524</v>
      </c>
      <c r="FD31" s="58">
        <v>1184.021</v>
      </c>
      <c r="FE31" s="58">
        <v>772.71799999999996</v>
      </c>
      <c r="FF31" s="58">
        <v>411.303</v>
      </c>
      <c r="FG31" s="58">
        <v>561.04700000000003</v>
      </c>
      <c r="FH31" s="58">
        <v>164.82499999999999</v>
      </c>
      <c r="FI31" s="58">
        <v>396.221</v>
      </c>
      <c r="FJ31" s="58">
        <v>178.55500000000001</v>
      </c>
      <c r="FK31" s="58">
        <v>99.813000000000002</v>
      </c>
      <c r="FL31" s="58">
        <v>78.741</v>
      </c>
      <c r="FM31" s="58">
        <v>42.811999999999998</v>
      </c>
      <c r="FN31" s="58">
        <v>25.890999999999998</v>
      </c>
      <c r="FO31" s="58">
        <v>16.920999999999999</v>
      </c>
      <c r="FP31" s="58">
        <v>18.484000000000002</v>
      </c>
      <c r="FQ31" s="58">
        <v>15.951000000000001</v>
      </c>
      <c r="FR31" s="58">
        <v>2.532</v>
      </c>
      <c r="FS31" s="58">
        <v>10.271000000000001</v>
      </c>
      <c r="FT31" s="58">
        <v>8.6809999999999992</v>
      </c>
      <c r="FU31" s="58">
        <v>1.59</v>
      </c>
      <c r="FV31" s="58">
        <v>8.2119999999999997</v>
      </c>
      <c r="FW31" s="58">
        <v>7.27</v>
      </c>
      <c r="FX31" s="58">
        <v>0.94299999999999995</v>
      </c>
      <c r="FY31" s="58">
        <v>24.329000000000001</v>
      </c>
      <c r="FZ31" s="58">
        <v>9.94</v>
      </c>
      <c r="GA31" s="58">
        <v>14.388999999999999</v>
      </c>
      <c r="GB31" s="58">
        <v>150.113</v>
      </c>
      <c r="GC31" s="58">
        <v>83.632999999999996</v>
      </c>
      <c r="GD31" s="58">
        <v>66.48</v>
      </c>
      <c r="GE31" s="58">
        <v>57.234000000000002</v>
      </c>
      <c r="GF31" s="58">
        <v>40.781999999999996</v>
      </c>
      <c r="GG31" s="58">
        <v>16.452999999999999</v>
      </c>
      <c r="GH31" s="58">
        <v>92.879000000000005</v>
      </c>
      <c r="GI31" s="58">
        <v>42.851999999999997</v>
      </c>
      <c r="GJ31" s="58">
        <v>50.027000000000001</v>
      </c>
      <c r="GK31" s="58">
        <v>70.863</v>
      </c>
      <c r="GL31" s="58">
        <v>51.878</v>
      </c>
      <c r="GM31" s="58">
        <v>18.984999999999999</v>
      </c>
      <c r="GN31" s="58">
        <v>107.691</v>
      </c>
      <c r="GO31" s="58">
        <v>47.935000000000002</v>
      </c>
      <c r="GP31" s="58">
        <v>59.756</v>
      </c>
      <c r="GQ31" s="58">
        <v>103.15</v>
      </c>
      <c r="GR31" s="58">
        <v>51.533000000000001</v>
      </c>
      <c r="GS31" s="58">
        <v>51.616999999999997</v>
      </c>
      <c r="GT31" s="58">
        <v>457.02199999999999</v>
      </c>
      <c r="GU31" s="58">
        <v>283.75</v>
      </c>
      <c r="GV31" s="58">
        <v>173.273</v>
      </c>
      <c r="GW31" s="58">
        <v>196.453</v>
      </c>
      <c r="GX31" s="58">
        <v>148.792</v>
      </c>
      <c r="GY31" s="58">
        <v>47.661000000000001</v>
      </c>
      <c r="GZ31" s="58">
        <v>260.57</v>
      </c>
      <c r="HA31" s="58">
        <v>134.958</v>
      </c>
      <c r="HB31" s="58">
        <v>125.61199999999999</v>
      </c>
      <c r="HC31" s="58">
        <v>39.661999999999999</v>
      </c>
      <c r="HD31" s="58">
        <v>26.776</v>
      </c>
      <c r="HE31" s="58">
        <v>12.887</v>
      </c>
      <c r="HF31" s="58">
        <v>18.722999999999999</v>
      </c>
      <c r="HG31" s="58">
        <v>12.724</v>
      </c>
      <c r="HH31" s="58">
        <v>5.9989999999999997</v>
      </c>
      <c r="HI31" s="58">
        <v>3.238</v>
      </c>
      <c r="HJ31" s="58">
        <v>2.7290000000000001</v>
      </c>
      <c r="HK31" s="58">
        <v>0.50900000000000001</v>
      </c>
      <c r="HL31" s="58">
        <v>2.9089999999999998</v>
      </c>
      <c r="HM31" s="58">
        <v>2.4</v>
      </c>
      <c r="HN31" s="58">
        <v>0.50900000000000001</v>
      </c>
      <c r="HO31" s="58">
        <v>0.32900000000000001</v>
      </c>
      <c r="HP31" s="58">
        <v>0.32900000000000001</v>
      </c>
      <c r="HQ31" s="58">
        <v>0</v>
      </c>
      <c r="HR31" s="58">
        <v>15.484999999999999</v>
      </c>
      <c r="HS31" s="58">
        <v>9.9949999999999992</v>
      </c>
      <c r="HT31" s="58">
        <v>5.49</v>
      </c>
      <c r="HU31" s="58">
        <v>27.346</v>
      </c>
      <c r="HV31" s="58">
        <v>18.628</v>
      </c>
      <c r="HW31" s="58">
        <v>8.718</v>
      </c>
      <c r="HX31" s="58">
        <v>6.1120000000000001</v>
      </c>
      <c r="HY31" s="58">
        <v>5.5860000000000003</v>
      </c>
      <c r="HZ31" s="58">
        <v>0.52700000000000002</v>
      </c>
      <c r="IA31" s="58">
        <v>21.233000000000001</v>
      </c>
      <c r="IB31" s="58">
        <v>13.042</v>
      </c>
      <c r="IC31" s="58">
        <v>8.1910000000000007</v>
      </c>
      <c r="ID31" s="58">
        <v>8.5090000000000003</v>
      </c>
      <c r="IE31" s="58">
        <v>7.4729999999999999</v>
      </c>
      <c r="IF31" s="58">
        <v>1.036</v>
      </c>
      <c r="IG31" s="58">
        <v>31.152999999999999</v>
      </c>
      <c r="IH31" s="58">
        <v>19.303000000000001</v>
      </c>
      <c r="II31" s="58">
        <v>11.851000000000001</v>
      </c>
      <c r="IJ31" s="58">
        <v>24.141999999999999</v>
      </c>
      <c r="IK31" s="58">
        <v>15.442</v>
      </c>
      <c r="IL31" s="58">
        <v>8.6999999999999993</v>
      </c>
      <c r="IM31" s="58">
        <v>3805.596</v>
      </c>
      <c r="IN31" s="58">
        <v>2027.32</v>
      </c>
      <c r="IO31" s="58">
        <v>1778.2750000000001</v>
      </c>
      <c r="IP31" s="58">
        <v>2628.422</v>
      </c>
      <c r="IQ31" s="58">
        <v>1650.018</v>
      </c>
    </row>
    <row r="32" spans="1:251">
      <c r="A32" s="5">
        <v>42461</v>
      </c>
      <c r="B32" s="58">
        <v>22.23</v>
      </c>
      <c r="C32" s="58">
        <v>16.029</v>
      </c>
      <c r="D32" s="58">
        <v>363.34100000000001</v>
      </c>
      <c r="E32" s="58">
        <v>221.215</v>
      </c>
      <c r="F32" s="58">
        <v>142.126</v>
      </c>
      <c r="G32" s="58">
        <v>169.12200000000001</v>
      </c>
      <c r="H32" s="58">
        <v>133.804</v>
      </c>
      <c r="I32" s="58">
        <v>35.317999999999998</v>
      </c>
      <c r="J32" s="58">
        <v>194.21899999999999</v>
      </c>
      <c r="K32" s="58">
        <v>87.412000000000006</v>
      </c>
      <c r="L32" s="58">
        <v>106.80800000000001</v>
      </c>
      <c r="M32" s="58">
        <v>191.304</v>
      </c>
      <c r="N32" s="58">
        <v>149.881</v>
      </c>
      <c r="O32" s="58">
        <v>41.423000000000002</v>
      </c>
      <c r="P32" s="58">
        <v>210.928</v>
      </c>
      <c r="Q32" s="58">
        <v>95.847999999999999</v>
      </c>
      <c r="R32" s="58">
        <v>115.08</v>
      </c>
      <c r="S32" s="58">
        <v>207.96600000000001</v>
      </c>
      <c r="T32" s="58">
        <v>98.59</v>
      </c>
      <c r="U32" s="58">
        <v>109.376</v>
      </c>
      <c r="V32" s="58">
        <v>2587.8119999999999</v>
      </c>
      <c r="W32" s="58">
        <v>1406.9269999999999</v>
      </c>
      <c r="X32" s="58">
        <v>1180.885</v>
      </c>
      <c r="Y32" s="58">
        <v>1894.1110000000001</v>
      </c>
      <c r="Z32" s="58">
        <v>1273.1659999999999</v>
      </c>
      <c r="AA32" s="58">
        <v>620.94500000000005</v>
      </c>
      <c r="AB32" s="58">
        <v>693.70100000000002</v>
      </c>
      <c r="AC32" s="58">
        <v>133.76</v>
      </c>
      <c r="AD32" s="58">
        <v>559.94000000000005</v>
      </c>
      <c r="AE32" s="58">
        <v>353.51299999999998</v>
      </c>
      <c r="AF32" s="58">
        <v>188.559</v>
      </c>
      <c r="AG32" s="58">
        <v>164.95400000000001</v>
      </c>
      <c r="AH32" s="58">
        <v>69.991</v>
      </c>
      <c r="AI32" s="58">
        <v>35.661000000000001</v>
      </c>
      <c r="AJ32" s="58">
        <v>34.33</v>
      </c>
      <c r="AK32" s="58">
        <v>32.186</v>
      </c>
      <c r="AL32" s="58">
        <v>24.541</v>
      </c>
      <c r="AM32" s="58">
        <v>7.6449999999999996</v>
      </c>
      <c r="AN32" s="58">
        <v>16.213000000000001</v>
      </c>
      <c r="AO32" s="58">
        <v>11.013999999999999</v>
      </c>
      <c r="AP32" s="58">
        <v>5.1989999999999998</v>
      </c>
      <c r="AQ32" s="58">
        <v>15.974</v>
      </c>
      <c r="AR32" s="58">
        <v>13.526999999999999</v>
      </c>
      <c r="AS32" s="58">
        <v>2.4460000000000002</v>
      </c>
      <c r="AT32" s="58">
        <v>37.805</v>
      </c>
      <c r="AU32" s="58">
        <v>11.12</v>
      </c>
      <c r="AV32" s="58">
        <v>26.684999999999999</v>
      </c>
      <c r="AW32" s="58">
        <v>315.69299999999998</v>
      </c>
      <c r="AX32" s="58">
        <v>166.85300000000001</v>
      </c>
      <c r="AY32" s="58">
        <v>148.839</v>
      </c>
      <c r="AZ32" s="58">
        <v>141.702</v>
      </c>
      <c r="BA32" s="58">
        <v>111.82899999999999</v>
      </c>
      <c r="BB32" s="58">
        <v>29.873000000000001</v>
      </c>
      <c r="BC32" s="58">
        <v>173.99100000000001</v>
      </c>
      <c r="BD32" s="58">
        <v>55.024000000000001</v>
      </c>
      <c r="BE32" s="58">
        <v>118.96599999999999</v>
      </c>
      <c r="BF32" s="58">
        <v>165.11</v>
      </c>
      <c r="BG32" s="58">
        <v>130.476</v>
      </c>
      <c r="BH32" s="58">
        <v>34.634</v>
      </c>
      <c r="BI32" s="58">
        <v>188.40299999999999</v>
      </c>
      <c r="BJ32" s="58">
        <v>58.082999999999998</v>
      </c>
      <c r="BK32" s="58">
        <v>130.32</v>
      </c>
      <c r="BL32" s="58">
        <v>190.203</v>
      </c>
      <c r="BM32" s="58">
        <v>66.037999999999997</v>
      </c>
      <c r="BN32" s="58">
        <v>124.16500000000001</v>
      </c>
      <c r="BO32" s="58">
        <v>2502.7190000000001</v>
      </c>
      <c r="BP32" s="58">
        <v>1295.7529999999999</v>
      </c>
      <c r="BQ32" s="58">
        <v>1206.9659999999999</v>
      </c>
      <c r="BR32" s="58">
        <v>1849.4639999999999</v>
      </c>
      <c r="BS32" s="58">
        <v>1157.527</v>
      </c>
      <c r="BT32" s="58">
        <v>691.93700000000001</v>
      </c>
      <c r="BU32" s="58">
        <v>653.25599999999997</v>
      </c>
      <c r="BV32" s="58">
        <v>138.226</v>
      </c>
      <c r="BW32" s="58">
        <v>515.03</v>
      </c>
      <c r="BX32" s="58">
        <v>326.74900000000002</v>
      </c>
      <c r="BY32" s="58">
        <v>159.77699999999999</v>
      </c>
      <c r="BZ32" s="58">
        <v>166.97200000000001</v>
      </c>
      <c r="CA32" s="58">
        <v>69.617000000000004</v>
      </c>
      <c r="CB32" s="58">
        <v>43.363999999999997</v>
      </c>
      <c r="CC32" s="58">
        <v>26.253</v>
      </c>
      <c r="CD32" s="58">
        <v>33.453000000000003</v>
      </c>
      <c r="CE32" s="58">
        <v>26.109000000000002</v>
      </c>
      <c r="CF32" s="58">
        <v>7.3440000000000003</v>
      </c>
      <c r="CG32" s="58">
        <v>17.359000000000002</v>
      </c>
      <c r="CH32" s="58">
        <v>13.833</v>
      </c>
      <c r="CI32" s="58">
        <v>3.5259999999999998</v>
      </c>
      <c r="CJ32" s="58">
        <v>16.094000000000001</v>
      </c>
      <c r="CK32" s="58">
        <v>12.276</v>
      </c>
      <c r="CL32" s="58">
        <v>3.8180000000000001</v>
      </c>
      <c r="CM32" s="58">
        <v>36.164000000000001</v>
      </c>
      <c r="CN32" s="58">
        <v>17.254999999999999</v>
      </c>
      <c r="CO32" s="58">
        <v>18.908999999999999</v>
      </c>
      <c r="CP32" s="58">
        <v>289.59399999999999</v>
      </c>
      <c r="CQ32" s="58">
        <v>136.05799999999999</v>
      </c>
      <c r="CR32" s="58">
        <v>153.53700000000001</v>
      </c>
      <c r="CS32" s="58">
        <v>114.441</v>
      </c>
      <c r="CT32" s="58">
        <v>80.674000000000007</v>
      </c>
      <c r="CU32" s="58">
        <v>33.768000000000001</v>
      </c>
      <c r="CV32" s="58">
        <v>175.15299999999999</v>
      </c>
      <c r="CW32" s="58">
        <v>55.384</v>
      </c>
      <c r="CX32" s="58">
        <v>119.76900000000001</v>
      </c>
      <c r="CY32" s="58">
        <v>137.72800000000001</v>
      </c>
      <c r="CZ32" s="58">
        <v>99.438999999999993</v>
      </c>
      <c r="DA32" s="58">
        <v>38.289000000000001</v>
      </c>
      <c r="DB32" s="58">
        <v>189.02099999999999</v>
      </c>
      <c r="DC32" s="58">
        <v>60.338000000000001</v>
      </c>
      <c r="DD32" s="58">
        <v>128.68299999999999</v>
      </c>
      <c r="DE32" s="58">
        <v>192.512</v>
      </c>
      <c r="DF32" s="58">
        <v>69.216999999999999</v>
      </c>
      <c r="DG32" s="58">
        <v>123.295</v>
      </c>
      <c r="DH32" s="58">
        <v>2197.0810000000001</v>
      </c>
      <c r="DI32" s="58">
        <v>1212.8989999999999</v>
      </c>
      <c r="DJ32" s="58">
        <v>984.18200000000002</v>
      </c>
      <c r="DK32" s="58">
        <v>1377.6510000000001</v>
      </c>
      <c r="DL32" s="58">
        <v>914.41300000000001</v>
      </c>
      <c r="DM32" s="58">
        <v>463.238</v>
      </c>
      <c r="DN32" s="58">
        <v>819.43100000000004</v>
      </c>
      <c r="DO32" s="58">
        <v>298.48599999999999</v>
      </c>
      <c r="DP32" s="58">
        <v>520.94500000000005</v>
      </c>
      <c r="DQ32" s="58">
        <v>230.791</v>
      </c>
      <c r="DR32" s="58">
        <v>141.57</v>
      </c>
      <c r="DS32" s="58">
        <v>89.221999999999994</v>
      </c>
      <c r="DT32" s="58">
        <v>77.575999999999993</v>
      </c>
      <c r="DU32" s="58">
        <v>52.203000000000003</v>
      </c>
      <c r="DV32" s="58">
        <v>25.373000000000001</v>
      </c>
      <c r="DW32" s="58">
        <v>28.100999999999999</v>
      </c>
      <c r="DX32" s="58">
        <v>22.536999999999999</v>
      </c>
      <c r="DY32" s="58">
        <v>5.5640000000000001</v>
      </c>
      <c r="DZ32" s="58">
        <v>17.937000000000001</v>
      </c>
      <c r="EA32" s="58">
        <v>13.321999999999999</v>
      </c>
      <c r="EB32" s="58">
        <v>4.6150000000000002</v>
      </c>
      <c r="EC32" s="58">
        <v>10.164</v>
      </c>
      <c r="ED32" s="58">
        <v>9.2149999999999999</v>
      </c>
      <c r="EE32" s="58">
        <v>0.94799999999999995</v>
      </c>
      <c r="EF32" s="58">
        <v>49.475000000000001</v>
      </c>
      <c r="EG32" s="58">
        <v>29.666</v>
      </c>
      <c r="EH32" s="58">
        <v>19.809999999999999</v>
      </c>
      <c r="EI32" s="58">
        <v>177.762</v>
      </c>
      <c r="EJ32" s="58">
        <v>105.623</v>
      </c>
      <c r="EK32" s="58">
        <v>72.138999999999996</v>
      </c>
      <c r="EL32" s="58">
        <v>53.478000000000002</v>
      </c>
      <c r="EM32" s="58">
        <v>41.991999999999997</v>
      </c>
      <c r="EN32" s="58">
        <v>11.484999999999999</v>
      </c>
      <c r="EO32" s="58">
        <v>124.28400000000001</v>
      </c>
      <c r="EP32" s="58">
        <v>63.631</v>
      </c>
      <c r="EQ32" s="58">
        <v>60.654000000000003</v>
      </c>
      <c r="ER32" s="58">
        <v>74.478999999999999</v>
      </c>
      <c r="ES32" s="58">
        <v>59.621000000000002</v>
      </c>
      <c r="ET32" s="58">
        <v>14.858000000000001</v>
      </c>
      <c r="EU32" s="58">
        <v>156.31200000000001</v>
      </c>
      <c r="EV32" s="58">
        <v>81.948999999999998</v>
      </c>
      <c r="EW32" s="58">
        <v>74.363</v>
      </c>
      <c r="EX32" s="58">
        <v>142.221</v>
      </c>
      <c r="EY32" s="58">
        <v>76.951999999999998</v>
      </c>
      <c r="EZ32" s="58">
        <v>65.269000000000005</v>
      </c>
      <c r="FA32" s="58">
        <v>1741.229</v>
      </c>
      <c r="FB32" s="58">
        <v>934.06299999999999</v>
      </c>
      <c r="FC32" s="58">
        <v>807.16499999999996</v>
      </c>
      <c r="FD32" s="58">
        <v>1179.1510000000001</v>
      </c>
      <c r="FE32" s="58">
        <v>767.73299999999995</v>
      </c>
      <c r="FF32" s="58">
        <v>411.41800000000001</v>
      </c>
      <c r="FG32" s="58">
        <v>562.07799999999997</v>
      </c>
      <c r="FH32" s="58">
        <v>166.33</v>
      </c>
      <c r="FI32" s="58">
        <v>395.74700000000001</v>
      </c>
      <c r="FJ32" s="58">
        <v>182.708</v>
      </c>
      <c r="FK32" s="58">
        <v>108.863</v>
      </c>
      <c r="FL32" s="58">
        <v>73.844999999999999</v>
      </c>
      <c r="FM32" s="58">
        <v>56.366</v>
      </c>
      <c r="FN32" s="58">
        <v>36.433</v>
      </c>
      <c r="FO32" s="58">
        <v>19.933</v>
      </c>
      <c r="FP32" s="58">
        <v>24.41</v>
      </c>
      <c r="FQ32" s="58">
        <v>18.847000000000001</v>
      </c>
      <c r="FR32" s="58">
        <v>5.5640000000000001</v>
      </c>
      <c r="FS32" s="58">
        <v>14.773999999999999</v>
      </c>
      <c r="FT32" s="58">
        <v>10.157999999999999</v>
      </c>
      <c r="FU32" s="58">
        <v>4.6150000000000002</v>
      </c>
      <c r="FV32" s="58">
        <v>9.6370000000000005</v>
      </c>
      <c r="FW32" s="58">
        <v>8.6880000000000006</v>
      </c>
      <c r="FX32" s="58">
        <v>0.94799999999999995</v>
      </c>
      <c r="FY32" s="58">
        <v>31.956</v>
      </c>
      <c r="FZ32" s="58">
        <v>17.587</v>
      </c>
      <c r="GA32" s="58">
        <v>14.369</v>
      </c>
      <c r="GB32" s="58">
        <v>147.93299999999999</v>
      </c>
      <c r="GC32" s="58">
        <v>86.162999999999997</v>
      </c>
      <c r="GD32" s="58">
        <v>61.771000000000001</v>
      </c>
      <c r="GE32" s="58">
        <v>46.457000000000001</v>
      </c>
      <c r="GF32" s="58">
        <v>35.972000000000001</v>
      </c>
      <c r="GG32" s="58">
        <v>10.484999999999999</v>
      </c>
      <c r="GH32" s="58">
        <v>101.477</v>
      </c>
      <c r="GI32" s="58">
        <v>50.191000000000003</v>
      </c>
      <c r="GJ32" s="58">
        <v>51.286000000000001</v>
      </c>
      <c r="GK32" s="58">
        <v>64.597999999999999</v>
      </c>
      <c r="GL32" s="58">
        <v>50.741</v>
      </c>
      <c r="GM32" s="58">
        <v>13.858000000000001</v>
      </c>
      <c r="GN32" s="58">
        <v>118.11</v>
      </c>
      <c r="GO32" s="58">
        <v>58.122999999999998</v>
      </c>
      <c r="GP32" s="58">
        <v>59.987000000000002</v>
      </c>
      <c r="GQ32" s="58">
        <v>116.25</v>
      </c>
      <c r="GR32" s="58">
        <v>60.348999999999997</v>
      </c>
      <c r="GS32" s="58">
        <v>55.901000000000003</v>
      </c>
      <c r="GT32" s="58">
        <v>455.85199999999998</v>
      </c>
      <c r="GU32" s="58">
        <v>278.83499999999998</v>
      </c>
      <c r="GV32" s="58">
        <v>177.017</v>
      </c>
      <c r="GW32" s="58">
        <v>198.5</v>
      </c>
      <c r="GX32" s="58">
        <v>146.68</v>
      </c>
      <c r="GY32" s="58">
        <v>51.82</v>
      </c>
      <c r="GZ32" s="58">
        <v>257.35300000000001</v>
      </c>
      <c r="HA32" s="58">
        <v>132.15600000000001</v>
      </c>
      <c r="HB32" s="58">
        <v>125.197</v>
      </c>
      <c r="HC32" s="58">
        <v>48.082999999999998</v>
      </c>
      <c r="HD32" s="58">
        <v>32.706000000000003</v>
      </c>
      <c r="HE32" s="58">
        <v>15.377000000000001</v>
      </c>
      <c r="HF32" s="58">
        <v>21.21</v>
      </c>
      <c r="HG32" s="58">
        <v>15.769</v>
      </c>
      <c r="HH32" s="58">
        <v>5.44</v>
      </c>
      <c r="HI32" s="58">
        <v>3.69</v>
      </c>
      <c r="HJ32" s="58">
        <v>3.69</v>
      </c>
      <c r="HK32" s="58">
        <v>0</v>
      </c>
      <c r="HL32" s="58">
        <v>3.1629999999999998</v>
      </c>
      <c r="HM32" s="58">
        <v>3.1629999999999998</v>
      </c>
      <c r="HN32" s="58">
        <v>0</v>
      </c>
      <c r="HO32" s="58">
        <v>0.52700000000000002</v>
      </c>
      <c r="HP32" s="58">
        <v>0.52700000000000002</v>
      </c>
      <c r="HQ32" s="58">
        <v>0</v>
      </c>
      <c r="HR32" s="58">
        <v>17.518999999999998</v>
      </c>
      <c r="HS32" s="58">
        <v>12.079000000000001</v>
      </c>
      <c r="HT32" s="58">
        <v>5.44</v>
      </c>
      <c r="HU32" s="58">
        <v>29.829000000000001</v>
      </c>
      <c r="HV32" s="58">
        <v>19.46</v>
      </c>
      <c r="HW32" s="58">
        <v>10.369</v>
      </c>
      <c r="HX32" s="58">
        <v>7.0209999999999999</v>
      </c>
      <c r="HY32" s="58">
        <v>6.0209999999999999</v>
      </c>
      <c r="HZ32" s="58">
        <v>1.0009999999999999</v>
      </c>
      <c r="IA32" s="58">
        <v>22.808</v>
      </c>
      <c r="IB32" s="58">
        <v>13.44</v>
      </c>
      <c r="IC32" s="58">
        <v>9.3680000000000003</v>
      </c>
      <c r="ID32" s="58">
        <v>9.8810000000000002</v>
      </c>
      <c r="IE32" s="58">
        <v>8.8800000000000008</v>
      </c>
      <c r="IF32" s="58">
        <v>1.0009999999999999</v>
      </c>
      <c r="IG32" s="58">
        <v>38.201999999999998</v>
      </c>
      <c r="IH32" s="58">
        <v>23.826000000000001</v>
      </c>
      <c r="II32" s="58">
        <v>14.375999999999999</v>
      </c>
      <c r="IJ32" s="58">
        <v>25.971</v>
      </c>
      <c r="IK32" s="58">
        <v>16.603000000000002</v>
      </c>
      <c r="IL32" s="58">
        <v>9.3680000000000003</v>
      </c>
      <c r="IM32" s="58">
        <v>3820.067</v>
      </c>
      <c r="IN32" s="58">
        <v>2031.6130000000001</v>
      </c>
      <c r="IO32" s="58">
        <v>1788.454</v>
      </c>
      <c r="IP32" s="58">
        <v>2645.326</v>
      </c>
      <c r="IQ32" s="58">
        <v>1649.67</v>
      </c>
    </row>
    <row r="33" spans="1:251">
      <c r="A33" s="5">
        <v>42491</v>
      </c>
      <c r="B33" s="58">
        <v>16.841999999999999</v>
      </c>
      <c r="C33" s="58">
        <v>17.177</v>
      </c>
      <c r="D33" s="58">
        <v>370.303</v>
      </c>
      <c r="E33" s="58">
        <v>228.87200000000001</v>
      </c>
      <c r="F33" s="58">
        <v>141.43100000000001</v>
      </c>
      <c r="G33" s="58">
        <v>191.15799999999999</v>
      </c>
      <c r="H33" s="58">
        <v>152.30500000000001</v>
      </c>
      <c r="I33" s="58">
        <v>38.853000000000002</v>
      </c>
      <c r="J33" s="58">
        <v>179.14599999999999</v>
      </c>
      <c r="K33" s="58">
        <v>76.567999999999998</v>
      </c>
      <c r="L33" s="58">
        <v>102.578</v>
      </c>
      <c r="M33" s="58">
        <v>211.92099999999999</v>
      </c>
      <c r="N33" s="58">
        <v>168.65700000000001</v>
      </c>
      <c r="O33" s="58">
        <v>43.264000000000003</v>
      </c>
      <c r="P33" s="58">
        <v>195.69800000000001</v>
      </c>
      <c r="Q33" s="58">
        <v>83.028000000000006</v>
      </c>
      <c r="R33" s="58">
        <v>112.67</v>
      </c>
      <c r="S33" s="58">
        <v>193.33699999999999</v>
      </c>
      <c r="T33" s="58">
        <v>87.596000000000004</v>
      </c>
      <c r="U33" s="58">
        <v>105.741</v>
      </c>
      <c r="V33" s="58">
        <v>2602.3879999999999</v>
      </c>
      <c r="W33" s="58">
        <v>1414.1759999999999</v>
      </c>
      <c r="X33" s="58">
        <v>1188.212</v>
      </c>
      <c r="Y33" s="58">
        <v>1921.694</v>
      </c>
      <c r="Z33" s="58">
        <v>1285.0229999999999</v>
      </c>
      <c r="AA33" s="58">
        <v>636.66999999999996</v>
      </c>
      <c r="AB33" s="58">
        <v>680.69500000000005</v>
      </c>
      <c r="AC33" s="58">
        <v>129.15299999999999</v>
      </c>
      <c r="AD33" s="58">
        <v>551.54200000000003</v>
      </c>
      <c r="AE33" s="58">
        <v>344.9</v>
      </c>
      <c r="AF33" s="58">
        <v>180.827</v>
      </c>
      <c r="AG33" s="58">
        <v>164.07300000000001</v>
      </c>
      <c r="AH33" s="58">
        <v>65.402000000000001</v>
      </c>
      <c r="AI33" s="58">
        <v>36.828000000000003</v>
      </c>
      <c r="AJ33" s="58">
        <v>28.574999999999999</v>
      </c>
      <c r="AK33" s="58">
        <v>31.936</v>
      </c>
      <c r="AL33" s="58">
        <v>25.706</v>
      </c>
      <c r="AM33" s="58">
        <v>6.2309999999999999</v>
      </c>
      <c r="AN33" s="58">
        <v>15.074</v>
      </c>
      <c r="AO33" s="58">
        <v>11.53</v>
      </c>
      <c r="AP33" s="58">
        <v>3.544</v>
      </c>
      <c r="AQ33" s="58">
        <v>16.861999999999998</v>
      </c>
      <c r="AR33" s="58">
        <v>14.176</v>
      </c>
      <c r="AS33" s="58">
        <v>2.6859999999999999</v>
      </c>
      <c r="AT33" s="58">
        <v>33.466000000000001</v>
      </c>
      <c r="AU33" s="58">
        <v>11.122</v>
      </c>
      <c r="AV33" s="58">
        <v>22.344000000000001</v>
      </c>
      <c r="AW33" s="58">
        <v>306.94900000000001</v>
      </c>
      <c r="AX33" s="58">
        <v>157.07900000000001</v>
      </c>
      <c r="AY33" s="58">
        <v>149.87</v>
      </c>
      <c r="AZ33" s="58">
        <v>141.11500000000001</v>
      </c>
      <c r="BA33" s="58">
        <v>108.521</v>
      </c>
      <c r="BB33" s="58">
        <v>32.594000000000001</v>
      </c>
      <c r="BC33" s="58">
        <v>165.834</v>
      </c>
      <c r="BD33" s="58">
        <v>48.558</v>
      </c>
      <c r="BE33" s="58">
        <v>117.276</v>
      </c>
      <c r="BF33" s="58">
        <v>164.602</v>
      </c>
      <c r="BG33" s="58">
        <v>127.303</v>
      </c>
      <c r="BH33" s="58">
        <v>37.298999999999999</v>
      </c>
      <c r="BI33" s="58">
        <v>180.298</v>
      </c>
      <c r="BJ33" s="58">
        <v>53.524000000000001</v>
      </c>
      <c r="BK33" s="58">
        <v>126.773</v>
      </c>
      <c r="BL33" s="58">
        <v>180.90799999999999</v>
      </c>
      <c r="BM33" s="58">
        <v>60.088000000000001</v>
      </c>
      <c r="BN33" s="58">
        <v>120.821</v>
      </c>
      <c r="BO33" s="58">
        <v>2516.8209999999999</v>
      </c>
      <c r="BP33" s="58">
        <v>1298.999</v>
      </c>
      <c r="BQ33" s="58">
        <v>1217.8209999999999</v>
      </c>
      <c r="BR33" s="58">
        <v>1858.6210000000001</v>
      </c>
      <c r="BS33" s="58">
        <v>1164.498</v>
      </c>
      <c r="BT33" s="58">
        <v>694.12300000000005</v>
      </c>
      <c r="BU33" s="58">
        <v>658.2</v>
      </c>
      <c r="BV33" s="58">
        <v>134.50200000000001</v>
      </c>
      <c r="BW33" s="58">
        <v>523.69799999999998</v>
      </c>
      <c r="BX33" s="58">
        <v>329.28</v>
      </c>
      <c r="BY33" s="58">
        <v>157.88399999999999</v>
      </c>
      <c r="BZ33" s="58">
        <v>171.39599999999999</v>
      </c>
      <c r="CA33" s="58">
        <v>65.081999999999994</v>
      </c>
      <c r="CB33" s="58">
        <v>35.728999999999999</v>
      </c>
      <c r="CC33" s="58">
        <v>29.353000000000002</v>
      </c>
      <c r="CD33" s="58">
        <v>29.216000000000001</v>
      </c>
      <c r="CE33" s="58">
        <v>20.794</v>
      </c>
      <c r="CF33" s="58">
        <v>8.4220000000000006</v>
      </c>
      <c r="CG33" s="58">
        <v>15.018000000000001</v>
      </c>
      <c r="CH33" s="58">
        <v>9.5429999999999993</v>
      </c>
      <c r="CI33" s="58">
        <v>5.4749999999999996</v>
      </c>
      <c r="CJ33" s="58">
        <v>14.198</v>
      </c>
      <c r="CK33" s="58">
        <v>11.250999999999999</v>
      </c>
      <c r="CL33" s="58">
        <v>2.9470000000000001</v>
      </c>
      <c r="CM33" s="58">
        <v>35.866</v>
      </c>
      <c r="CN33" s="58">
        <v>14.935</v>
      </c>
      <c r="CO33" s="58">
        <v>20.93</v>
      </c>
      <c r="CP33" s="58">
        <v>290.488</v>
      </c>
      <c r="CQ33" s="58">
        <v>137.11099999999999</v>
      </c>
      <c r="CR33" s="58">
        <v>153.37700000000001</v>
      </c>
      <c r="CS33" s="58">
        <v>115.29300000000001</v>
      </c>
      <c r="CT33" s="58">
        <v>81.966999999999999</v>
      </c>
      <c r="CU33" s="58">
        <v>33.326999999999998</v>
      </c>
      <c r="CV33" s="58">
        <v>175.19499999999999</v>
      </c>
      <c r="CW33" s="58">
        <v>55.145000000000003</v>
      </c>
      <c r="CX33" s="58">
        <v>120.051</v>
      </c>
      <c r="CY33" s="58">
        <v>138.42400000000001</v>
      </c>
      <c r="CZ33" s="58">
        <v>98.257000000000005</v>
      </c>
      <c r="DA33" s="58">
        <v>40.167000000000002</v>
      </c>
      <c r="DB33" s="58">
        <v>190.85499999999999</v>
      </c>
      <c r="DC33" s="58">
        <v>59.627000000000002</v>
      </c>
      <c r="DD33" s="58">
        <v>131.22900000000001</v>
      </c>
      <c r="DE33" s="58">
        <v>190.21299999999999</v>
      </c>
      <c r="DF33" s="58">
        <v>64.686999999999998</v>
      </c>
      <c r="DG33" s="58">
        <v>125.526</v>
      </c>
      <c r="DH33" s="58">
        <v>2203.6379999999999</v>
      </c>
      <c r="DI33" s="58">
        <v>1221.1469999999999</v>
      </c>
      <c r="DJ33" s="58">
        <v>982.49099999999999</v>
      </c>
      <c r="DK33" s="58">
        <v>1372.0820000000001</v>
      </c>
      <c r="DL33" s="58">
        <v>907.80200000000002</v>
      </c>
      <c r="DM33" s="58">
        <v>464.28</v>
      </c>
      <c r="DN33" s="58">
        <v>831.55600000000004</v>
      </c>
      <c r="DO33" s="58">
        <v>313.34500000000003</v>
      </c>
      <c r="DP33" s="58">
        <v>518.21100000000001</v>
      </c>
      <c r="DQ33" s="58">
        <v>238.185</v>
      </c>
      <c r="DR33" s="58">
        <v>144.41</v>
      </c>
      <c r="DS33" s="58">
        <v>93.775000000000006</v>
      </c>
      <c r="DT33" s="58">
        <v>72.042000000000002</v>
      </c>
      <c r="DU33" s="58">
        <v>46.475999999999999</v>
      </c>
      <c r="DV33" s="58">
        <v>25.565999999999999</v>
      </c>
      <c r="DW33" s="58">
        <v>26.369</v>
      </c>
      <c r="DX33" s="58">
        <v>19.882000000000001</v>
      </c>
      <c r="DY33" s="58">
        <v>6.4870000000000001</v>
      </c>
      <c r="DZ33" s="58">
        <v>16.506</v>
      </c>
      <c r="EA33" s="58">
        <v>12.558</v>
      </c>
      <c r="EB33" s="58">
        <v>3.948</v>
      </c>
      <c r="EC33" s="58">
        <v>9.8620000000000001</v>
      </c>
      <c r="ED33" s="58">
        <v>7.3239999999999998</v>
      </c>
      <c r="EE33" s="58">
        <v>2.5379999999999998</v>
      </c>
      <c r="EF33" s="58">
        <v>45.673000000000002</v>
      </c>
      <c r="EG33" s="58">
        <v>26.594000000000001</v>
      </c>
      <c r="EH33" s="58">
        <v>19.079000000000001</v>
      </c>
      <c r="EI33" s="58">
        <v>188.50299999999999</v>
      </c>
      <c r="EJ33" s="58">
        <v>112.676</v>
      </c>
      <c r="EK33" s="58">
        <v>75.826999999999998</v>
      </c>
      <c r="EL33" s="58">
        <v>59.706000000000003</v>
      </c>
      <c r="EM33" s="58">
        <v>46.133000000000003</v>
      </c>
      <c r="EN33" s="58">
        <v>13.573</v>
      </c>
      <c r="EO33" s="58">
        <v>128.79599999999999</v>
      </c>
      <c r="EP33" s="58">
        <v>66.543000000000006</v>
      </c>
      <c r="EQ33" s="58">
        <v>62.253999999999998</v>
      </c>
      <c r="ER33" s="58">
        <v>81.542000000000002</v>
      </c>
      <c r="ES33" s="58">
        <v>63.523000000000003</v>
      </c>
      <c r="ET33" s="58">
        <v>18.018999999999998</v>
      </c>
      <c r="EU33" s="58">
        <v>156.643</v>
      </c>
      <c r="EV33" s="58">
        <v>80.887</v>
      </c>
      <c r="EW33" s="58">
        <v>75.756</v>
      </c>
      <c r="EX33" s="58">
        <v>145.303</v>
      </c>
      <c r="EY33" s="58">
        <v>79.100999999999999</v>
      </c>
      <c r="EZ33" s="58">
        <v>66.201999999999998</v>
      </c>
      <c r="FA33" s="58">
        <v>1744.826</v>
      </c>
      <c r="FB33" s="58">
        <v>938.82100000000003</v>
      </c>
      <c r="FC33" s="58">
        <v>806.005</v>
      </c>
      <c r="FD33" s="58">
        <v>1184.549</v>
      </c>
      <c r="FE33" s="58">
        <v>767.92200000000003</v>
      </c>
      <c r="FF33" s="58">
        <v>416.62700000000001</v>
      </c>
      <c r="FG33" s="58">
        <v>560.27700000000004</v>
      </c>
      <c r="FH33" s="58">
        <v>170.899</v>
      </c>
      <c r="FI33" s="58">
        <v>389.37799999999999</v>
      </c>
      <c r="FJ33" s="58">
        <v>190.57400000000001</v>
      </c>
      <c r="FK33" s="58">
        <v>110.39</v>
      </c>
      <c r="FL33" s="58">
        <v>80.183999999999997</v>
      </c>
      <c r="FM33" s="58">
        <v>51.03</v>
      </c>
      <c r="FN33" s="58">
        <v>31.36</v>
      </c>
      <c r="FO33" s="58">
        <v>19.670000000000002</v>
      </c>
      <c r="FP33" s="58">
        <v>21.597999999999999</v>
      </c>
      <c r="FQ33" s="58">
        <v>15.717000000000001</v>
      </c>
      <c r="FR33" s="58">
        <v>5.8810000000000002</v>
      </c>
      <c r="FS33" s="58">
        <v>12.965</v>
      </c>
      <c r="FT33" s="58">
        <v>9.6229999999999993</v>
      </c>
      <c r="FU33" s="58">
        <v>3.343</v>
      </c>
      <c r="FV33" s="58">
        <v>8.6329999999999991</v>
      </c>
      <c r="FW33" s="58">
        <v>6.0949999999999998</v>
      </c>
      <c r="FX33" s="58">
        <v>2.5379999999999998</v>
      </c>
      <c r="FY33" s="58">
        <v>29.431999999999999</v>
      </c>
      <c r="FZ33" s="58">
        <v>15.643000000000001</v>
      </c>
      <c r="GA33" s="58">
        <v>13.789</v>
      </c>
      <c r="GB33" s="58">
        <v>155.61799999999999</v>
      </c>
      <c r="GC33" s="58">
        <v>88.988</v>
      </c>
      <c r="GD33" s="58">
        <v>66.63</v>
      </c>
      <c r="GE33" s="58">
        <v>51.912999999999997</v>
      </c>
      <c r="GF33" s="58">
        <v>38.683999999999997</v>
      </c>
      <c r="GG33" s="58">
        <v>13.228999999999999</v>
      </c>
      <c r="GH33" s="58">
        <v>103.705</v>
      </c>
      <c r="GI33" s="58">
        <v>50.304000000000002</v>
      </c>
      <c r="GJ33" s="58">
        <v>53.401000000000003</v>
      </c>
      <c r="GK33" s="58">
        <v>69.192999999999998</v>
      </c>
      <c r="GL33" s="58">
        <v>51.908999999999999</v>
      </c>
      <c r="GM33" s="58">
        <v>17.283999999999999</v>
      </c>
      <c r="GN33" s="58">
        <v>121.381</v>
      </c>
      <c r="GO33" s="58">
        <v>58.481000000000002</v>
      </c>
      <c r="GP33" s="58">
        <v>62.9</v>
      </c>
      <c r="GQ33" s="58">
        <v>116.67</v>
      </c>
      <c r="GR33" s="58">
        <v>59.927</v>
      </c>
      <c r="GS33" s="58">
        <v>56.743000000000002</v>
      </c>
      <c r="GT33" s="58">
        <v>458.81299999999999</v>
      </c>
      <c r="GU33" s="58">
        <v>282.32600000000002</v>
      </c>
      <c r="GV33" s="58">
        <v>176.48699999999999</v>
      </c>
      <c r="GW33" s="58">
        <v>187.53299999999999</v>
      </c>
      <c r="GX33" s="58">
        <v>139.88</v>
      </c>
      <c r="GY33" s="58">
        <v>47.652999999999999</v>
      </c>
      <c r="GZ33" s="58">
        <v>271.279</v>
      </c>
      <c r="HA33" s="58">
        <v>142.446</v>
      </c>
      <c r="HB33" s="58">
        <v>128.833</v>
      </c>
      <c r="HC33" s="58">
        <v>47.610999999999997</v>
      </c>
      <c r="HD33" s="58">
        <v>34.020000000000003</v>
      </c>
      <c r="HE33" s="58">
        <v>13.590999999999999</v>
      </c>
      <c r="HF33" s="58">
        <v>21.010999999999999</v>
      </c>
      <c r="HG33" s="58">
        <v>15.116</v>
      </c>
      <c r="HH33" s="58">
        <v>5.8959999999999999</v>
      </c>
      <c r="HI33" s="58">
        <v>4.7709999999999999</v>
      </c>
      <c r="HJ33" s="58">
        <v>4.165</v>
      </c>
      <c r="HK33" s="58">
        <v>0.60599999999999998</v>
      </c>
      <c r="HL33" s="58">
        <v>3.5409999999999999</v>
      </c>
      <c r="HM33" s="58">
        <v>2.9350000000000001</v>
      </c>
      <c r="HN33" s="58">
        <v>0.60599999999999998</v>
      </c>
      <c r="HO33" s="58">
        <v>1.23</v>
      </c>
      <c r="HP33" s="58">
        <v>1.23</v>
      </c>
      <c r="HQ33" s="58">
        <v>0</v>
      </c>
      <c r="HR33" s="58">
        <v>16.241</v>
      </c>
      <c r="HS33" s="58">
        <v>10.951000000000001</v>
      </c>
      <c r="HT33" s="58">
        <v>5.29</v>
      </c>
      <c r="HU33" s="58">
        <v>32.884999999999998</v>
      </c>
      <c r="HV33" s="58">
        <v>23.687999999999999</v>
      </c>
      <c r="HW33" s="58">
        <v>9.1969999999999992</v>
      </c>
      <c r="HX33" s="58">
        <v>7.7930000000000001</v>
      </c>
      <c r="HY33" s="58">
        <v>7.4489999999999998</v>
      </c>
      <c r="HZ33" s="58">
        <v>0.34399999999999997</v>
      </c>
      <c r="IA33" s="58">
        <v>25.091999999999999</v>
      </c>
      <c r="IB33" s="58">
        <v>16.239000000000001</v>
      </c>
      <c r="IC33" s="58">
        <v>8.8529999999999998</v>
      </c>
      <c r="ID33" s="58">
        <v>12.349</v>
      </c>
      <c r="IE33" s="58">
        <v>11.614000000000001</v>
      </c>
      <c r="IF33" s="58">
        <v>0.73499999999999999</v>
      </c>
      <c r="IG33" s="58">
        <v>35.262</v>
      </c>
      <c r="IH33" s="58">
        <v>22.405999999999999</v>
      </c>
      <c r="II33" s="58">
        <v>12.856</v>
      </c>
      <c r="IJ33" s="58">
        <v>28.632999999999999</v>
      </c>
      <c r="IK33" s="58">
        <v>19.173999999999999</v>
      </c>
      <c r="IL33" s="58">
        <v>9.4589999999999996</v>
      </c>
      <c r="IM33" s="58">
        <v>3834.38</v>
      </c>
      <c r="IN33" s="58">
        <v>2048.0210000000002</v>
      </c>
      <c r="IO33" s="58">
        <v>1786.3579999999999</v>
      </c>
      <c r="IP33" s="58">
        <v>2638.3939999999998</v>
      </c>
      <c r="IQ33" s="58">
        <v>1656.596</v>
      </c>
    </row>
    <row r="34" spans="1:251">
      <c r="A34" s="5">
        <v>42522</v>
      </c>
      <c r="B34" s="58">
        <v>19.242000000000001</v>
      </c>
      <c r="C34" s="58">
        <v>14.039</v>
      </c>
      <c r="D34" s="58">
        <v>409.35899999999998</v>
      </c>
      <c r="E34" s="58">
        <v>250.834</v>
      </c>
      <c r="F34" s="58">
        <v>158.52500000000001</v>
      </c>
      <c r="G34" s="58">
        <v>213.12100000000001</v>
      </c>
      <c r="H34" s="58">
        <v>170.864</v>
      </c>
      <c r="I34" s="58">
        <v>42.256999999999998</v>
      </c>
      <c r="J34" s="58">
        <v>196.238</v>
      </c>
      <c r="K34" s="58">
        <v>79.97</v>
      </c>
      <c r="L34" s="58">
        <v>116.268</v>
      </c>
      <c r="M34" s="58">
        <v>237.43199999999999</v>
      </c>
      <c r="N34" s="58">
        <v>187.54400000000001</v>
      </c>
      <c r="O34" s="58">
        <v>49.887999999999998</v>
      </c>
      <c r="P34" s="58">
        <v>209.465</v>
      </c>
      <c r="Q34" s="58">
        <v>85.903000000000006</v>
      </c>
      <c r="R34" s="58">
        <v>123.562</v>
      </c>
      <c r="S34" s="58">
        <v>216.34800000000001</v>
      </c>
      <c r="T34" s="58">
        <v>93.748000000000005</v>
      </c>
      <c r="U34" s="58">
        <v>122.6</v>
      </c>
      <c r="V34" s="58">
        <v>2595.471</v>
      </c>
      <c r="W34" s="58">
        <v>1407.115</v>
      </c>
      <c r="X34" s="58">
        <v>1188.356</v>
      </c>
      <c r="Y34" s="58">
        <v>1899.174</v>
      </c>
      <c r="Z34" s="58">
        <v>1278.7260000000001</v>
      </c>
      <c r="AA34" s="58">
        <v>620.44899999999996</v>
      </c>
      <c r="AB34" s="58">
        <v>696.29700000000003</v>
      </c>
      <c r="AC34" s="58">
        <v>128.38900000000001</v>
      </c>
      <c r="AD34" s="58">
        <v>567.90800000000002</v>
      </c>
      <c r="AE34" s="58">
        <v>358.60399999999998</v>
      </c>
      <c r="AF34" s="58">
        <v>178.047</v>
      </c>
      <c r="AG34" s="58">
        <v>180.55699999999999</v>
      </c>
      <c r="AH34" s="58">
        <v>67.786000000000001</v>
      </c>
      <c r="AI34" s="58">
        <v>31.844000000000001</v>
      </c>
      <c r="AJ34" s="58">
        <v>35.941000000000003</v>
      </c>
      <c r="AK34" s="58">
        <v>34.131</v>
      </c>
      <c r="AL34" s="58">
        <v>22.256</v>
      </c>
      <c r="AM34" s="58">
        <v>11.875</v>
      </c>
      <c r="AN34" s="58">
        <v>14.569000000000001</v>
      </c>
      <c r="AO34" s="58">
        <v>9.2750000000000004</v>
      </c>
      <c r="AP34" s="58">
        <v>5.2930000000000001</v>
      </c>
      <c r="AQ34" s="58">
        <v>19.562000000000001</v>
      </c>
      <c r="AR34" s="58">
        <v>12.98</v>
      </c>
      <c r="AS34" s="58">
        <v>6.5810000000000004</v>
      </c>
      <c r="AT34" s="58">
        <v>33.655000000000001</v>
      </c>
      <c r="AU34" s="58">
        <v>9.5890000000000004</v>
      </c>
      <c r="AV34" s="58">
        <v>24.065999999999999</v>
      </c>
      <c r="AW34" s="58">
        <v>318.34199999999998</v>
      </c>
      <c r="AX34" s="58">
        <v>158.078</v>
      </c>
      <c r="AY34" s="58">
        <v>160.26400000000001</v>
      </c>
      <c r="AZ34" s="58">
        <v>136.69800000000001</v>
      </c>
      <c r="BA34" s="58">
        <v>106.854</v>
      </c>
      <c r="BB34" s="58">
        <v>29.844000000000001</v>
      </c>
      <c r="BC34" s="58">
        <v>181.64400000000001</v>
      </c>
      <c r="BD34" s="58">
        <v>51.223999999999997</v>
      </c>
      <c r="BE34" s="58">
        <v>130.41999999999999</v>
      </c>
      <c r="BF34" s="58">
        <v>162.321</v>
      </c>
      <c r="BG34" s="58">
        <v>123.688</v>
      </c>
      <c r="BH34" s="58">
        <v>38.633000000000003</v>
      </c>
      <c r="BI34" s="58">
        <v>196.28299999999999</v>
      </c>
      <c r="BJ34" s="58">
        <v>54.359000000000002</v>
      </c>
      <c r="BK34" s="58">
        <v>141.92400000000001</v>
      </c>
      <c r="BL34" s="58">
        <v>196.21299999999999</v>
      </c>
      <c r="BM34" s="58">
        <v>60.499000000000002</v>
      </c>
      <c r="BN34" s="58">
        <v>135.71299999999999</v>
      </c>
      <c r="BO34" s="58">
        <v>2509.989</v>
      </c>
      <c r="BP34" s="58">
        <v>1297.037</v>
      </c>
      <c r="BQ34" s="58">
        <v>1212.952</v>
      </c>
      <c r="BR34" s="58">
        <v>1874.184</v>
      </c>
      <c r="BS34" s="58">
        <v>1158.422</v>
      </c>
      <c r="BT34" s="58">
        <v>715.76199999999994</v>
      </c>
      <c r="BU34" s="58">
        <v>635.80499999999995</v>
      </c>
      <c r="BV34" s="58">
        <v>138.61500000000001</v>
      </c>
      <c r="BW34" s="58">
        <v>497.19</v>
      </c>
      <c r="BX34" s="58">
        <v>341.30700000000002</v>
      </c>
      <c r="BY34" s="58">
        <v>167.22800000000001</v>
      </c>
      <c r="BZ34" s="58">
        <v>174.08</v>
      </c>
      <c r="CA34" s="58">
        <v>72.418999999999997</v>
      </c>
      <c r="CB34" s="58">
        <v>44.612000000000002</v>
      </c>
      <c r="CC34" s="58">
        <v>27.806999999999999</v>
      </c>
      <c r="CD34" s="58">
        <v>38.116</v>
      </c>
      <c r="CE34" s="58">
        <v>29.923999999999999</v>
      </c>
      <c r="CF34" s="58">
        <v>8.1920000000000002</v>
      </c>
      <c r="CG34" s="58">
        <v>15.156000000000001</v>
      </c>
      <c r="CH34" s="58">
        <v>11.619</v>
      </c>
      <c r="CI34" s="58">
        <v>3.536</v>
      </c>
      <c r="CJ34" s="58">
        <v>22.96</v>
      </c>
      <c r="CK34" s="58">
        <v>18.305</v>
      </c>
      <c r="CL34" s="58">
        <v>4.6550000000000002</v>
      </c>
      <c r="CM34" s="58">
        <v>34.302999999999997</v>
      </c>
      <c r="CN34" s="58">
        <v>14.688000000000001</v>
      </c>
      <c r="CO34" s="58">
        <v>19.614999999999998</v>
      </c>
      <c r="CP34" s="58">
        <v>297.726</v>
      </c>
      <c r="CQ34" s="58">
        <v>138.11799999999999</v>
      </c>
      <c r="CR34" s="58">
        <v>159.607</v>
      </c>
      <c r="CS34" s="58">
        <v>125.496</v>
      </c>
      <c r="CT34" s="58">
        <v>88.230999999999995</v>
      </c>
      <c r="CU34" s="58">
        <v>37.265000000000001</v>
      </c>
      <c r="CV34" s="58">
        <v>172.23</v>
      </c>
      <c r="CW34" s="58">
        <v>49.887999999999998</v>
      </c>
      <c r="CX34" s="58">
        <v>122.342</v>
      </c>
      <c r="CY34" s="58">
        <v>153.846</v>
      </c>
      <c r="CZ34" s="58">
        <v>111.875</v>
      </c>
      <c r="DA34" s="58">
        <v>41.970999999999997</v>
      </c>
      <c r="DB34" s="58">
        <v>187.46100000000001</v>
      </c>
      <c r="DC34" s="58">
        <v>55.351999999999997</v>
      </c>
      <c r="DD34" s="58">
        <v>132.10900000000001</v>
      </c>
      <c r="DE34" s="58">
        <v>187.386</v>
      </c>
      <c r="DF34" s="58">
        <v>61.506999999999998</v>
      </c>
      <c r="DG34" s="58">
        <v>125.879</v>
      </c>
      <c r="DH34" s="58">
        <v>2203.8719999999998</v>
      </c>
      <c r="DI34" s="58">
        <v>1222.1220000000001</v>
      </c>
      <c r="DJ34" s="58">
        <v>981.74900000000002</v>
      </c>
      <c r="DK34" s="58">
        <v>1372.8130000000001</v>
      </c>
      <c r="DL34" s="58">
        <v>917.13</v>
      </c>
      <c r="DM34" s="58">
        <v>455.68299999999999</v>
      </c>
      <c r="DN34" s="58">
        <v>831.05899999999997</v>
      </c>
      <c r="DO34" s="58">
        <v>304.99299999999999</v>
      </c>
      <c r="DP34" s="58">
        <v>526.06600000000003</v>
      </c>
      <c r="DQ34" s="58">
        <v>249.584</v>
      </c>
      <c r="DR34" s="58">
        <v>146.63999999999999</v>
      </c>
      <c r="DS34" s="58">
        <v>102.944</v>
      </c>
      <c r="DT34" s="58">
        <v>76.834999999999994</v>
      </c>
      <c r="DU34" s="58">
        <v>50.872</v>
      </c>
      <c r="DV34" s="58">
        <v>25.963000000000001</v>
      </c>
      <c r="DW34" s="58">
        <v>26.428999999999998</v>
      </c>
      <c r="DX34" s="58">
        <v>23.585000000000001</v>
      </c>
      <c r="DY34" s="58">
        <v>2.8439999999999999</v>
      </c>
      <c r="DZ34" s="58">
        <v>15.102</v>
      </c>
      <c r="EA34" s="58">
        <v>13.717000000000001</v>
      </c>
      <c r="EB34" s="58">
        <v>1.385</v>
      </c>
      <c r="EC34" s="58">
        <v>11.327</v>
      </c>
      <c r="ED34" s="58">
        <v>9.8689999999999998</v>
      </c>
      <c r="EE34" s="58">
        <v>1.458</v>
      </c>
      <c r="EF34" s="58">
        <v>50.405999999999999</v>
      </c>
      <c r="EG34" s="58">
        <v>27.286999999999999</v>
      </c>
      <c r="EH34" s="58">
        <v>23.119</v>
      </c>
      <c r="EI34" s="58">
        <v>197.952</v>
      </c>
      <c r="EJ34" s="58">
        <v>113.062</v>
      </c>
      <c r="EK34" s="58">
        <v>84.891000000000005</v>
      </c>
      <c r="EL34" s="58">
        <v>57.720999999999997</v>
      </c>
      <c r="EM34" s="58">
        <v>44.837000000000003</v>
      </c>
      <c r="EN34" s="58">
        <v>12.885</v>
      </c>
      <c r="EO34" s="58">
        <v>140.23099999999999</v>
      </c>
      <c r="EP34" s="58">
        <v>68.224999999999994</v>
      </c>
      <c r="EQ34" s="58">
        <v>72.006</v>
      </c>
      <c r="ER34" s="58">
        <v>78.667000000000002</v>
      </c>
      <c r="ES34" s="58">
        <v>63.624000000000002</v>
      </c>
      <c r="ET34" s="58">
        <v>15.042999999999999</v>
      </c>
      <c r="EU34" s="58">
        <v>170.916</v>
      </c>
      <c r="EV34" s="58">
        <v>83.016000000000005</v>
      </c>
      <c r="EW34" s="58">
        <v>87.900999999999996</v>
      </c>
      <c r="EX34" s="58">
        <v>155.333</v>
      </c>
      <c r="EY34" s="58">
        <v>81.941999999999993</v>
      </c>
      <c r="EZ34" s="58">
        <v>73.391999999999996</v>
      </c>
      <c r="FA34" s="58">
        <v>1739.499</v>
      </c>
      <c r="FB34" s="58">
        <v>935.72400000000005</v>
      </c>
      <c r="FC34" s="58">
        <v>803.77499999999998</v>
      </c>
      <c r="FD34" s="58">
        <v>1180.7929999999999</v>
      </c>
      <c r="FE34" s="58">
        <v>767.5</v>
      </c>
      <c r="FF34" s="58">
        <v>413.29300000000001</v>
      </c>
      <c r="FG34" s="58">
        <v>558.70600000000002</v>
      </c>
      <c r="FH34" s="58">
        <v>168.22499999999999</v>
      </c>
      <c r="FI34" s="58">
        <v>390.48200000000003</v>
      </c>
      <c r="FJ34" s="58">
        <v>200.911</v>
      </c>
      <c r="FK34" s="58">
        <v>116.268</v>
      </c>
      <c r="FL34" s="58">
        <v>84.643000000000001</v>
      </c>
      <c r="FM34" s="58">
        <v>58.304000000000002</v>
      </c>
      <c r="FN34" s="58">
        <v>37.941000000000003</v>
      </c>
      <c r="FO34" s="58">
        <v>20.363</v>
      </c>
      <c r="FP34" s="58">
        <v>23.763999999999999</v>
      </c>
      <c r="FQ34" s="58">
        <v>21.28</v>
      </c>
      <c r="FR34" s="58">
        <v>2.484</v>
      </c>
      <c r="FS34" s="58">
        <v>13.211</v>
      </c>
      <c r="FT34" s="58">
        <v>12.047000000000001</v>
      </c>
      <c r="FU34" s="58">
        <v>1.1639999999999999</v>
      </c>
      <c r="FV34" s="58">
        <v>10.553000000000001</v>
      </c>
      <c r="FW34" s="58">
        <v>9.2330000000000005</v>
      </c>
      <c r="FX34" s="58">
        <v>1.32</v>
      </c>
      <c r="FY34" s="58">
        <v>34.54</v>
      </c>
      <c r="FZ34" s="58">
        <v>16.661000000000001</v>
      </c>
      <c r="GA34" s="58">
        <v>17.878</v>
      </c>
      <c r="GB34" s="58">
        <v>164.15100000000001</v>
      </c>
      <c r="GC34" s="58">
        <v>92.546000000000006</v>
      </c>
      <c r="GD34" s="58">
        <v>71.605000000000004</v>
      </c>
      <c r="GE34" s="58">
        <v>52.353000000000002</v>
      </c>
      <c r="GF34" s="58">
        <v>40.073</v>
      </c>
      <c r="GG34" s="58">
        <v>12.28</v>
      </c>
      <c r="GH34" s="58">
        <v>111.798</v>
      </c>
      <c r="GI34" s="58">
        <v>52.472999999999999</v>
      </c>
      <c r="GJ34" s="58">
        <v>59.325000000000003</v>
      </c>
      <c r="GK34" s="58">
        <v>71.387</v>
      </c>
      <c r="GL34" s="58">
        <v>57.087000000000003</v>
      </c>
      <c r="GM34" s="58">
        <v>14.301</v>
      </c>
      <c r="GN34" s="58">
        <v>129.523</v>
      </c>
      <c r="GO34" s="58">
        <v>59.180999999999997</v>
      </c>
      <c r="GP34" s="58">
        <v>70.341999999999999</v>
      </c>
      <c r="GQ34" s="58">
        <v>125.009</v>
      </c>
      <c r="GR34" s="58">
        <v>64.52</v>
      </c>
      <c r="GS34" s="58">
        <v>60.488999999999997</v>
      </c>
      <c r="GT34" s="58">
        <v>464.37299999999999</v>
      </c>
      <c r="GU34" s="58">
        <v>286.39800000000002</v>
      </c>
      <c r="GV34" s="58">
        <v>177.97399999999999</v>
      </c>
      <c r="GW34" s="58">
        <v>192.02</v>
      </c>
      <c r="GX34" s="58">
        <v>149.63</v>
      </c>
      <c r="GY34" s="58">
        <v>42.39</v>
      </c>
      <c r="GZ34" s="58">
        <v>272.35300000000001</v>
      </c>
      <c r="HA34" s="58">
        <v>136.768</v>
      </c>
      <c r="HB34" s="58">
        <v>135.584</v>
      </c>
      <c r="HC34" s="58">
        <v>48.673000000000002</v>
      </c>
      <c r="HD34" s="58">
        <v>30.372</v>
      </c>
      <c r="HE34" s="58">
        <v>18.300999999999998</v>
      </c>
      <c r="HF34" s="58">
        <v>18.530999999999999</v>
      </c>
      <c r="HG34" s="58">
        <v>12.930999999999999</v>
      </c>
      <c r="HH34" s="58">
        <v>5.6</v>
      </c>
      <c r="HI34" s="58">
        <v>2.665</v>
      </c>
      <c r="HJ34" s="58">
        <v>2.3050000000000002</v>
      </c>
      <c r="HK34" s="58">
        <v>0.36</v>
      </c>
      <c r="HL34" s="58">
        <v>1.891</v>
      </c>
      <c r="HM34" s="58">
        <v>1.67</v>
      </c>
      <c r="HN34" s="58">
        <v>0.221</v>
      </c>
      <c r="HO34" s="58">
        <v>0.77400000000000002</v>
      </c>
      <c r="HP34" s="58">
        <v>0.63500000000000001</v>
      </c>
      <c r="HQ34" s="58">
        <v>0.13900000000000001</v>
      </c>
      <c r="HR34" s="58">
        <v>15.866</v>
      </c>
      <c r="HS34" s="58">
        <v>10.625</v>
      </c>
      <c r="HT34" s="58">
        <v>5.2409999999999997</v>
      </c>
      <c r="HU34" s="58">
        <v>33.801000000000002</v>
      </c>
      <c r="HV34" s="58">
        <v>20.515999999999998</v>
      </c>
      <c r="HW34" s="58">
        <v>13.286</v>
      </c>
      <c r="HX34" s="58">
        <v>5.3680000000000003</v>
      </c>
      <c r="HY34" s="58">
        <v>4.7640000000000002</v>
      </c>
      <c r="HZ34" s="58">
        <v>0.60399999999999998</v>
      </c>
      <c r="IA34" s="58">
        <v>28.433</v>
      </c>
      <c r="IB34" s="58">
        <v>15.752000000000001</v>
      </c>
      <c r="IC34" s="58">
        <v>12.680999999999999</v>
      </c>
      <c r="ID34" s="58">
        <v>7.28</v>
      </c>
      <c r="IE34" s="58">
        <v>6.5369999999999999</v>
      </c>
      <c r="IF34" s="58">
        <v>0.74299999999999999</v>
      </c>
      <c r="IG34" s="58">
        <v>41.393000000000001</v>
      </c>
      <c r="IH34" s="58">
        <v>23.835000000000001</v>
      </c>
      <c r="II34" s="58">
        <v>17.558</v>
      </c>
      <c r="IJ34" s="58">
        <v>30.324000000000002</v>
      </c>
      <c r="IK34" s="58">
        <v>17.422000000000001</v>
      </c>
      <c r="IL34" s="58">
        <v>12.901999999999999</v>
      </c>
      <c r="IM34" s="58">
        <v>3822.5149999999999</v>
      </c>
      <c r="IN34" s="58">
        <v>2035.539</v>
      </c>
      <c r="IO34" s="58">
        <v>1786.9760000000001</v>
      </c>
      <c r="IP34" s="58">
        <v>2632.7370000000001</v>
      </c>
      <c r="IQ34" s="58">
        <v>1649.32</v>
      </c>
    </row>
    <row r="35" spans="1:251">
      <c r="A35" s="5">
        <v>42552</v>
      </c>
      <c r="B35" s="58">
        <v>17.553000000000001</v>
      </c>
      <c r="C35" s="58">
        <v>16.677</v>
      </c>
      <c r="D35" s="58">
        <v>405.00599999999997</v>
      </c>
      <c r="E35" s="58">
        <v>225.291</v>
      </c>
      <c r="F35" s="58">
        <v>179.715</v>
      </c>
      <c r="G35" s="58">
        <v>198.648</v>
      </c>
      <c r="H35" s="58">
        <v>147.11000000000001</v>
      </c>
      <c r="I35" s="58">
        <v>51.537999999999997</v>
      </c>
      <c r="J35" s="58">
        <v>206.358</v>
      </c>
      <c r="K35" s="58">
        <v>78.180000000000007</v>
      </c>
      <c r="L35" s="58">
        <v>128.17699999999999</v>
      </c>
      <c r="M35" s="58">
        <v>224.24799999999999</v>
      </c>
      <c r="N35" s="58">
        <v>165.65600000000001</v>
      </c>
      <c r="O35" s="58">
        <v>58.591999999999999</v>
      </c>
      <c r="P35" s="58">
        <v>217.99100000000001</v>
      </c>
      <c r="Q35" s="58">
        <v>84.236999999999995</v>
      </c>
      <c r="R35" s="58">
        <v>133.755</v>
      </c>
      <c r="S35" s="58">
        <v>223.79</v>
      </c>
      <c r="T35" s="58">
        <v>89.938000000000002</v>
      </c>
      <c r="U35" s="58">
        <v>133.851</v>
      </c>
      <c r="V35" s="58">
        <v>2593.241</v>
      </c>
      <c r="W35" s="58">
        <v>1413.2249999999999</v>
      </c>
      <c r="X35" s="58">
        <v>1180.0150000000001</v>
      </c>
      <c r="Y35" s="58">
        <v>1896.9659999999999</v>
      </c>
      <c r="Z35" s="58">
        <v>1275.057</v>
      </c>
      <c r="AA35" s="58">
        <v>621.90899999999999</v>
      </c>
      <c r="AB35" s="58">
        <v>696.27499999999998</v>
      </c>
      <c r="AC35" s="58">
        <v>138.16900000000001</v>
      </c>
      <c r="AD35" s="58">
        <v>558.10599999999999</v>
      </c>
      <c r="AE35" s="58">
        <v>362.81299999999999</v>
      </c>
      <c r="AF35" s="58">
        <v>197.92400000000001</v>
      </c>
      <c r="AG35" s="58">
        <v>164.89</v>
      </c>
      <c r="AH35" s="58">
        <v>68.647999999999996</v>
      </c>
      <c r="AI35" s="58">
        <v>43.133000000000003</v>
      </c>
      <c r="AJ35" s="58">
        <v>25.515000000000001</v>
      </c>
      <c r="AK35" s="58">
        <v>38.18</v>
      </c>
      <c r="AL35" s="58">
        <v>29.151</v>
      </c>
      <c r="AM35" s="58">
        <v>9.0289999999999999</v>
      </c>
      <c r="AN35" s="58">
        <v>21.54</v>
      </c>
      <c r="AO35" s="58">
        <v>16.184000000000001</v>
      </c>
      <c r="AP35" s="58">
        <v>5.3559999999999999</v>
      </c>
      <c r="AQ35" s="58">
        <v>16.64</v>
      </c>
      <c r="AR35" s="58">
        <v>12.967000000000001</v>
      </c>
      <c r="AS35" s="58">
        <v>3.673</v>
      </c>
      <c r="AT35" s="58">
        <v>30.468</v>
      </c>
      <c r="AU35" s="58">
        <v>13.981999999999999</v>
      </c>
      <c r="AV35" s="58">
        <v>16.486000000000001</v>
      </c>
      <c r="AW35" s="58">
        <v>318.76799999999997</v>
      </c>
      <c r="AX35" s="58">
        <v>169.62899999999999</v>
      </c>
      <c r="AY35" s="58">
        <v>149.13900000000001</v>
      </c>
      <c r="AZ35" s="58">
        <v>145.077</v>
      </c>
      <c r="BA35" s="58">
        <v>115.129</v>
      </c>
      <c r="BB35" s="58">
        <v>29.948</v>
      </c>
      <c r="BC35" s="58">
        <v>173.691</v>
      </c>
      <c r="BD35" s="58">
        <v>54.5</v>
      </c>
      <c r="BE35" s="58">
        <v>119.191</v>
      </c>
      <c r="BF35" s="58">
        <v>174.14599999999999</v>
      </c>
      <c r="BG35" s="58">
        <v>137.60499999999999</v>
      </c>
      <c r="BH35" s="58">
        <v>36.540999999999997</v>
      </c>
      <c r="BI35" s="58">
        <v>188.667</v>
      </c>
      <c r="BJ35" s="58">
        <v>60.319000000000003</v>
      </c>
      <c r="BK35" s="58">
        <v>128.34899999999999</v>
      </c>
      <c r="BL35" s="58">
        <v>195.23099999999999</v>
      </c>
      <c r="BM35" s="58">
        <v>70.683999999999997</v>
      </c>
      <c r="BN35" s="58">
        <v>124.547</v>
      </c>
      <c r="BO35" s="58">
        <v>2506.7660000000001</v>
      </c>
      <c r="BP35" s="58">
        <v>1292.779</v>
      </c>
      <c r="BQ35" s="58">
        <v>1213.9870000000001</v>
      </c>
      <c r="BR35" s="58">
        <v>1852.3820000000001</v>
      </c>
      <c r="BS35" s="58">
        <v>1154.2049999999999</v>
      </c>
      <c r="BT35" s="58">
        <v>698.17700000000002</v>
      </c>
      <c r="BU35" s="58">
        <v>654.38300000000004</v>
      </c>
      <c r="BV35" s="58">
        <v>138.57400000000001</v>
      </c>
      <c r="BW35" s="58">
        <v>515.80999999999995</v>
      </c>
      <c r="BX35" s="58">
        <v>351.80500000000001</v>
      </c>
      <c r="BY35" s="58">
        <v>168.16</v>
      </c>
      <c r="BZ35" s="58">
        <v>183.64500000000001</v>
      </c>
      <c r="CA35" s="58">
        <v>77.299000000000007</v>
      </c>
      <c r="CB35" s="58">
        <v>42.914000000000001</v>
      </c>
      <c r="CC35" s="58">
        <v>34.384999999999998</v>
      </c>
      <c r="CD35" s="58">
        <v>39.213000000000001</v>
      </c>
      <c r="CE35" s="58">
        <v>30.515000000000001</v>
      </c>
      <c r="CF35" s="58">
        <v>8.6980000000000004</v>
      </c>
      <c r="CG35" s="58">
        <v>17.369</v>
      </c>
      <c r="CH35" s="58">
        <v>13.66</v>
      </c>
      <c r="CI35" s="58">
        <v>3.7080000000000002</v>
      </c>
      <c r="CJ35" s="58">
        <v>21.844000000000001</v>
      </c>
      <c r="CK35" s="58">
        <v>16.853999999999999</v>
      </c>
      <c r="CL35" s="58">
        <v>4.99</v>
      </c>
      <c r="CM35" s="58">
        <v>38.085999999999999</v>
      </c>
      <c r="CN35" s="58">
        <v>12.398999999999999</v>
      </c>
      <c r="CO35" s="58">
        <v>25.687000000000001</v>
      </c>
      <c r="CP35" s="58">
        <v>305.20699999999999</v>
      </c>
      <c r="CQ35" s="58">
        <v>140.39599999999999</v>
      </c>
      <c r="CR35" s="58">
        <v>164.81100000000001</v>
      </c>
      <c r="CS35" s="58">
        <v>124.42100000000001</v>
      </c>
      <c r="CT35" s="58">
        <v>90.186999999999998</v>
      </c>
      <c r="CU35" s="58">
        <v>34.234000000000002</v>
      </c>
      <c r="CV35" s="58">
        <v>180.786</v>
      </c>
      <c r="CW35" s="58">
        <v>50.209000000000003</v>
      </c>
      <c r="CX35" s="58">
        <v>130.577</v>
      </c>
      <c r="CY35" s="58">
        <v>152.578</v>
      </c>
      <c r="CZ35" s="58">
        <v>112.447</v>
      </c>
      <c r="DA35" s="58">
        <v>40.131999999999998</v>
      </c>
      <c r="DB35" s="58">
        <v>199.226</v>
      </c>
      <c r="DC35" s="58">
        <v>55.713000000000001</v>
      </c>
      <c r="DD35" s="58">
        <v>143.51300000000001</v>
      </c>
      <c r="DE35" s="58">
        <v>198.155</v>
      </c>
      <c r="DF35" s="58">
        <v>63.869</v>
      </c>
      <c r="DG35" s="58">
        <v>134.285</v>
      </c>
      <c r="DH35" s="58">
        <v>2192.8069999999998</v>
      </c>
      <c r="DI35" s="58">
        <v>1209.835</v>
      </c>
      <c r="DJ35" s="58">
        <v>982.97199999999998</v>
      </c>
      <c r="DK35" s="58">
        <v>1373.5640000000001</v>
      </c>
      <c r="DL35" s="58">
        <v>913.39</v>
      </c>
      <c r="DM35" s="58">
        <v>460.17399999999998</v>
      </c>
      <c r="DN35" s="58">
        <v>819.24300000000005</v>
      </c>
      <c r="DO35" s="58">
        <v>296.44600000000003</v>
      </c>
      <c r="DP35" s="58">
        <v>522.79700000000003</v>
      </c>
      <c r="DQ35" s="58">
        <v>249.88200000000001</v>
      </c>
      <c r="DR35" s="58">
        <v>147.55799999999999</v>
      </c>
      <c r="DS35" s="58">
        <v>102.324</v>
      </c>
      <c r="DT35" s="58">
        <v>75.180999999999997</v>
      </c>
      <c r="DU35" s="58">
        <v>47.515999999999998</v>
      </c>
      <c r="DV35" s="58">
        <v>27.664999999999999</v>
      </c>
      <c r="DW35" s="58">
        <v>29.768000000000001</v>
      </c>
      <c r="DX35" s="58">
        <v>23.007000000000001</v>
      </c>
      <c r="DY35" s="58">
        <v>6.7610000000000001</v>
      </c>
      <c r="DZ35" s="58">
        <v>17.821000000000002</v>
      </c>
      <c r="EA35" s="58">
        <v>13.43</v>
      </c>
      <c r="EB35" s="58">
        <v>4.391</v>
      </c>
      <c r="EC35" s="58">
        <v>11.946999999999999</v>
      </c>
      <c r="ED35" s="58">
        <v>9.577</v>
      </c>
      <c r="EE35" s="58">
        <v>2.37</v>
      </c>
      <c r="EF35" s="58">
        <v>45.412999999999997</v>
      </c>
      <c r="EG35" s="58">
        <v>24.51</v>
      </c>
      <c r="EH35" s="58">
        <v>20.902999999999999</v>
      </c>
      <c r="EI35" s="58">
        <v>200.703</v>
      </c>
      <c r="EJ35" s="58">
        <v>118.146</v>
      </c>
      <c r="EK35" s="58">
        <v>82.557000000000002</v>
      </c>
      <c r="EL35" s="58">
        <v>63.41</v>
      </c>
      <c r="EM35" s="58">
        <v>46.161999999999999</v>
      </c>
      <c r="EN35" s="58">
        <v>17.248000000000001</v>
      </c>
      <c r="EO35" s="58">
        <v>137.29300000000001</v>
      </c>
      <c r="EP35" s="58">
        <v>71.983999999999995</v>
      </c>
      <c r="EQ35" s="58">
        <v>65.308999999999997</v>
      </c>
      <c r="ER35" s="58">
        <v>85.569000000000003</v>
      </c>
      <c r="ES35" s="58">
        <v>63.042000000000002</v>
      </c>
      <c r="ET35" s="58">
        <v>22.527999999999999</v>
      </c>
      <c r="EU35" s="58">
        <v>164.31299999999999</v>
      </c>
      <c r="EV35" s="58">
        <v>84.516999999999996</v>
      </c>
      <c r="EW35" s="58">
        <v>79.796000000000006</v>
      </c>
      <c r="EX35" s="58">
        <v>155.114</v>
      </c>
      <c r="EY35" s="58">
        <v>85.414000000000001</v>
      </c>
      <c r="EZ35" s="58">
        <v>69.7</v>
      </c>
      <c r="FA35" s="58">
        <v>1721.6369999999999</v>
      </c>
      <c r="FB35" s="58">
        <v>922.20699999999999</v>
      </c>
      <c r="FC35" s="58">
        <v>799.43</v>
      </c>
      <c r="FD35" s="58">
        <v>1174.547</v>
      </c>
      <c r="FE35" s="58">
        <v>762.11099999999999</v>
      </c>
      <c r="FF35" s="58">
        <v>412.43599999999998</v>
      </c>
      <c r="FG35" s="58">
        <v>547.09</v>
      </c>
      <c r="FH35" s="58">
        <v>160.096</v>
      </c>
      <c r="FI35" s="58">
        <v>386.99400000000003</v>
      </c>
      <c r="FJ35" s="58">
        <v>197.18100000000001</v>
      </c>
      <c r="FK35" s="58">
        <v>110.13200000000001</v>
      </c>
      <c r="FL35" s="58">
        <v>87.048000000000002</v>
      </c>
      <c r="FM35" s="58">
        <v>51.445999999999998</v>
      </c>
      <c r="FN35" s="58">
        <v>31.86</v>
      </c>
      <c r="FO35" s="58">
        <v>19.585999999999999</v>
      </c>
      <c r="FP35" s="58">
        <v>23.744</v>
      </c>
      <c r="FQ35" s="58">
        <v>19.013999999999999</v>
      </c>
      <c r="FR35" s="58">
        <v>4.7300000000000004</v>
      </c>
      <c r="FS35" s="58">
        <v>13.906000000000001</v>
      </c>
      <c r="FT35" s="58">
        <v>10.393000000000001</v>
      </c>
      <c r="FU35" s="58">
        <v>3.5129999999999999</v>
      </c>
      <c r="FV35" s="58">
        <v>9.8379999999999992</v>
      </c>
      <c r="FW35" s="58">
        <v>8.6210000000000004</v>
      </c>
      <c r="FX35" s="58">
        <v>1.2170000000000001</v>
      </c>
      <c r="FY35" s="58">
        <v>27.702000000000002</v>
      </c>
      <c r="FZ35" s="58">
        <v>12.846</v>
      </c>
      <c r="GA35" s="58">
        <v>14.856</v>
      </c>
      <c r="GB35" s="58">
        <v>165.834</v>
      </c>
      <c r="GC35" s="58">
        <v>91.846000000000004</v>
      </c>
      <c r="GD35" s="58">
        <v>73.988</v>
      </c>
      <c r="GE35" s="58">
        <v>55.601999999999997</v>
      </c>
      <c r="GF35" s="58">
        <v>39.012999999999998</v>
      </c>
      <c r="GG35" s="58">
        <v>16.588999999999999</v>
      </c>
      <c r="GH35" s="58">
        <v>110.232</v>
      </c>
      <c r="GI35" s="58">
        <v>52.832999999999998</v>
      </c>
      <c r="GJ35" s="58">
        <v>57.398000000000003</v>
      </c>
      <c r="GK35" s="58">
        <v>72.951999999999998</v>
      </c>
      <c r="GL35" s="58">
        <v>53.113999999999997</v>
      </c>
      <c r="GM35" s="58">
        <v>19.838000000000001</v>
      </c>
      <c r="GN35" s="58">
        <v>124.229</v>
      </c>
      <c r="GO35" s="58">
        <v>57.018000000000001</v>
      </c>
      <c r="GP35" s="58">
        <v>67.210999999999999</v>
      </c>
      <c r="GQ35" s="58">
        <v>124.13800000000001</v>
      </c>
      <c r="GR35" s="58">
        <v>63.225999999999999</v>
      </c>
      <c r="GS35" s="58">
        <v>60.911999999999999</v>
      </c>
      <c r="GT35" s="58">
        <v>471.16899999999998</v>
      </c>
      <c r="GU35" s="58">
        <v>287.62799999999999</v>
      </c>
      <c r="GV35" s="58">
        <v>183.541</v>
      </c>
      <c r="GW35" s="58">
        <v>199.017</v>
      </c>
      <c r="GX35" s="58">
        <v>151.279</v>
      </c>
      <c r="GY35" s="58">
        <v>47.738</v>
      </c>
      <c r="GZ35" s="58">
        <v>272.15300000000002</v>
      </c>
      <c r="HA35" s="58">
        <v>136.35</v>
      </c>
      <c r="HB35" s="58">
        <v>135.803</v>
      </c>
      <c r="HC35" s="58">
        <v>52.701000000000001</v>
      </c>
      <c r="HD35" s="58">
        <v>37.426000000000002</v>
      </c>
      <c r="HE35" s="58">
        <v>15.275</v>
      </c>
      <c r="HF35" s="58">
        <v>23.734999999999999</v>
      </c>
      <c r="HG35" s="58">
        <v>15.656000000000001</v>
      </c>
      <c r="HH35" s="58">
        <v>8.0790000000000006</v>
      </c>
      <c r="HI35" s="58">
        <v>6.024</v>
      </c>
      <c r="HJ35" s="58">
        <v>3.9929999999999999</v>
      </c>
      <c r="HK35" s="58">
        <v>2.0310000000000001</v>
      </c>
      <c r="HL35" s="58">
        <v>3.915</v>
      </c>
      <c r="HM35" s="58">
        <v>3.0369999999999999</v>
      </c>
      <c r="HN35" s="58">
        <v>0.878</v>
      </c>
      <c r="HO35" s="58">
        <v>2.109</v>
      </c>
      <c r="HP35" s="58">
        <v>0.95599999999999996</v>
      </c>
      <c r="HQ35" s="58">
        <v>1.1539999999999999</v>
      </c>
      <c r="HR35" s="58">
        <v>17.710999999999999</v>
      </c>
      <c r="HS35" s="58">
        <v>11.663</v>
      </c>
      <c r="HT35" s="58">
        <v>6.048</v>
      </c>
      <c r="HU35" s="58">
        <v>34.869</v>
      </c>
      <c r="HV35" s="58">
        <v>26.3</v>
      </c>
      <c r="HW35" s="58">
        <v>8.5690000000000008</v>
      </c>
      <c r="HX35" s="58">
        <v>7.8079999999999998</v>
      </c>
      <c r="HY35" s="58">
        <v>7.15</v>
      </c>
      <c r="HZ35" s="58">
        <v>0.65900000000000003</v>
      </c>
      <c r="IA35" s="58">
        <v>27.061</v>
      </c>
      <c r="IB35" s="58">
        <v>19.149999999999999</v>
      </c>
      <c r="IC35" s="58">
        <v>7.9109999999999996</v>
      </c>
      <c r="ID35" s="58">
        <v>12.617000000000001</v>
      </c>
      <c r="IE35" s="58">
        <v>9.9269999999999996</v>
      </c>
      <c r="IF35" s="58">
        <v>2.69</v>
      </c>
      <c r="IG35" s="58">
        <v>40.084000000000003</v>
      </c>
      <c r="IH35" s="58">
        <v>27.498000000000001</v>
      </c>
      <c r="II35" s="58">
        <v>12.585000000000001</v>
      </c>
      <c r="IJ35" s="58">
        <v>30.975999999999999</v>
      </c>
      <c r="IK35" s="58">
        <v>22.187999999999999</v>
      </c>
      <c r="IL35" s="58">
        <v>8.7880000000000003</v>
      </c>
      <c r="IM35" s="58">
        <v>3821.1260000000002</v>
      </c>
      <c r="IN35" s="58">
        <v>2040.769</v>
      </c>
      <c r="IO35" s="58">
        <v>1780.357</v>
      </c>
      <c r="IP35" s="58">
        <v>2616.5709999999999</v>
      </c>
      <c r="IQ35" s="58">
        <v>1647.3610000000001</v>
      </c>
    </row>
    <row r="36" spans="1:251">
      <c r="A36" s="5">
        <v>42583</v>
      </c>
      <c r="B36" s="58">
        <v>14.12</v>
      </c>
      <c r="C36" s="58">
        <v>20.056999999999999</v>
      </c>
      <c r="D36" s="58">
        <v>405.7</v>
      </c>
      <c r="E36" s="58">
        <v>236.322</v>
      </c>
      <c r="F36" s="58">
        <v>169.37799999999999</v>
      </c>
      <c r="G36" s="58">
        <v>207.79400000000001</v>
      </c>
      <c r="H36" s="58">
        <v>159.12700000000001</v>
      </c>
      <c r="I36" s="58">
        <v>48.667999999999999</v>
      </c>
      <c r="J36" s="58">
        <v>197.905</v>
      </c>
      <c r="K36" s="58">
        <v>77.194999999999993</v>
      </c>
      <c r="L36" s="58">
        <v>120.71</v>
      </c>
      <c r="M36" s="58">
        <v>231.249</v>
      </c>
      <c r="N36" s="58">
        <v>177.05799999999999</v>
      </c>
      <c r="O36" s="58">
        <v>54.191000000000003</v>
      </c>
      <c r="P36" s="58">
        <v>213.518</v>
      </c>
      <c r="Q36" s="58">
        <v>82.816999999999993</v>
      </c>
      <c r="R36" s="58">
        <v>130.702</v>
      </c>
      <c r="S36" s="58">
        <v>210.905</v>
      </c>
      <c r="T36" s="58">
        <v>87.872</v>
      </c>
      <c r="U36" s="58">
        <v>123.033</v>
      </c>
      <c r="V36" s="58">
        <v>2590.232</v>
      </c>
      <c r="W36" s="58">
        <v>1413.9159999999999</v>
      </c>
      <c r="X36" s="58">
        <v>1176.3150000000001</v>
      </c>
      <c r="Y36" s="58">
        <v>1907.027</v>
      </c>
      <c r="Z36" s="58">
        <v>1278.73</v>
      </c>
      <c r="AA36" s="58">
        <v>628.29700000000003</v>
      </c>
      <c r="AB36" s="58">
        <v>683.20399999999995</v>
      </c>
      <c r="AC36" s="58">
        <v>135.18600000000001</v>
      </c>
      <c r="AD36" s="58">
        <v>548.01800000000003</v>
      </c>
      <c r="AE36" s="58">
        <v>341.80399999999997</v>
      </c>
      <c r="AF36" s="58">
        <v>182.22499999999999</v>
      </c>
      <c r="AG36" s="58">
        <v>159.57900000000001</v>
      </c>
      <c r="AH36" s="58">
        <v>57.545999999999999</v>
      </c>
      <c r="AI36" s="58">
        <v>31.545999999999999</v>
      </c>
      <c r="AJ36" s="58">
        <v>26</v>
      </c>
      <c r="AK36" s="58">
        <v>27.876000000000001</v>
      </c>
      <c r="AL36" s="58">
        <v>18.91</v>
      </c>
      <c r="AM36" s="58">
        <v>8.9659999999999993</v>
      </c>
      <c r="AN36" s="58">
        <v>9.4369999999999994</v>
      </c>
      <c r="AO36" s="58">
        <v>5.0410000000000004</v>
      </c>
      <c r="AP36" s="58">
        <v>4.3959999999999999</v>
      </c>
      <c r="AQ36" s="58">
        <v>18.439</v>
      </c>
      <c r="AR36" s="58">
        <v>13.869</v>
      </c>
      <c r="AS36" s="58">
        <v>4.57</v>
      </c>
      <c r="AT36" s="58">
        <v>29.669</v>
      </c>
      <c r="AU36" s="58">
        <v>12.635</v>
      </c>
      <c r="AV36" s="58">
        <v>17.033999999999999</v>
      </c>
      <c r="AW36" s="58">
        <v>308.24599999999998</v>
      </c>
      <c r="AX36" s="58">
        <v>165.20400000000001</v>
      </c>
      <c r="AY36" s="58">
        <v>143.042</v>
      </c>
      <c r="AZ36" s="58">
        <v>137.892</v>
      </c>
      <c r="BA36" s="58">
        <v>113.648</v>
      </c>
      <c r="BB36" s="58">
        <v>24.244</v>
      </c>
      <c r="BC36" s="58">
        <v>170.35400000000001</v>
      </c>
      <c r="BD36" s="58">
        <v>51.555</v>
      </c>
      <c r="BE36" s="58">
        <v>118.798</v>
      </c>
      <c r="BF36" s="58">
        <v>159.011</v>
      </c>
      <c r="BG36" s="58">
        <v>127.13200000000001</v>
      </c>
      <c r="BH36" s="58">
        <v>31.879000000000001</v>
      </c>
      <c r="BI36" s="58">
        <v>182.79300000000001</v>
      </c>
      <c r="BJ36" s="58">
        <v>55.093000000000004</v>
      </c>
      <c r="BK36" s="58">
        <v>127.7</v>
      </c>
      <c r="BL36" s="58">
        <v>179.791</v>
      </c>
      <c r="BM36" s="58">
        <v>56.595999999999997</v>
      </c>
      <c r="BN36" s="58">
        <v>123.19499999999999</v>
      </c>
      <c r="BO36" s="58">
        <v>2512.7930000000001</v>
      </c>
      <c r="BP36" s="58">
        <v>1295.1610000000001</v>
      </c>
      <c r="BQ36" s="58">
        <v>1217.6320000000001</v>
      </c>
      <c r="BR36" s="58">
        <v>1848.297</v>
      </c>
      <c r="BS36" s="58">
        <v>1153.7850000000001</v>
      </c>
      <c r="BT36" s="58">
        <v>694.51199999999994</v>
      </c>
      <c r="BU36" s="58">
        <v>664.49599999999998</v>
      </c>
      <c r="BV36" s="58">
        <v>141.376</v>
      </c>
      <c r="BW36" s="58">
        <v>523.11900000000003</v>
      </c>
      <c r="BX36" s="58">
        <v>330.32900000000001</v>
      </c>
      <c r="BY36" s="58">
        <v>162.63499999999999</v>
      </c>
      <c r="BZ36" s="58">
        <v>167.69300000000001</v>
      </c>
      <c r="CA36" s="58">
        <v>76.284000000000006</v>
      </c>
      <c r="CB36" s="58">
        <v>46.441000000000003</v>
      </c>
      <c r="CC36" s="58">
        <v>29.844000000000001</v>
      </c>
      <c r="CD36" s="58">
        <v>37.905000000000001</v>
      </c>
      <c r="CE36" s="58">
        <v>30.716999999999999</v>
      </c>
      <c r="CF36" s="58">
        <v>7.1879999999999997</v>
      </c>
      <c r="CG36" s="58">
        <v>23.835000000000001</v>
      </c>
      <c r="CH36" s="58">
        <v>18.763000000000002</v>
      </c>
      <c r="CI36" s="58">
        <v>5.0720000000000001</v>
      </c>
      <c r="CJ36" s="58">
        <v>14.07</v>
      </c>
      <c r="CK36" s="58">
        <v>11.954000000000001</v>
      </c>
      <c r="CL36" s="58">
        <v>2.1160000000000001</v>
      </c>
      <c r="CM36" s="58">
        <v>38.380000000000003</v>
      </c>
      <c r="CN36" s="58">
        <v>15.724</v>
      </c>
      <c r="CO36" s="58">
        <v>22.655999999999999</v>
      </c>
      <c r="CP36" s="58">
        <v>287.74700000000001</v>
      </c>
      <c r="CQ36" s="58">
        <v>136.43600000000001</v>
      </c>
      <c r="CR36" s="58">
        <v>151.31100000000001</v>
      </c>
      <c r="CS36" s="58">
        <v>110.35299999999999</v>
      </c>
      <c r="CT36" s="58">
        <v>82.543999999999997</v>
      </c>
      <c r="CU36" s="58">
        <v>27.809000000000001</v>
      </c>
      <c r="CV36" s="58">
        <v>177.39400000000001</v>
      </c>
      <c r="CW36" s="58">
        <v>53.892000000000003</v>
      </c>
      <c r="CX36" s="58">
        <v>123.502</v>
      </c>
      <c r="CY36" s="58">
        <v>135.29400000000001</v>
      </c>
      <c r="CZ36" s="58">
        <v>102.49</v>
      </c>
      <c r="DA36" s="58">
        <v>32.805</v>
      </c>
      <c r="DB36" s="58">
        <v>195.03399999999999</v>
      </c>
      <c r="DC36" s="58">
        <v>60.146000000000001</v>
      </c>
      <c r="DD36" s="58">
        <v>134.88900000000001</v>
      </c>
      <c r="DE36" s="58">
        <v>201.22900000000001</v>
      </c>
      <c r="DF36" s="58">
        <v>72.655000000000001</v>
      </c>
      <c r="DG36" s="58">
        <v>128.57400000000001</v>
      </c>
      <c r="DH36" s="58">
        <v>2185.1129999999998</v>
      </c>
      <c r="DI36" s="58">
        <v>1204.9939999999999</v>
      </c>
      <c r="DJ36" s="58">
        <v>980.11900000000003</v>
      </c>
      <c r="DK36" s="58">
        <v>1365.4269999999999</v>
      </c>
      <c r="DL36" s="58">
        <v>905.45799999999997</v>
      </c>
      <c r="DM36" s="58">
        <v>459.96800000000002</v>
      </c>
      <c r="DN36" s="58">
        <v>819.68700000000001</v>
      </c>
      <c r="DO36" s="58">
        <v>299.536</v>
      </c>
      <c r="DP36" s="58">
        <v>520.15099999999995</v>
      </c>
      <c r="DQ36" s="58">
        <v>240.63300000000001</v>
      </c>
      <c r="DR36" s="58">
        <v>141.79400000000001</v>
      </c>
      <c r="DS36" s="58">
        <v>98.838999999999999</v>
      </c>
      <c r="DT36" s="58">
        <v>67.793000000000006</v>
      </c>
      <c r="DU36" s="58">
        <v>46.273000000000003</v>
      </c>
      <c r="DV36" s="58">
        <v>21.521000000000001</v>
      </c>
      <c r="DW36" s="58">
        <v>24.538</v>
      </c>
      <c r="DX36" s="58">
        <v>20.911999999999999</v>
      </c>
      <c r="DY36" s="58">
        <v>3.6269999999999998</v>
      </c>
      <c r="DZ36" s="58">
        <v>14.397</v>
      </c>
      <c r="EA36" s="58">
        <v>12.617000000000001</v>
      </c>
      <c r="EB36" s="58">
        <v>1.7809999999999999</v>
      </c>
      <c r="EC36" s="58">
        <v>10.141</v>
      </c>
      <c r="ED36" s="58">
        <v>8.2949999999999999</v>
      </c>
      <c r="EE36" s="58">
        <v>1.8460000000000001</v>
      </c>
      <c r="EF36" s="58">
        <v>43.255000000000003</v>
      </c>
      <c r="EG36" s="58">
        <v>25.361000000000001</v>
      </c>
      <c r="EH36" s="58">
        <v>17.893999999999998</v>
      </c>
      <c r="EI36" s="58">
        <v>195.08799999999999</v>
      </c>
      <c r="EJ36" s="58">
        <v>111.80500000000001</v>
      </c>
      <c r="EK36" s="58">
        <v>83.283000000000001</v>
      </c>
      <c r="EL36" s="58">
        <v>60.241</v>
      </c>
      <c r="EM36" s="58">
        <v>45.878999999999998</v>
      </c>
      <c r="EN36" s="58">
        <v>14.361000000000001</v>
      </c>
      <c r="EO36" s="58">
        <v>134.84700000000001</v>
      </c>
      <c r="EP36" s="58">
        <v>65.926000000000002</v>
      </c>
      <c r="EQ36" s="58">
        <v>68.921999999999997</v>
      </c>
      <c r="ER36" s="58">
        <v>80.739000000000004</v>
      </c>
      <c r="ES36" s="58">
        <v>63.244</v>
      </c>
      <c r="ET36" s="58">
        <v>17.495000000000001</v>
      </c>
      <c r="EU36" s="58">
        <v>159.89500000000001</v>
      </c>
      <c r="EV36" s="58">
        <v>78.55</v>
      </c>
      <c r="EW36" s="58">
        <v>81.344999999999999</v>
      </c>
      <c r="EX36" s="58">
        <v>149.245</v>
      </c>
      <c r="EY36" s="58">
        <v>78.542000000000002</v>
      </c>
      <c r="EZ36" s="58">
        <v>70.701999999999998</v>
      </c>
      <c r="FA36" s="58">
        <v>1728.2570000000001</v>
      </c>
      <c r="FB36" s="58">
        <v>923.88499999999999</v>
      </c>
      <c r="FC36" s="58">
        <v>804.37300000000005</v>
      </c>
      <c r="FD36" s="58">
        <v>1167.768</v>
      </c>
      <c r="FE36" s="58">
        <v>754.14800000000002</v>
      </c>
      <c r="FF36" s="58">
        <v>413.62</v>
      </c>
      <c r="FG36" s="58">
        <v>560.48900000000003</v>
      </c>
      <c r="FH36" s="58">
        <v>169.73699999999999</v>
      </c>
      <c r="FI36" s="58">
        <v>390.75200000000001</v>
      </c>
      <c r="FJ36" s="58">
        <v>200.63</v>
      </c>
      <c r="FK36" s="58">
        <v>116.836</v>
      </c>
      <c r="FL36" s="58">
        <v>83.795000000000002</v>
      </c>
      <c r="FM36" s="58">
        <v>49.874000000000002</v>
      </c>
      <c r="FN36" s="58">
        <v>33.277999999999999</v>
      </c>
      <c r="FO36" s="58">
        <v>16.596</v>
      </c>
      <c r="FP36" s="58">
        <v>20.808</v>
      </c>
      <c r="FQ36" s="58">
        <v>17.329000000000001</v>
      </c>
      <c r="FR36" s="58">
        <v>3.48</v>
      </c>
      <c r="FS36" s="58">
        <v>12.073</v>
      </c>
      <c r="FT36" s="58">
        <v>10.44</v>
      </c>
      <c r="FU36" s="58">
        <v>1.633</v>
      </c>
      <c r="FV36" s="58">
        <v>8.7349999999999994</v>
      </c>
      <c r="FW36" s="58">
        <v>6.8890000000000002</v>
      </c>
      <c r="FX36" s="58">
        <v>1.8460000000000001</v>
      </c>
      <c r="FY36" s="58">
        <v>29.065999999999999</v>
      </c>
      <c r="FZ36" s="58">
        <v>15.95</v>
      </c>
      <c r="GA36" s="58">
        <v>13.116</v>
      </c>
      <c r="GB36" s="58">
        <v>166.94200000000001</v>
      </c>
      <c r="GC36" s="58">
        <v>94.804000000000002</v>
      </c>
      <c r="GD36" s="58">
        <v>72.138000000000005</v>
      </c>
      <c r="GE36" s="58">
        <v>54.167999999999999</v>
      </c>
      <c r="GF36" s="58">
        <v>40.89</v>
      </c>
      <c r="GG36" s="58">
        <v>13.278</v>
      </c>
      <c r="GH36" s="58">
        <v>112.774</v>
      </c>
      <c r="GI36" s="58">
        <v>53.914000000000001</v>
      </c>
      <c r="GJ36" s="58">
        <v>58.86</v>
      </c>
      <c r="GK36" s="58">
        <v>71.75</v>
      </c>
      <c r="GL36" s="58">
        <v>55.485999999999997</v>
      </c>
      <c r="GM36" s="58">
        <v>16.263999999999999</v>
      </c>
      <c r="GN36" s="58">
        <v>128.88</v>
      </c>
      <c r="GO36" s="58">
        <v>61.35</v>
      </c>
      <c r="GP36" s="58">
        <v>67.53</v>
      </c>
      <c r="GQ36" s="58">
        <v>124.84699999999999</v>
      </c>
      <c r="GR36" s="58">
        <v>64.352999999999994</v>
      </c>
      <c r="GS36" s="58">
        <v>60.493000000000002</v>
      </c>
      <c r="GT36" s="58">
        <v>456.85599999999999</v>
      </c>
      <c r="GU36" s="58">
        <v>281.11</v>
      </c>
      <c r="GV36" s="58">
        <v>175.74600000000001</v>
      </c>
      <c r="GW36" s="58">
        <v>197.65899999999999</v>
      </c>
      <c r="GX36" s="58">
        <v>151.31100000000001</v>
      </c>
      <c r="GY36" s="58">
        <v>46.347999999999999</v>
      </c>
      <c r="GZ36" s="58">
        <v>259.197</v>
      </c>
      <c r="HA36" s="58">
        <v>129.79900000000001</v>
      </c>
      <c r="HB36" s="58">
        <v>129.398</v>
      </c>
      <c r="HC36" s="58">
        <v>40.003</v>
      </c>
      <c r="HD36" s="58">
        <v>24.959</v>
      </c>
      <c r="HE36" s="58">
        <v>15.045</v>
      </c>
      <c r="HF36" s="58">
        <v>17.919</v>
      </c>
      <c r="HG36" s="58">
        <v>12.994</v>
      </c>
      <c r="HH36" s="58">
        <v>4.9249999999999998</v>
      </c>
      <c r="HI36" s="58">
        <v>3.73</v>
      </c>
      <c r="HJ36" s="58">
        <v>3.5830000000000002</v>
      </c>
      <c r="HK36" s="58">
        <v>0.14699999999999999</v>
      </c>
      <c r="HL36" s="58">
        <v>2.3239999999999998</v>
      </c>
      <c r="HM36" s="58">
        <v>2.177</v>
      </c>
      <c r="HN36" s="58">
        <v>0.14699999999999999</v>
      </c>
      <c r="HO36" s="58">
        <v>1.4059999999999999</v>
      </c>
      <c r="HP36" s="58">
        <v>1.4059999999999999</v>
      </c>
      <c r="HQ36" s="58">
        <v>0</v>
      </c>
      <c r="HR36" s="58">
        <v>14.189</v>
      </c>
      <c r="HS36" s="58">
        <v>9.4109999999999996</v>
      </c>
      <c r="HT36" s="58">
        <v>4.7779999999999996</v>
      </c>
      <c r="HU36" s="58">
        <v>28.146000000000001</v>
      </c>
      <c r="HV36" s="58">
        <v>17.001000000000001</v>
      </c>
      <c r="HW36" s="58">
        <v>11.145</v>
      </c>
      <c r="HX36" s="58">
        <v>6.0720000000000001</v>
      </c>
      <c r="HY36" s="58">
        <v>4.9889999999999999</v>
      </c>
      <c r="HZ36" s="58">
        <v>1.083</v>
      </c>
      <c r="IA36" s="58">
        <v>22.074000000000002</v>
      </c>
      <c r="IB36" s="58">
        <v>12.012</v>
      </c>
      <c r="IC36" s="58">
        <v>10.061999999999999</v>
      </c>
      <c r="ID36" s="58">
        <v>8.9890000000000008</v>
      </c>
      <c r="IE36" s="58">
        <v>7.7590000000000003</v>
      </c>
      <c r="IF36" s="58">
        <v>1.23</v>
      </c>
      <c r="IG36" s="58">
        <v>31.013999999999999</v>
      </c>
      <c r="IH36" s="58">
        <v>17.2</v>
      </c>
      <c r="II36" s="58">
        <v>13.814</v>
      </c>
      <c r="IJ36" s="58">
        <v>24.398</v>
      </c>
      <c r="IK36" s="58">
        <v>14.189</v>
      </c>
      <c r="IL36" s="58">
        <v>10.209</v>
      </c>
      <c r="IM36" s="58">
        <v>3783.3380000000002</v>
      </c>
      <c r="IN36" s="58">
        <v>2022.1389999999999</v>
      </c>
      <c r="IO36" s="58">
        <v>1761.1990000000001</v>
      </c>
      <c r="IP36" s="58">
        <v>2588.424</v>
      </c>
      <c r="IQ36" s="58">
        <v>1631.5119999999999</v>
      </c>
    </row>
    <row r="37" spans="1:251">
      <c r="A37" s="5">
        <v>42614</v>
      </c>
      <c r="B37" s="58">
        <v>16.204999999999998</v>
      </c>
      <c r="C37" s="58">
        <v>23.04</v>
      </c>
      <c r="D37" s="58">
        <v>377.03699999999998</v>
      </c>
      <c r="E37" s="58">
        <v>215.31899999999999</v>
      </c>
      <c r="F37" s="58">
        <v>161.71799999999999</v>
      </c>
      <c r="G37" s="58">
        <v>183.792</v>
      </c>
      <c r="H37" s="58">
        <v>138.959</v>
      </c>
      <c r="I37" s="58">
        <v>44.832999999999998</v>
      </c>
      <c r="J37" s="58">
        <v>193.245</v>
      </c>
      <c r="K37" s="58">
        <v>76.36</v>
      </c>
      <c r="L37" s="58">
        <v>116.88500000000001</v>
      </c>
      <c r="M37" s="58">
        <v>207.65100000000001</v>
      </c>
      <c r="N37" s="58">
        <v>158.77699999999999</v>
      </c>
      <c r="O37" s="58">
        <v>48.874000000000002</v>
      </c>
      <c r="P37" s="58">
        <v>206.261</v>
      </c>
      <c r="Q37" s="58">
        <v>79.713999999999999</v>
      </c>
      <c r="R37" s="58">
        <v>126.547</v>
      </c>
      <c r="S37" s="58">
        <v>205.98500000000001</v>
      </c>
      <c r="T37" s="58">
        <v>87.451999999999998</v>
      </c>
      <c r="U37" s="58">
        <v>118.533</v>
      </c>
      <c r="V37" s="58">
        <v>2601.8449999999998</v>
      </c>
      <c r="W37" s="58">
        <v>1409.9480000000001</v>
      </c>
      <c r="X37" s="58">
        <v>1191.8969999999999</v>
      </c>
      <c r="Y37" s="58">
        <v>1909.2159999999999</v>
      </c>
      <c r="Z37" s="58">
        <v>1274.1030000000001</v>
      </c>
      <c r="AA37" s="58">
        <v>635.11300000000006</v>
      </c>
      <c r="AB37" s="58">
        <v>692.63</v>
      </c>
      <c r="AC37" s="58">
        <v>135.845</v>
      </c>
      <c r="AD37" s="58">
        <v>556.78399999999999</v>
      </c>
      <c r="AE37" s="58">
        <v>324.35700000000003</v>
      </c>
      <c r="AF37" s="58">
        <v>171.078</v>
      </c>
      <c r="AG37" s="58">
        <v>153.279</v>
      </c>
      <c r="AH37" s="58">
        <v>65.484999999999999</v>
      </c>
      <c r="AI37" s="58">
        <v>37.121000000000002</v>
      </c>
      <c r="AJ37" s="58">
        <v>28.364999999999998</v>
      </c>
      <c r="AK37" s="58">
        <v>34.805999999999997</v>
      </c>
      <c r="AL37" s="58">
        <v>25.893999999999998</v>
      </c>
      <c r="AM37" s="58">
        <v>8.9120000000000008</v>
      </c>
      <c r="AN37" s="58">
        <v>14.63</v>
      </c>
      <c r="AO37" s="58">
        <v>10.641999999999999</v>
      </c>
      <c r="AP37" s="58">
        <v>3.9889999999999999</v>
      </c>
      <c r="AQ37" s="58">
        <v>20.175999999999998</v>
      </c>
      <c r="AR37" s="58">
        <v>15.252000000000001</v>
      </c>
      <c r="AS37" s="58">
        <v>4.923</v>
      </c>
      <c r="AT37" s="58">
        <v>30.678999999999998</v>
      </c>
      <c r="AU37" s="58">
        <v>11.227</v>
      </c>
      <c r="AV37" s="58">
        <v>19.452999999999999</v>
      </c>
      <c r="AW37" s="58">
        <v>287.27800000000002</v>
      </c>
      <c r="AX37" s="58">
        <v>150.4</v>
      </c>
      <c r="AY37" s="58">
        <v>136.87799999999999</v>
      </c>
      <c r="AZ37" s="58">
        <v>129.01300000000001</v>
      </c>
      <c r="BA37" s="58">
        <v>104.30200000000001</v>
      </c>
      <c r="BB37" s="58">
        <v>24.710999999999999</v>
      </c>
      <c r="BC37" s="58">
        <v>158.26499999999999</v>
      </c>
      <c r="BD37" s="58">
        <v>46.097999999999999</v>
      </c>
      <c r="BE37" s="58">
        <v>112.167</v>
      </c>
      <c r="BF37" s="58">
        <v>152.13399999999999</v>
      </c>
      <c r="BG37" s="58">
        <v>121.374</v>
      </c>
      <c r="BH37" s="58">
        <v>30.76</v>
      </c>
      <c r="BI37" s="58">
        <v>172.22300000000001</v>
      </c>
      <c r="BJ37" s="58">
        <v>49.704999999999998</v>
      </c>
      <c r="BK37" s="58">
        <v>122.51900000000001</v>
      </c>
      <c r="BL37" s="58">
        <v>172.89500000000001</v>
      </c>
      <c r="BM37" s="58">
        <v>56.74</v>
      </c>
      <c r="BN37" s="58">
        <v>116.155</v>
      </c>
      <c r="BO37" s="58">
        <v>2525.1489999999999</v>
      </c>
      <c r="BP37" s="58">
        <v>1302.2080000000001</v>
      </c>
      <c r="BQ37" s="58">
        <v>1222.941</v>
      </c>
      <c r="BR37" s="58">
        <v>1858.143</v>
      </c>
      <c r="BS37" s="58">
        <v>1159</v>
      </c>
      <c r="BT37" s="58">
        <v>699.14300000000003</v>
      </c>
      <c r="BU37" s="58">
        <v>667.00699999999995</v>
      </c>
      <c r="BV37" s="58">
        <v>143.208</v>
      </c>
      <c r="BW37" s="58">
        <v>523.798</v>
      </c>
      <c r="BX37" s="58">
        <v>332.14600000000002</v>
      </c>
      <c r="BY37" s="58">
        <v>166.69200000000001</v>
      </c>
      <c r="BZ37" s="58">
        <v>165.45400000000001</v>
      </c>
      <c r="CA37" s="58">
        <v>74.869</v>
      </c>
      <c r="CB37" s="58">
        <v>46.2</v>
      </c>
      <c r="CC37" s="58">
        <v>28.67</v>
      </c>
      <c r="CD37" s="58">
        <v>36.238</v>
      </c>
      <c r="CE37" s="58">
        <v>28.658000000000001</v>
      </c>
      <c r="CF37" s="58">
        <v>7.58</v>
      </c>
      <c r="CG37" s="58">
        <v>18.954999999999998</v>
      </c>
      <c r="CH37" s="58">
        <v>15.154</v>
      </c>
      <c r="CI37" s="58">
        <v>3.8010000000000002</v>
      </c>
      <c r="CJ37" s="58">
        <v>17.283000000000001</v>
      </c>
      <c r="CK37" s="58">
        <v>13.504</v>
      </c>
      <c r="CL37" s="58">
        <v>3.7789999999999999</v>
      </c>
      <c r="CM37" s="58">
        <v>38.631</v>
      </c>
      <c r="CN37" s="58">
        <v>17.542000000000002</v>
      </c>
      <c r="CO37" s="58">
        <v>21.09</v>
      </c>
      <c r="CP37" s="58">
        <v>289.57100000000003</v>
      </c>
      <c r="CQ37" s="58">
        <v>140.65700000000001</v>
      </c>
      <c r="CR37" s="58">
        <v>148.91499999999999</v>
      </c>
      <c r="CS37" s="58">
        <v>116.52</v>
      </c>
      <c r="CT37" s="58">
        <v>84.209000000000003</v>
      </c>
      <c r="CU37" s="58">
        <v>32.311999999999998</v>
      </c>
      <c r="CV37" s="58">
        <v>173.05099999999999</v>
      </c>
      <c r="CW37" s="58">
        <v>56.448</v>
      </c>
      <c r="CX37" s="58">
        <v>116.60299999999999</v>
      </c>
      <c r="CY37" s="58">
        <v>142.13200000000001</v>
      </c>
      <c r="CZ37" s="58">
        <v>104.27</v>
      </c>
      <c r="DA37" s="58">
        <v>37.862000000000002</v>
      </c>
      <c r="DB37" s="58">
        <v>190.01400000000001</v>
      </c>
      <c r="DC37" s="58">
        <v>62.421999999999997</v>
      </c>
      <c r="DD37" s="58">
        <v>127.592</v>
      </c>
      <c r="DE37" s="58">
        <v>192.006</v>
      </c>
      <c r="DF37" s="58">
        <v>71.602000000000004</v>
      </c>
      <c r="DG37" s="58">
        <v>120.404</v>
      </c>
      <c r="DH37" s="58">
        <v>2169.511</v>
      </c>
      <c r="DI37" s="58">
        <v>1192.942</v>
      </c>
      <c r="DJ37" s="58">
        <v>976.56899999999996</v>
      </c>
      <c r="DK37" s="58">
        <v>1335.614</v>
      </c>
      <c r="DL37" s="58">
        <v>886.78</v>
      </c>
      <c r="DM37" s="58">
        <v>448.834</v>
      </c>
      <c r="DN37" s="58">
        <v>833.89700000000005</v>
      </c>
      <c r="DO37" s="58">
        <v>306.16199999999998</v>
      </c>
      <c r="DP37" s="58">
        <v>527.73500000000001</v>
      </c>
      <c r="DQ37" s="58">
        <v>236.68299999999999</v>
      </c>
      <c r="DR37" s="58">
        <v>133.69200000000001</v>
      </c>
      <c r="DS37" s="58">
        <v>102.991</v>
      </c>
      <c r="DT37" s="58">
        <v>67.83</v>
      </c>
      <c r="DU37" s="58">
        <v>42.652000000000001</v>
      </c>
      <c r="DV37" s="58">
        <v>25.178000000000001</v>
      </c>
      <c r="DW37" s="58">
        <v>24.099</v>
      </c>
      <c r="DX37" s="58">
        <v>19.739000000000001</v>
      </c>
      <c r="DY37" s="58">
        <v>4.359</v>
      </c>
      <c r="DZ37" s="58">
        <v>14.57</v>
      </c>
      <c r="EA37" s="58">
        <v>12.867000000000001</v>
      </c>
      <c r="EB37" s="58">
        <v>1.7030000000000001</v>
      </c>
      <c r="EC37" s="58">
        <v>9.5289999999999999</v>
      </c>
      <c r="ED37" s="58">
        <v>6.8719999999999999</v>
      </c>
      <c r="EE37" s="58">
        <v>2.6560000000000001</v>
      </c>
      <c r="EF37" s="58">
        <v>43.731000000000002</v>
      </c>
      <c r="EG37" s="58">
        <v>22.913</v>
      </c>
      <c r="EH37" s="58">
        <v>20.818000000000001</v>
      </c>
      <c r="EI37" s="58">
        <v>191.52799999999999</v>
      </c>
      <c r="EJ37" s="58">
        <v>104.753</v>
      </c>
      <c r="EK37" s="58">
        <v>86.775000000000006</v>
      </c>
      <c r="EL37" s="58">
        <v>60.573</v>
      </c>
      <c r="EM37" s="58">
        <v>45.039000000000001</v>
      </c>
      <c r="EN37" s="58">
        <v>15.534000000000001</v>
      </c>
      <c r="EO37" s="58">
        <v>130.95500000000001</v>
      </c>
      <c r="EP37" s="58">
        <v>59.713999999999999</v>
      </c>
      <c r="EQ37" s="58">
        <v>71.241</v>
      </c>
      <c r="ER37" s="58">
        <v>79.870999999999995</v>
      </c>
      <c r="ES37" s="58">
        <v>61.222999999999999</v>
      </c>
      <c r="ET37" s="58">
        <v>18.646999999999998</v>
      </c>
      <c r="EU37" s="58">
        <v>156.81200000000001</v>
      </c>
      <c r="EV37" s="58">
        <v>72.468999999999994</v>
      </c>
      <c r="EW37" s="58">
        <v>84.343999999999994</v>
      </c>
      <c r="EX37" s="58">
        <v>145.52500000000001</v>
      </c>
      <c r="EY37" s="58">
        <v>72.581000000000003</v>
      </c>
      <c r="EZ37" s="58">
        <v>72.944000000000003</v>
      </c>
      <c r="FA37" s="58">
        <v>1722.559</v>
      </c>
      <c r="FB37" s="58">
        <v>915.42</v>
      </c>
      <c r="FC37" s="58">
        <v>807.13900000000001</v>
      </c>
      <c r="FD37" s="58">
        <v>1148.3119999999999</v>
      </c>
      <c r="FE37" s="58">
        <v>741.86699999999996</v>
      </c>
      <c r="FF37" s="58">
        <v>406.44499999999999</v>
      </c>
      <c r="FG37" s="58">
        <v>574.24699999999996</v>
      </c>
      <c r="FH37" s="58">
        <v>173.553</v>
      </c>
      <c r="FI37" s="58">
        <v>400.69499999999999</v>
      </c>
      <c r="FJ37" s="58">
        <v>194.76599999999999</v>
      </c>
      <c r="FK37" s="58">
        <v>108.57299999999999</v>
      </c>
      <c r="FL37" s="58">
        <v>86.194000000000003</v>
      </c>
      <c r="FM37" s="58">
        <v>51.423999999999999</v>
      </c>
      <c r="FN37" s="58">
        <v>32.6</v>
      </c>
      <c r="FO37" s="58">
        <v>18.824000000000002</v>
      </c>
      <c r="FP37" s="58">
        <v>21.54</v>
      </c>
      <c r="FQ37" s="58">
        <v>17.181000000000001</v>
      </c>
      <c r="FR37" s="58">
        <v>4.359</v>
      </c>
      <c r="FS37" s="58">
        <v>12.287000000000001</v>
      </c>
      <c r="FT37" s="58">
        <v>10.584</v>
      </c>
      <c r="FU37" s="58">
        <v>1.7030000000000001</v>
      </c>
      <c r="FV37" s="58">
        <v>9.2530000000000001</v>
      </c>
      <c r="FW37" s="58">
        <v>6.5970000000000004</v>
      </c>
      <c r="FX37" s="58">
        <v>2.6560000000000001</v>
      </c>
      <c r="FY37" s="58">
        <v>29.884</v>
      </c>
      <c r="FZ37" s="58">
        <v>15.42</v>
      </c>
      <c r="GA37" s="58">
        <v>14.464</v>
      </c>
      <c r="GB37" s="58">
        <v>161.65199999999999</v>
      </c>
      <c r="GC37" s="58">
        <v>86.450999999999993</v>
      </c>
      <c r="GD37" s="58">
        <v>75.200999999999993</v>
      </c>
      <c r="GE37" s="58">
        <v>55.12</v>
      </c>
      <c r="GF37" s="58">
        <v>40.686</v>
      </c>
      <c r="GG37" s="58">
        <v>14.433999999999999</v>
      </c>
      <c r="GH37" s="58">
        <v>106.532</v>
      </c>
      <c r="GI37" s="58">
        <v>45.765000000000001</v>
      </c>
      <c r="GJ37" s="58">
        <v>60.767000000000003</v>
      </c>
      <c r="GK37" s="58">
        <v>71.968000000000004</v>
      </c>
      <c r="GL37" s="58">
        <v>54.420999999999999</v>
      </c>
      <c r="GM37" s="58">
        <v>17.547000000000001</v>
      </c>
      <c r="GN37" s="58">
        <v>122.79900000000001</v>
      </c>
      <c r="GO37" s="58">
        <v>54.152000000000001</v>
      </c>
      <c r="GP37" s="58">
        <v>68.646000000000001</v>
      </c>
      <c r="GQ37" s="58">
        <v>118.819</v>
      </c>
      <c r="GR37" s="58">
        <v>56.348999999999997</v>
      </c>
      <c r="GS37" s="58">
        <v>62.47</v>
      </c>
      <c r="GT37" s="58">
        <v>446.952</v>
      </c>
      <c r="GU37" s="58">
        <v>277.52199999999999</v>
      </c>
      <c r="GV37" s="58">
        <v>169.43</v>
      </c>
      <c r="GW37" s="58">
        <v>187.30199999999999</v>
      </c>
      <c r="GX37" s="58">
        <v>144.91300000000001</v>
      </c>
      <c r="GY37" s="58">
        <v>42.389000000000003</v>
      </c>
      <c r="GZ37" s="58">
        <v>259.64999999999998</v>
      </c>
      <c r="HA37" s="58">
        <v>132.60900000000001</v>
      </c>
      <c r="HB37" s="58">
        <v>127.041</v>
      </c>
      <c r="HC37" s="58">
        <v>41.917000000000002</v>
      </c>
      <c r="HD37" s="58">
        <v>25.119</v>
      </c>
      <c r="HE37" s="58">
        <v>16.797000000000001</v>
      </c>
      <c r="HF37" s="58">
        <v>16.405999999999999</v>
      </c>
      <c r="HG37" s="58">
        <v>10.052</v>
      </c>
      <c r="HH37" s="58">
        <v>6.3540000000000001</v>
      </c>
      <c r="HI37" s="58">
        <v>2.5590000000000002</v>
      </c>
      <c r="HJ37" s="58">
        <v>2.5590000000000002</v>
      </c>
      <c r="HK37" s="58">
        <v>0</v>
      </c>
      <c r="HL37" s="58">
        <v>2.2829999999999999</v>
      </c>
      <c r="HM37" s="58">
        <v>2.2829999999999999</v>
      </c>
      <c r="HN37" s="58">
        <v>0</v>
      </c>
      <c r="HO37" s="58">
        <v>0.27600000000000002</v>
      </c>
      <c r="HP37" s="58">
        <v>0.27600000000000002</v>
      </c>
      <c r="HQ37" s="58">
        <v>0</v>
      </c>
      <c r="HR37" s="58">
        <v>13.847</v>
      </c>
      <c r="HS37" s="58">
        <v>7.4930000000000003</v>
      </c>
      <c r="HT37" s="58">
        <v>6.3540000000000001</v>
      </c>
      <c r="HU37" s="58">
        <v>29.876000000000001</v>
      </c>
      <c r="HV37" s="58">
        <v>18.302</v>
      </c>
      <c r="HW37" s="58">
        <v>11.574</v>
      </c>
      <c r="HX37" s="58">
        <v>5.4530000000000003</v>
      </c>
      <c r="HY37" s="58">
        <v>4.3529999999999998</v>
      </c>
      <c r="HZ37" s="58">
        <v>1.1000000000000001</v>
      </c>
      <c r="IA37" s="58">
        <v>24.422000000000001</v>
      </c>
      <c r="IB37" s="58">
        <v>13.949</v>
      </c>
      <c r="IC37" s="58">
        <v>10.474</v>
      </c>
      <c r="ID37" s="58">
        <v>7.9029999999999996</v>
      </c>
      <c r="IE37" s="58">
        <v>6.8029999999999999</v>
      </c>
      <c r="IF37" s="58">
        <v>1.1000000000000001</v>
      </c>
      <c r="IG37" s="58">
        <v>34.014000000000003</v>
      </c>
      <c r="IH37" s="58">
        <v>18.317</v>
      </c>
      <c r="II37" s="58">
        <v>15.696999999999999</v>
      </c>
      <c r="IJ37" s="58">
        <v>26.706</v>
      </c>
      <c r="IK37" s="58">
        <v>16.231999999999999</v>
      </c>
      <c r="IL37" s="58">
        <v>10.474</v>
      </c>
      <c r="IM37" s="58">
        <v>3820.154</v>
      </c>
      <c r="IN37" s="58">
        <v>2038.7550000000001</v>
      </c>
      <c r="IO37" s="58">
        <v>1781.3989999999999</v>
      </c>
      <c r="IP37" s="58">
        <v>2606.1280000000002</v>
      </c>
      <c r="IQ37" s="58">
        <v>1630.4570000000001</v>
      </c>
    </row>
    <row r="38" spans="1:251">
      <c r="A38" s="5">
        <v>42644</v>
      </c>
      <c r="B38" s="58">
        <v>13.504</v>
      </c>
      <c r="C38" s="58">
        <v>18.177</v>
      </c>
      <c r="D38" s="58">
        <v>377.35399999999998</v>
      </c>
      <c r="E38" s="58">
        <v>213.976</v>
      </c>
      <c r="F38" s="58">
        <v>163.37700000000001</v>
      </c>
      <c r="G38" s="58">
        <v>183.04599999999999</v>
      </c>
      <c r="H38" s="58">
        <v>143.60599999999999</v>
      </c>
      <c r="I38" s="58">
        <v>39.44</v>
      </c>
      <c r="J38" s="58">
        <v>194.30799999999999</v>
      </c>
      <c r="K38" s="58">
        <v>70.37</v>
      </c>
      <c r="L38" s="58">
        <v>123.937</v>
      </c>
      <c r="M38" s="58">
        <v>202.59200000000001</v>
      </c>
      <c r="N38" s="58">
        <v>159.322</v>
      </c>
      <c r="O38" s="58">
        <v>43.27</v>
      </c>
      <c r="P38" s="58">
        <v>205.65299999999999</v>
      </c>
      <c r="Q38" s="58">
        <v>75.459999999999994</v>
      </c>
      <c r="R38" s="58">
        <v>130.19300000000001</v>
      </c>
      <c r="S38" s="58">
        <v>205.61099999999999</v>
      </c>
      <c r="T38" s="58">
        <v>79.638000000000005</v>
      </c>
      <c r="U38" s="58">
        <v>125.973</v>
      </c>
      <c r="V38" s="58">
        <v>2610.7359999999999</v>
      </c>
      <c r="W38" s="58">
        <v>1430.1420000000001</v>
      </c>
      <c r="X38" s="58">
        <v>1180.5940000000001</v>
      </c>
      <c r="Y38" s="58">
        <v>1931.662</v>
      </c>
      <c r="Z38" s="58">
        <v>1296.252</v>
      </c>
      <c r="AA38" s="58">
        <v>635.41</v>
      </c>
      <c r="AB38" s="58">
        <v>679.07399999999996</v>
      </c>
      <c r="AC38" s="58">
        <v>133.89099999999999</v>
      </c>
      <c r="AD38" s="58">
        <v>545.18399999999997</v>
      </c>
      <c r="AE38" s="58">
        <v>310.13900000000001</v>
      </c>
      <c r="AF38" s="58">
        <v>163.166</v>
      </c>
      <c r="AG38" s="58">
        <v>146.97300000000001</v>
      </c>
      <c r="AH38" s="58">
        <v>58.877000000000002</v>
      </c>
      <c r="AI38" s="58">
        <v>34.808</v>
      </c>
      <c r="AJ38" s="58">
        <v>24.068999999999999</v>
      </c>
      <c r="AK38" s="58">
        <v>30.295999999999999</v>
      </c>
      <c r="AL38" s="58">
        <v>24.37</v>
      </c>
      <c r="AM38" s="58">
        <v>5.9260000000000002</v>
      </c>
      <c r="AN38" s="58">
        <v>14.843</v>
      </c>
      <c r="AO38" s="58">
        <v>11.853</v>
      </c>
      <c r="AP38" s="58">
        <v>2.99</v>
      </c>
      <c r="AQ38" s="58">
        <v>15.452</v>
      </c>
      <c r="AR38" s="58">
        <v>12.516999999999999</v>
      </c>
      <c r="AS38" s="58">
        <v>2.9359999999999999</v>
      </c>
      <c r="AT38" s="58">
        <v>28.581</v>
      </c>
      <c r="AU38" s="58">
        <v>10.438000000000001</v>
      </c>
      <c r="AV38" s="58">
        <v>18.143000000000001</v>
      </c>
      <c r="AW38" s="58">
        <v>274.65699999999998</v>
      </c>
      <c r="AX38" s="58">
        <v>139.816</v>
      </c>
      <c r="AY38" s="58">
        <v>134.84100000000001</v>
      </c>
      <c r="AZ38" s="58">
        <v>124.352</v>
      </c>
      <c r="BA38" s="58">
        <v>95.546999999999997</v>
      </c>
      <c r="BB38" s="58">
        <v>28.805</v>
      </c>
      <c r="BC38" s="58">
        <v>150.30500000000001</v>
      </c>
      <c r="BD38" s="58">
        <v>44.268999999999998</v>
      </c>
      <c r="BE38" s="58">
        <v>106.036</v>
      </c>
      <c r="BF38" s="58">
        <v>146.767</v>
      </c>
      <c r="BG38" s="58">
        <v>113.46299999999999</v>
      </c>
      <c r="BH38" s="58">
        <v>33.304000000000002</v>
      </c>
      <c r="BI38" s="58">
        <v>163.37200000000001</v>
      </c>
      <c r="BJ38" s="58">
        <v>49.703000000000003</v>
      </c>
      <c r="BK38" s="58">
        <v>113.669</v>
      </c>
      <c r="BL38" s="58">
        <v>165.148</v>
      </c>
      <c r="BM38" s="58">
        <v>56.122</v>
      </c>
      <c r="BN38" s="58">
        <v>109.026</v>
      </c>
      <c r="BO38" s="58">
        <v>2522.415</v>
      </c>
      <c r="BP38" s="58">
        <v>1305.4369999999999</v>
      </c>
      <c r="BQ38" s="58">
        <v>1216.9780000000001</v>
      </c>
      <c r="BR38" s="58">
        <v>1852.5450000000001</v>
      </c>
      <c r="BS38" s="58">
        <v>1161.1659999999999</v>
      </c>
      <c r="BT38" s="58">
        <v>691.37900000000002</v>
      </c>
      <c r="BU38" s="58">
        <v>669.87</v>
      </c>
      <c r="BV38" s="58">
        <v>144.27099999999999</v>
      </c>
      <c r="BW38" s="58">
        <v>525.59900000000005</v>
      </c>
      <c r="BX38" s="58">
        <v>315.44299999999998</v>
      </c>
      <c r="BY38" s="58">
        <v>163.85</v>
      </c>
      <c r="BZ38" s="58">
        <v>151.59299999999999</v>
      </c>
      <c r="CA38" s="58">
        <v>55.392000000000003</v>
      </c>
      <c r="CB38" s="58">
        <v>32.853999999999999</v>
      </c>
      <c r="CC38" s="58">
        <v>22.539000000000001</v>
      </c>
      <c r="CD38" s="58">
        <v>24.013000000000002</v>
      </c>
      <c r="CE38" s="58">
        <v>18.706</v>
      </c>
      <c r="CF38" s="58">
        <v>5.3079999999999998</v>
      </c>
      <c r="CG38" s="58">
        <v>12.638999999999999</v>
      </c>
      <c r="CH38" s="58">
        <v>10.092000000000001</v>
      </c>
      <c r="CI38" s="58">
        <v>2.548</v>
      </c>
      <c r="CJ38" s="58">
        <v>11.374000000000001</v>
      </c>
      <c r="CK38" s="58">
        <v>8.6140000000000008</v>
      </c>
      <c r="CL38" s="58">
        <v>2.76</v>
      </c>
      <c r="CM38" s="58">
        <v>31.379000000000001</v>
      </c>
      <c r="CN38" s="58">
        <v>14.148</v>
      </c>
      <c r="CO38" s="58">
        <v>17.231000000000002</v>
      </c>
      <c r="CP38" s="58">
        <v>286.88099999999997</v>
      </c>
      <c r="CQ38" s="58">
        <v>148.339</v>
      </c>
      <c r="CR38" s="58">
        <v>138.542</v>
      </c>
      <c r="CS38" s="58">
        <v>113.11</v>
      </c>
      <c r="CT38" s="58">
        <v>86.674000000000007</v>
      </c>
      <c r="CU38" s="58">
        <v>26.436</v>
      </c>
      <c r="CV38" s="58">
        <v>173.77099999999999</v>
      </c>
      <c r="CW38" s="58">
        <v>61.664999999999999</v>
      </c>
      <c r="CX38" s="58">
        <v>112.10599999999999</v>
      </c>
      <c r="CY38" s="58">
        <v>130.21700000000001</v>
      </c>
      <c r="CZ38" s="58">
        <v>99.8</v>
      </c>
      <c r="DA38" s="58">
        <v>30.417000000000002</v>
      </c>
      <c r="DB38" s="58">
        <v>185.226</v>
      </c>
      <c r="DC38" s="58">
        <v>64.049000000000007</v>
      </c>
      <c r="DD38" s="58">
        <v>121.17700000000001</v>
      </c>
      <c r="DE38" s="58">
        <v>186.411</v>
      </c>
      <c r="DF38" s="58">
        <v>71.757000000000005</v>
      </c>
      <c r="DG38" s="58">
        <v>114.654</v>
      </c>
      <c r="DH38" s="58">
        <v>2195.7890000000002</v>
      </c>
      <c r="DI38" s="58">
        <v>1211.604</v>
      </c>
      <c r="DJ38" s="58">
        <v>984.18499999999995</v>
      </c>
      <c r="DK38" s="58">
        <v>1349.9670000000001</v>
      </c>
      <c r="DL38" s="58">
        <v>903.98199999999997</v>
      </c>
      <c r="DM38" s="58">
        <v>445.98500000000001</v>
      </c>
      <c r="DN38" s="58">
        <v>845.822</v>
      </c>
      <c r="DO38" s="58">
        <v>307.62299999999999</v>
      </c>
      <c r="DP38" s="58">
        <v>538.20000000000005</v>
      </c>
      <c r="DQ38" s="58">
        <v>244.572</v>
      </c>
      <c r="DR38" s="58">
        <v>140.49799999999999</v>
      </c>
      <c r="DS38" s="58">
        <v>104.074</v>
      </c>
      <c r="DT38" s="58">
        <v>72.052999999999997</v>
      </c>
      <c r="DU38" s="58">
        <v>43.203000000000003</v>
      </c>
      <c r="DV38" s="58">
        <v>28.85</v>
      </c>
      <c r="DW38" s="58">
        <v>22.209</v>
      </c>
      <c r="DX38" s="58">
        <v>16.867000000000001</v>
      </c>
      <c r="DY38" s="58">
        <v>5.3419999999999996</v>
      </c>
      <c r="DZ38" s="58">
        <v>13.576000000000001</v>
      </c>
      <c r="EA38" s="58">
        <v>10.021000000000001</v>
      </c>
      <c r="EB38" s="58">
        <v>3.5550000000000002</v>
      </c>
      <c r="EC38" s="58">
        <v>8.6319999999999997</v>
      </c>
      <c r="ED38" s="58">
        <v>6.8460000000000001</v>
      </c>
      <c r="EE38" s="58">
        <v>1.786</v>
      </c>
      <c r="EF38" s="58">
        <v>49.844000000000001</v>
      </c>
      <c r="EG38" s="58">
        <v>26.335000000000001</v>
      </c>
      <c r="EH38" s="58">
        <v>23.507999999999999</v>
      </c>
      <c r="EI38" s="58">
        <v>198.60300000000001</v>
      </c>
      <c r="EJ38" s="58">
        <v>114.899</v>
      </c>
      <c r="EK38" s="58">
        <v>83.703999999999994</v>
      </c>
      <c r="EL38" s="58">
        <v>60.51</v>
      </c>
      <c r="EM38" s="58">
        <v>44.892000000000003</v>
      </c>
      <c r="EN38" s="58">
        <v>15.618</v>
      </c>
      <c r="EO38" s="58">
        <v>138.09299999999999</v>
      </c>
      <c r="EP38" s="58">
        <v>70.007000000000005</v>
      </c>
      <c r="EQ38" s="58">
        <v>68.085999999999999</v>
      </c>
      <c r="ER38" s="58">
        <v>79.019000000000005</v>
      </c>
      <c r="ES38" s="58">
        <v>58.844999999999999</v>
      </c>
      <c r="ET38" s="58">
        <v>20.173999999999999</v>
      </c>
      <c r="EU38" s="58">
        <v>165.553</v>
      </c>
      <c r="EV38" s="58">
        <v>81.653000000000006</v>
      </c>
      <c r="EW38" s="58">
        <v>83.9</v>
      </c>
      <c r="EX38" s="58">
        <v>151.66900000000001</v>
      </c>
      <c r="EY38" s="58">
        <v>80.028000000000006</v>
      </c>
      <c r="EZ38" s="58">
        <v>71.641000000000005</v>
      </c>
      <c r="FA38" s="58">
        <v>1738.7539999999999</v>
      </c>
      <c r="FB38" s="58">
        <v>929.82500000000005</v>
      </c>
      <c r="FC38" s="58">
        <v>808.92899999999997</v>
      </c>
      <c r="FD38" s="58">
        <v>1149.7270000000001</v>
      </c>
      <c r="FE38" s="58">
        <v>750.09400000000005</v>
      </c>
      <c r="FF38" s="58">
        <v>399.63299999999998</v>
      </c>
      <c r="FG38" s="58">
        <v>589.02700000000004</v>
      </c>
      <c r="FH38" s="58">
        <v>179.732</v>
      </c>
      <c r="FI38" s="58">
        <v>409.29599999999999</v>
      </c>
      <c r="FJ38" s="58">
        <v>198.03700000000001</v>
      </c>
      <c r="FK38" s="58">
        <v>109.55</v>
      </c>
      <c r="FL38" s="58">
        <v>88.486999999999995</v>
      </c>
      <c r="FM38" s="58">
        <v>47.805999999999997</v>
      </c>
      <c r="FN38" s="58">
        <v>27.257999999999999</v>
      </c>
      <c r="FO38" s="58">
        <v>20.547999999999998</v>
      </c>
      <c r="FP38" s="58">
        <v>15.246</v>
      </c>
      <c r="FQ38" s="58">
        <v>11.994</v>
      </c>
      <c r="FR38" s="58">
        <v>3.2519999999999998</v>
      </c>
      <c r="FS38" s="58">
        <v>9.51</v>
      </c>
      <c r="FT38" s="58">
        <v>7.06</v>
      </c>
      <c r="FU38" s="58">
        <v>2.4500000000000002</v>
      </c>
      <c r="FV38" s="58">
        <v>5.7359999999999998</v>
      </c>
      <c r="FW38" s="58">
        <v>4.9329999999999998</v>
      </c>
      <c r="FX38" s="58">
        <v>0.80200000000000005</v>
      </c>
      <c r="FY38" s="58">
        <v>32.56</v>
      </c>
      <c r="FZ38" s="58">
        <v>15.263999999999999</v>
      </c>
      <c r="GA38" s="58">
        <v>17.295999999999999</v>
      </c>
      <c r="GB38" s="58">
        <v>168.505</v>
      </c>
      <c r="GC38" s="58">
        <v>93.292000000000002</v>
      </c>
      <c r="GD38" s="58">
        <v>75.212999999999994</v>
      </c>
      <c r="GE38" s="58">
        <v>52.905000000000001</v>
      </c>
      <c r="GF38" s="58">
        <v>38.960999999999999</v>
      </c>
      <c r="GG38" s="58">
        <v>13.944000000000001</v>
      </c>
      <c r="GH38" s="58">
        <v>115.6</v>
      </c>
      <c r="GI38" s="58">
        <v>54.331000000000003</v>
      </c>
      <c r="GJ38" s="58">
        <v>61.268999999999998</v>
      </c>
      <c r="GK38" s="58">
        <v>65.527000000000001</v>
      </c>
      <c r="GL38" s="58">
        <v>49.116999999999997</v>
      </c>
      <c r="GM38" s="58">
        <v>16.411000000000001</v>
      </c>
      <c r="GN38" s="58">
        <v>132.51</v>
      </c>
      <c r="GO38" s="58">
        <v>60.433</v>
      </c>
      <c r="GP38" s="58">
        <v>72.075999999999993</v>
      </c>
      <c r="GQ38" s="58">
        <v>125.111</v>
      </c>
      <c r="GR38" s="58">
        <v>61.392000000000003</v>
      </c>
      <c r="GS38" s="58">
        <v>63.719000000000001</v>
      </c>
      <c r="GT38" s="58">
        <v>457.03500000000003</v>
      </c>
      <c r="GU38" s="58">
        <v>281.779</v>
      </c>
      <c r="GV38" s="58">
        <v>175.255</v>
      </c>
      <c r="GW38" s="58">
        <v>200.24</v>
      </c>
      <c r="GX38" s="58">
        <v>153.88800000000001</v>
      </c>
      <c r="GY38" s="58">
        <v>46.350999999999999</v>
      </c>
      <c r="GZ38" s="58">
        <v>256.79500000000002</v>
      </c>
      <c r="HA38" s="58">
        <v>127.89100000000001</v>
      </c>
      <c r="HB38" s="58">
        <v>128.904</v>
      </c>
      <c r="HC38" s="58">
        <v>46.534999999999997</v>
      </c>
      <c r="HD38" s="58">
        <v>30.948</v>
      </c>
      <c r="HE38" s="58">
        <v>15.587</v>
      </c>
      <c r="HF38" s="58">
        <v>24.247</v>
      </c>
      <c r="HG38" s="58">
        <v>15.945</v>
      </c>
      <c r="HH38" s="58">
        <v>8.3019999999999996</v>
      </c>
      <c r="HI38" s="58">
        <v>6.9630000000000001</v>
      </c>
      <c r="HJ38" s="58">
        <v>4.8730000000000002</v>
      </c>
      <c r="HK38" s="58">
        <v>2.09</v>
      </c>
      <c r="HL38" s="58">
        <v>4.0659999999999998</v>
      </c>
      <c r="HM38" s="58">
        <v>2.9609999999999999</v>
      </c>
      <c r="HN38" s="58">
        <v>1.105</v>
      </c>
      <c r="HO38" s="58">
        <v>2.8969999999999998</v>
      </c>
      <c r="HP38" s="58">
        <v>1.913</v>
      </c>
      <c r="HQ38" s="58">
        <v>0.98399999999999999</v>
      </c>
      <c r="HR38" s="58">
        <v>17.283999999999999</v>
      </c>
      <c r="HS38" s="58">
        <v>11.071</v>
      </c>
      <c r="HT38" s="58">
        <v>6.2130000000000001</v>
      </c>
      <c r="HU38" s="58">
        <v>30.097000000000001</v>
      </c>
      <c r="HV38" s="58">
        <v>21.606999999999999</v>
      </c>
      <c r="HW38" s="58">
        <v>8.49</v>
      </c>
      <c r="HX38" s="58">
        <v>7.6050000000000004</v>
      </c>
      <c r="HY38" s="58">
        <v>5.9320000000000004</v>
      </c>
      <c r="HZ38" s="58">
        <v>1.6739999999999999</v>
      </c>
      <c r="IA38" s="58">
        <v>22.492000000000001</v>
      </c>
      <c r="IB38" s="58">
        <v>15.675000000000001</v>
      </c>
      <c r="IC38" s="58">
        <v>6.8170000000000002</v>
      </c>
      <c r="ID38" s="58">
        <v>13.492000000000001</v>
      </c>
      <c r="IE38" s="58">
        <v>9.7289999999999992</v>
      </c>
      <c r="IF38" s="58">
        <v>3.7629999999999999</v>
      </c>
      <c r="IG38" s="58">
        <v>33.042999999999999</v>
      </c>
      <c r="IH38" s="58">
        <v>21.22</v>
      </c>
      <c r="II38" s="58">
        <v>11.823</v>
      </c>
      <c r="IJ38" s="58">
        <v>26.558</v>
      </c>
      <c r="IK38" s="58">
        <v>18.635999999999999</v>
      </c>
      <c r="IL38" s="58">
        <v>7.9219999999999997</v>
      </c>
      <c r="IM38" s="58">
        <v>3812.7910000000002</v>
      </c>
      <c r="IN38" s="58">
        <v>2044.93</v>
      </c>
      <c r="IO38" s="58">
        <v>1767.8610000000001</v>
      </c>
      <c r="IP38" s="58">
        <v>2631.8119999999999</v>
      </c>
      <c r="IQ38" s="58">
        <v>1655.1369999999999</v>
      </c>
    </row>
    <row r="39" spans="1:251">
      <c r="A39" s="5">
        <v>42675</v>
      </c>
      <c r="B39" s="58">
        <v>12.805999999999999</v>
      </c>
      <c r="C39" s="58">
        <v>18.959</v>
      </c>
      <c r="D39" s="58">
        <v>374.59500000000003</v>
      </c>
      <c r="E39" s="58">
        <v>215.08500000000001</v>
      </c>
      <c r="F39" s="58">
        <v>159.51</v>
      </c>
      <c r="G39" s="58">
        <v>176.934</v>
      </c>
      <c r="H39" s="58">
        <v>137.21899999999999</v>
      </c>
      <c r="I39" s="58">
        <v>39.715000000000003</v>
      </c>
      <c r="J39" s="58">
        <v>197.661</v>
      </c>
      <c r="K39" s="58">
        <v>77.866</v>
      </c>
      <c r="L39" s="58">
        <v>119.795</v>
      </c>
      <c r="M39" s="58">
        <v>195.59100000000001</v>
      </c>
      <c r="N39" s="58">
        <v>152.72</v>
      </c>
      <c r="O39" s="58">
        <v>42.871000000000002</v>
      </c>
      <c r="P39" s="58">
        <v>210.12700000000001</v>
      </c>
      <c r="Q39" s="58">
        <v>82.519000000000005</v>
      </c>
      <c r="R39" s="58">
        <v>127.608</v>
      </c>
      <c r="S39" s="58">
        <v>209.233</v>
      </c>
      <c r="T39" s="58">
        <v>86.778999999999996</v>
      </c>
      <c r="U39" s="58">
        <v>122.45399999999999</v>
      </c>
      <c r="V39" s="58">
        <v>2615.9630000000002</v>
      </c>
      <c r="W39" s="58">
        <v>1422.797</v>
      </c>
      <c r="X39" s="58">
        <v>1193.1659999999999</v>
      </c>
      <c r="Y39" s="58">
        <v>1944.8119999999999</v>
      </c>
      <c r="Z39" s="58">
        <v>1303.5050000000001</v>
      </c>
      <c r="AA39" s="58">
        <v>641.30700000000002</v>
      </c>
      <c r="AB39" s="58">
        <v>671.15099999999995</v>
      </c>
      <c r="AC39" s="58">
        <v>119.292</v>
      </c>
      <c r="AD39" s="58">
        <v>551.85900000000004</v>
      </c>
      <c r="AE39" s="58">
        <v>306.09800000000001</v>
      </c>
      <c r="AF39" s="58">
        <v>157.715</v>
      </c>
      <c r="AG39" s="58">
        <v>148.38300000000001</v>
      </c>
      <c r="AH39" s="58">
        <v>48.137999999999998</v>
      </c>
      <c r="AI39" s="58">
        <v>24.24</v>
      </c>
      <c r="AJ39" s="58">
        <v>23.898</v>
      </c>
      <c r="AK39" s="58">
        <v>24.085999999999999</v>
      </c>
      <c r="AL39" s="58">
        <v>17.709</v>
      </c>
      <c r="AM39" s="58">
        <v>6.3760000000000003</v>
      </c>
      <c r="AN39" s="58">
        <v>11.173999999999999</v>
      </c>
      <c r="AO39" s="58">
        <v>6.6289999999999996</v>
      </c>
      <c r="AP39" s="58">
        <v>4.5449999999999999</v>
      </c>
      <c r="AQ39" s="58">
        <v>12.912000000000001</v>
      </c>
      <c r="AR39" s="58">
        <v>11.081</v>
      </c>
      <c r="AS39" s="58">
        <v>1.831</v>
      </c>
      <c r="AT39" s="58">
        <v>24.053000000000001</v>
      </c>
      <c r="AU39" s="58">
        <v>6.5309999999999997</v>
      </c>
      <c r="AV39" s="58">
        <v>17.521999999999998</v>
      </c>
      <c r="AW39" s="58">
        <v>276.16000000000003</v>
      </c>
      <c r="AX39" s="58">
        <v>141.172</v>
      </c>
      <c r="AY39" s="58">
        <v>134.988</v>
      </c>
      <c r="AZ39" s="58">
        <v>133.10400000000001</v>
      </c>
      <c r="BA39" s="58">
        <v>103.364</v>
      </c>
      <c r="BB39" s="58">
        <v>29.74</v>
      </c>
      <c r="BC39" s="58">
        <v>143.05600000000001</v>
      </c>
      <c r="BD39" s="58">
        <v>37.808</v>
      </c>
      <c r="BE39" s="58">
        <v>105.248</v>
      </c>
      <c r="BF39" s="58">
        <v>151.54</v>
      </c>
      <c r="BG39" s="58">
        <v>116.569</v>
      </c>
      <c r="BH39" s="58">
        <v>34.970999999999997</v>
      </c>
      <c r="BI39" s="58">
        <v>154.55799999999999</v>
      </c>
      <c r="BJ39" s="58">
        <v>41.146000000000001</v>
      </c>
      <c r="BK39" s="58">
        <v>113.41200000000001</v>
      </c>
      <c r="BL39" s="58">
        <v>154.22999999999999</v>
      </c>
      <c r="BM39" s="58">
        <v>44.436</v>
      </c>
      <c r="BN39" s="58">
        <v>109.794</v>
      </c>
      <c r="BO39" s="58">
        <v>2526.194</v>
      </c>
      <c r="BP39" s="58">
        <v>1301.5429999999999</v>
      </c>
      <c r="BQ39" s="58">
        <v>1224.6500000000001</v>
      </c>
      <c r="BR39" s="58">
        <v>1872.3810000000001</v>
      </c>
      <c r="BS39" s="58">
        <v>1165.585</v>
      </c>
      <c r="BT39" s="58">
        <v>706.79600000000005</v>
      </c>
      <c r="BU39" s="58">
        <v>653.81299999999999</v>
      </c>
      <c r="BV39" s="58">
        <v>135.959</v>
      </c>
      <c r="BW39" s="58">
        <v>517.85400000000004</v>
      </c>
      <c r="BX39" s="58">
        <v>325.12900000000002</v>
      </c>
      <c r="BY39" s="58">
        <v>164.87899999999999</v>
      </c>
      <c r="BZ39" s="58">
        <v>160.25</v>
      </c>
      <c r="CA39" s="58">
        <v>61.412999999999997</v>
      </c>
      <c r="CB39" s="58">
        <v>35.225000000000001</v>
      </c>
      <c r="CC39" s="58">
        <v>26.187999999999999</v>
      </c>
      <c r="CD39" s="58">
        <v>32.838999999999999</v>
      </c>
      <c r="CE39" s="58">
        <v>24.712</v>
      </c>
      <c r="CF39" s="58">
        <v>8.1270000000000007</v>
      </c>
      <c r="CG39" s="58">
        <v>20.463999999999999</v>
      </c>
      <c r="CH39" s="58">
        <v>15.634</v>
      </c>
      <c r="CI39" s="58">
        <v>4.83</v>
      </c>
      <c r="CJ39" s="58">
        <v>12.375</v>
      </c>
      <c r="CK39" s="58">
        <v>9.0779999999999994</v>
      </c>
      <c r="CL39" s="58">
        <v>3.2970000000000002</v>
      </c>
      <c r="CM39" s="58">
        <v>28.574000000000002</v>
      </c>
      <c r="CN39" s="58">
        <v>10.513</v>
      </c>
      <c r="CO39" s="58">
        <v>18.061</v>
      </c>
      <c r="CP39" s="58">
        <v>286.98</v>
      </c>
      <c r="CQ39" s="58">
        <v>142.57499999999999</v>
      </c>
      <c r="CR39" s="58">
        <v>144.405</v>
      </c>
      <c r="CS39" s="58">
        <v>115.953</v>
      </c>
      <c r="CT39" s="58">
        <v>83.695999999999998</v>
      </c>
      <c r="CU39" s="58">
        <v>32.256999999999998</v>
      </c>
      <c r="CV39" s="58">
        <v>171.02699999999999</v>
      </c>
      <c r="CW39" s="58">
        <v>58.878999999999998</v>
      </c>
      <c r="CX39" s="58">
        <v>112.148</v>
      </c>
      <c r="CY39" s="58">
        <v>142.37200000000001</v>
      </c>
      <c r="CZ39" s="58">
        <v>103.379</v>
      </c>
      <c r="DA39" s="58">
        <v>38.993000000000002</v>
      </c>
      <c r="DB39" s="58">
        <v>182.75700000000001</v>
      </c>
      <c r="DC39" s="58">
        <v>61.5</v>
      </c>
      <c r="DD39" s="58">
        <v>121.25700000000001</v>
      </c>
      <c r="DE39" s="58">
        <v>191.49100000000001</v>
      </c>
      <c r="DF39" s="58">
        <v>74.512</v>
      </c>
      <c r="DG39" s="58">
        <v>116.97799999999999</v>
      </c>
      <c r="DH39" s="58">
        <v>2228.5390000000002</v>
      </c>
      <c r="DI39" s="58">
        <v>1225.0909999999999</v>
      </c>
      <c r="DJ39" s="58">
        <v>1003.448</v>
      </c>
      <c r="DK39" s="58">
        <v>1378.595</v>
      </c>
      <c r="DL39" s="58">
        <v>922.89200000000005</v>
      </c>
      <c r="DM39" s="58">
        <v>455.70299999999997</v>
      </c>
      <c r="DN39" s="58">
        <v>849.94399999999996</v>
      </c>
      <c r="DO39" s="58">
        <v>302.19799999999998</v>
      </c>
      <c r="DP39" s="58">
        <v>547.74599999999998</v>
      </c>
      <c r="DQ39" s="58">
        <v>244.554</v>
      </c>
      <c r="DR39" s="58">
        <v>139.38300000000001</v>
      </c>
      <c r="DS39" s="58">
        <v>105.17100000000001</v>
      </c>
      <c r="DT39" s="58">
        <v>73.334999999999994</v>
      </c>
      <c r="DU39" s="58">
        <v>49.53</v>
      </c>
      <c r="DV39" s="58">
        <v>23.805</v>
      </c>
      <c r="DW39" s="58">
        <v>25.734000000000002</v>
      </c>
      <c r="DX39" s="58">
        <v>23.193999999999999</v>
      </c>
      <c r="DY39" s="58">
        <v>2.54</v>
      </c>
      <c r="DZ39" s="58">
        <v>14.366</v>
      </c>
      <c r="EA39" s="58">
        <v>12.724</v>
      </c>
      <c r="EB39" s="58">
        <v>1.6419999999999999</v>
      </c>
      <c r="EC39" s="58">
        <v>11.368</v>
      </c>
      <c r="ED39" s="58">
        <v>10.47</v>
      </c>
      <c r="EE39" s="58">
        <v>0.89800000000000002</v>
      </c>
      <c r="EF39" s="58">
        <v>47.601999999999997</v>
      </c>
      <c r="EG39" s="58">
        <v>26.335999999999999</v>
      </c>
      <c r="EH39" s="58">
        <v>21.265000000000001</v>
      </c>
      <c r="EI39" s="58">
        <v>197.726</v>
      </c>
      <c r="EJ39" s="58">
        <v>107.571</v>
      </c>
      <c r="EK39" s="58">
        <v>90.156000000000006</v>
      </c>
      <c r="EL39" s="58">
        <v>63.603999999999999</v>
      </c>
      <c r="EM39" s="58">
        <v>45.994</v>
      </c>
      <c r="EN39" s="58">
        <v>17.61</v>
      </c>
      <c r="EO39" s="58">
        <v>134.12200000000001</v>
      </c>
      <c r="EP39" s="58">
        <v>61.576000000000001</v>
      </c>
      <c r="EQ39" s="58">
        <v>72.546000000000006</v>
      </c>
      <c r="ER39" s="58">
        <v>84.91</v>
      </c>
      <c r="ES39" s="58">
        <v>65.126000000000005</v>
      </c>
      <c r="ET39" s="58">
        <v>19.783000000000001</v>
      </c>
      <c r="EU39" s="58">
        <v>159.64400000000001</v>
      </c>
      <c r="EV39" s="58">
        <v>74.256</v>
      </c>
      <c r="EW39" s="58">
        <v>85.388000000000005</v>
      </c>
      <c r="EX39" s="58">
        <v>148.488</v>
      </c>
      <c r="EY39" s="58">
        <v>74.3</v>
      </c>
      <c r="EZ39" s="58">
        <v>74.188000000000002</v>
      </c>
      <c r="FA39" s="58">
        <v>1763.0630000000001</v>
      </c>
      <c r="FB39" s="58">
        <v>939.596</v>
      </c>
      <c r="FC39" s="58">
        <v>823.46699999999998</v>
      </c>
      <c r="FD39" s="58">
        <v>1180.059</v>
      </c>
      <c r="FE39" s="58">
        <v>770.15200000000004</v>
      </c>
      <c r="FF39" s="58">
        <v>409.90800000000002</v>
      </c>
      <c r="FG39" s="58">
        <v>583.00400000000002</v>
      </c>
      <c r="FH39" s="58">
        <v>169.44399999999999</v>
      </c>
      <c r="FI39" s="58">
        <v>413.55900000000003</v>
      </c>
      <c r="FJ39" s="58">
        <v>198.535</v>
      </c>
      <c r="FK39" s="58">
        <v>107.901</v>
      </c>
      <c r="FL39" s="58">
        <v>90.634</v>
      </c>
      <c r="FM39" s="58">
        <v>52.029000000000003</v>
      </c>
      <c r="FN39" s="58">
        <v>33.313000000000002</v>
      </c>
      <c r="FO39" s="58">
        <v>18.716000000000001</v>
      </c>
      <c r="FP39" s="58">
        <v>19.451000000000001</v>
      </c>
      <c r="FQ39" s="58">
        <v>17.337</v>
      </c>
      <c r="FR39" s="58">
        <v>2.1139999999999999</v>
      </c>
      <c r="FS39" s="58">
        <v>11.396000000000001</v>
      </c>
      <c r="FT39" s="58">
        <v>10.18</v>
      </c>
      <c r="FU39" s="58">
        <v>1.216</v>
      </c>
      <c r="FV39" s="58">
        <v>8.0549999999999997</v>
      </c>
      <c r="FW39" s="58">
        <v>7.1580000000000004</v>
      </c>
      <c r="FX39" s="58">
        <v>0.89800000000000002</v>
      </c>
      <c r="FY39" s="58">
        <v>32.578000000000003</v>
      </c>
      <c r="FZ39" s="58">
        <v>15.976000000000001</v>
      </c>
      <c r="GA39" s="58">
        <v>16.602</v>
      </c>
      <c r="GB39" s="58">
        <v>168.291</v>
      </c>
      <c r="GC39" s="58">
        <v>87.700999999999993</v>
      </c>
      <c r="GD39" s="58">
        <v>80.588999999999999</v>
      </c>
      <c r="GE39" s="58">
        <v>60.011000000000003</v>
      </c>
      <c r="GF39" s="58">
        <v>42.883000000000003</v>
      </c>
      <c r="GG39" s="58">
        <v>17.128</v>
      </c>
      <c r="GH39" s="58">
        <v>108.28</v>
      </c>
      <c r="GI39" s="58">
        <v>44.819000000000003</v>
      </c>
      <c r="GJ39" s="58">
        <v>63.460999999999999</v>
      </c>
      <c r="GK39" s="58">
        <v>75.277000000000001</v>
      </c>
      <c r="GL39" s="58">
        <v>56.401000000000003</v>
      </c>
      <c r="GM39" s="58">
        <v>18.876000000000001</v>
      </c>
      <c r="GN39" s="58">
        <v>123.25700000000001</v>
      </c>
      <c r="GO39" s="58">
        <v>51.499000000000002</v>
      </c>
      <c r="GP39" s="58">
        <v>71.757999999999996</v>
      </c>
      <c r="GQ39" s="58">
        <v>119.676</v>
      </c>
      <c r="GR39" s="58">
        <v>54.999000000000002</v>
      </c>
      <c r="GS39" s="58">
        <v>64.677000000000007</v>
      </c>
      <c r="GT39" s="58">
        <v>465.47500000000002</v>
      </c>
      <c r="GU39" s="58">
        <v>285.49400000000003</v>
      </c>
      <c r="GV39" s="58">
        <v>179.98099999999999</v>
      </c>
      <c r="GW39" s="58">
        <v>198.535</v>
      </c>
      <c r="GX39" s="58">
        <v>152.74100000000001</v>
      </c>
      <c r="GY39" s="58">
        <v>45.795000000000002</v>
      </c>
      <c r="GZ39" s="58">
        <v>266.94</v>
      </c>
      <c r="HA39" s="58">
        <v>132.75399999999999</v>
      </c>
      <c r="HB39" s="58">
        <v>134.18600000000001</v>
      </c>
      <c r="HC39" s="58">
        <v>46.02</v>
      </c>
      <c r="HD39" s="58">
        <v>31.481999999999999</v>
      </c>
      <c r="HE39" s="58">
        <v>14.537000000000001</v>
      </c>
      <c r="HF39" s="58">
        <v>21.306000000000001</v>
      </c>
      <c r="HG39" s="58">
        <v>16.216999999999999</v>
      </c>
      <c r="HH39" s="58">
        <v>5.0890000000000004</v>
      </c>
      <c r="HI39" s="58">
        <v>6.2830000000000004</v>
      </c>
      <c r="HJ39" s="58">
        <v>5.8570000000000002</v>
      </c>
      <c r="HK39" s="58">
        <v>0.42599999999999999</v>
      </c>
      <c r="HL39" s="58">
        <v>2.97</v>
      </c>
      <c r="HM39" s="58">
        <v>2.544</v>
      </c>
      <c r="HN39" s="58">
        <v>0.42599999999999999</v>
      </c>
      <c r="HO39" s="58">
        <v>3.3119999999999998</v>
      </c>
      <c r="HP39" s="58">
        <v>3.3119999999999998</v>
      </c>
      <c r="HQ39" s="58">
        <v>0</v>
      </c>
      <c r="HR39" s="58">
        <v>15.023999999999999</v>
      </c>
      <c r="HS39" s="58">
        <v>10.36</v>
      </c>
      <c r="HT39" s="58">
        <v>4.6639999999999997</v>
      </c>
      <c r="HU39" s="58">
        <v>29.436</v>
      </c>
      <c r="HV39" s="58">
        <v>19.869</v>
      </c>
      <c r="HW39" s="58">
        <v>9.5670000000000002</v>
      </c>
      <c r="HX39" s="58">
        <v>3.5939999999999999</v>
      </c>
      <c r="HY39" s="58">
        <v>3.1120000000000001</v>
      </c>
      <c r="HZ39" s="58">
        <v>0.48199999999999998</v>
      </c>
      <c r="IA39" s="58">
        <v>25.841999999999999</v>
      </c>
      <c r="IB39" s="58">
        <v>16.757000000000001</v>
      </c>
      <c r="IC39" s="58">
        <v>9.0850000000000009</v>
      </c>
      <c r="ID39" s="58">
        <v>9.6329999999999991</v>
      </c>
      <c r="IE39" s="58">
        <v>8.7249999999999996</v>
      </c>
      <c r="IF39" s="58">
        <v>0.90800000000000003</v>
      </c>
      <c r="IG39" s="58">
        <v>36.387</v>
      </c>
      <c r="IH39" s="58">
        <v>22.757000000000001</v>
      </c>
      <c r="II39" s="58">
        <v>13.63</v>
      </c>
      <c r="IJ39" s="58">
        <v>28.812000000000001</v>
      </c>
      <c r="IK39" s="58">
        <v>19.302</v>
      </c>
      <c r="IL39" s="58">
        <v>9.5109999999999992</v>
      </c>
      <c r="IM39" s="58">
        <v>3824.0859999999998</v>
      </c>
      <c r="IN39" s="58">
        <v>2050.61</v>
      </c>
      <c r="IO39" s="58">
        <v>1773.4760000000001</v>
      </c>
      <c r="IP39" s="58">
        <v>2635.5720000000001</v>
      </c>
      <c r="IQ39" s="58">
        <v>1660.27</v>
      </c>
    </row>
    <row r="40" spans="1:251">
      <c r="A40" s="5">
        <v>42705</v>
      </c>
      <c r="B40" s="58">
        <v>12.750999999999999</v>
      </c>
      <c r="C40" s="58">
        <v>24.427</v>
      </c>
      <c r="D40" s="58">
        <v>406.05099999999999</v>
      </c>
      <c r="E40" s="58">
        <v>228.52</v>
      </c>
      <c r="F40" s="58">
        <v>177.53100000000001</v>
      </c>
      <c r="G40" s="58">
        <v>194.33199999999999</v>
      </c>
      <c r="H40" s="58">
        <v>143.655</v>
      </c>
      <c r="I40" s="58">
        <v>50.677</v>
      </c>
      <c r="J40" s="58">
        <v>211.71899999999999</v>
      </c>
      <c r="K40" s="58">
        <v>84.864999999999995</v>
      </c>
      <c r="L40" s="58">
        <v>126.854</v>
      </c>
      <c r="M40" s="58">
        <v>212.57300000000001</v>
      </c>
      <c r="N40" s="58">
        <v>158.69499999999999</v>
      </c>
      <c r="O40" s="58">
        <v>53.878</v>
      </c>
      <c r="P40" s="58">
        <v>225.15799999999999</v>
      </c>
      <c r="Q40" s="58">
        <v>89.893000000000001</v>
      </c>
      <c r="R40" s="58">
        <v>135.26400000000001</v>
      </c>
      <c r="S40" s="58">
        <v>225.41399999999999</v>
      </c>
      <c r="T40" s="58">
        <v>95.328000000000003</v>
      </c>
      <c r="U40" s="58">
        <v>130.08600000000001</v>
      </c>
      <c r="V40" s="58">
        <v>2610.9740000000002</v>
      </c>
      <c r="W40" s="58">
        <v>1425.2149999999999</v>
      </c>
      <c r="X40" s="58">
        <v>1185.759</v>
      </c>
      <c r="Y40" s="58">
        <v>1951.8510000000001</v>
      </c>
      <c r="Z40" s="58">
        <v>1306.3579999999999</v>
      </c>
      <c r="AA40" s="58">
        <v>645.49199999999996</v>
      </c>
      <c r="AB40" s="58">
        <v>659.12400000000002</v>
      </c>
      <c r="AC40" s="58">
        <v>118.857</v>
      </c>
      <c r="AD40" s="58">
        <v>540.26700000000005</v>
      </c>
      <c r="AE40" s="58">
        <v>309.09800000000001</v>
      </c>
      <c r="AF40" s="58">
        <v>151.47999999999999</v>
      </c>
      <c r="AG40" s="58">
        <v>157.61799999999999</v>
      </c>
      <c r="AH40" s="58">
        <v>50.73</v>
      </c>
      <c r="AI40" s="58">
        <v>22.04</v>
      </c>
      <c r="AJ40" s="58">
        <v>28.69</v>
      </c>
      <c r="AK40" s="58">
        <v>23.244</v>
      </c>
      <c r="AL40" s="58">
        <v>16.957000000000001</v>
      </c>
      <c r="AM40" s="58">
        <v>6.2869999999999999</v>
      </c>
      <c r="AN40" s="58">
        <v>12.111000000000001</v>
      </c>
      <c r="AO40" s="58">
        <v>8.6980000000000004</v>
      </c>
      <c r="AP40" s="58">
        <v>3.4129999999999998</v>
      </c>
      <c r="AQ40" s="58">
        <v>11.132999999999999</v>
      </c>
      <c r="AR40" s="58">
        <v>8.2590000000000003</v>
      </c>
      <c r="AS40" s="58">
        <v>2.8740000000000001</v>
      </c>
      <c r="AT40" s="58">
        <v>27.484999999999999</v>
      </c>
      <c r="AU40" s="58">
        <v>5.0830000000000002</v>
      </c>
      <c r="AV40" s="58">
        <v>22.402000000000001</v>
      </c>
      <c r="AW40" s="58">
        <v>280.09699999999998</v>
      </c>
      <c r="AX40" s="58">
        <v>137.624</v>
      </c>
      <c r="AY40" s="58">
        <v>142.47300000000001</v>
      </c>
      <c r="AZ40" s="58">
        <v>126.339</v>
      </c>
      <c r="BA40" s="58">
        <v>97.319000000000003</v>
      </c>
      <c r="BB40" s="58">
        <v>29.02</v>
      </c>
      <c r="BC40" s="58">
        <v>153.75800000000001</v>
      </c>
      <c r="BD40" s="58">
        <v>40.305</v>
      </c>
      <c r="BE40" s="58">
        <v>113.453</v>
      </c>
      <c r="BF40" s="58">
        <v>143.74799999999999</v>
      </c>
      <c r="BG40" s="58">
        <v>109.95</v>
      </c>
      <c r="BH40" s="58">
        <v>33.798000000000002</v>
      </c>
      <c r="BI40" s="58">
        <v>165.35</v>
      </c>
      <c r="BJ40" s="58">
        <v>41.53</v>
      </c>
      <c r="BK40" s="58">
        <v>123.819</v>
      </c>
      <c r="BL40" s="58">
        <v>165.869</v>
      </c>
      <c r="BM40" s="58">
        <v>49.003</v>
      </c>
      <c r="BN40" s="58">
        <v>116.866</v>
      </c>
      <c r="BO40" s="58">
        <v>2525.221</v>
      </c>
      <c r="BP40" s="58">
        <v>1301.787</v>
      </c>
      <c r="BQ40" s="58">
        <v>1223.434</v>
      </c>
      <c r="BR40" s="58">
        <v>1883.8779999999999</v>
      </c>
      <c r="BS40" s="58">
        <v>1174.9369999999999</v>
      </c>
      <c r="BT40" s="58">
        <v>708.94100000000003</v>
      </c>
      <c r="BU40" s="58">
        <v>641.34299999999996</v>
      </c>
      <c r="BV40" s="58">
        <v>126.849</v>
      </c>
      <c r="BW40" s="58">
        <v>514.49300000000005</v>
      </c>
      <c r="BX40" s="58">
        <v>315.029</v>
      </c>
      <c r="BY40" s="58">
        <v>155.71100000000001</v>
      </c>
      <c r="BZ40" s="58">
        <v>159.31800000000001</v>
      </c>
      <c r="CA40" s="58">
        <v>65.296000000000006</v>
      </c>
      <c r="CB40" s="58">
        <v>36.604999999999997</v>
      </c>
      <c r="CC40" s="58">
        <v>28.690999999999999</v>
      </c>
      <c r="CD40" s="58">
        <v>31.623999999999999</v>
      </c>
      <c r="CE40" s="58">
        <v>22.099</v>
      </c>
      <c r="CF40" s="58">
        <v>9.5259999999999998</v>
      </c>
      <c r="CG40" s="58">
        <v>17.059999999999999</v>
      </c>
      <c r="CH40" s="58">
        <v>12.055999999999999</v>
      </c>
      <c r="CI40" s="58">
        <v>5.0039999999999996</v>
      </c>
      <c r="CJ40" s="58">
        <v>14.565</v>
      </c>
      <c r="CK40" s="58">
        <v>10.042999999999999</v>
      </c>
      <c r="CL40" s="58">
        <v>4.5220000000000002</v>
      </c>
      <c r="CM40" s="58">
        <v>33.670999999999999</v>
      </c>
      <c r="CN40" s="58">
        <v>14.506</v>
      </c>
      <c r="CO40" s="58">
        <v>19.164999999999999</v>
      </c>
      <c r="CP40" s="58">
        <v>272.67099999999999</v>
      </c>
      <c r="CQ40" s="58">
        <v>133.892</v>
      </c>
      <c r="CR40" s="58">
        <v>138.77799999999999</v>
      </c>
      <c r="CS40" s="58">
        <v>116.83799999999999</v>
      </c>
      <c r="CT40" s="58">
        <v>85.872</v>
      </c>
      <c r="CU40" s="58">
        <v>30.966000000000001</v>
      </c>
      <c r="CV40" s="58">
        <v>155.833</v>
      </c>
      <c r="CW40" s="58">
        <v>48.02</v>
      </c>
      <c r="CX40" s="58">
        <v>107.813</v>
      </c>
      <c r="CY40" s="58">
        <v>141.71299999999999</v>
      </c>
      <c r="CZ40" s="58">
        <v>102.68899999999999</v>
      </c>
      <c r="DA40" s="58">
        <v>39.023000000000003</v>
      </c>
      <c r="DB40" s="58">
        <v>173.316</v>
      </c>
      <c r="DC40" s="58">
        <v>53.021999999999998</v>
      </c>
      <c r="DD40" s="58">
        <v>120.294</v>
      </c>
      <c r="DE40" s="58">
        <v>172.893</v>
      </c>
      <c r="DF40" s="58">
        <v>60.076000000000001</v>
      </c>
      <c r="DG40" s="58">
        <v>112.81699999999999</v>
      </c>
      <c r="DH40" s="58">
        <v>2227.0279999999998</v>
      </c>
      <c r="DI40" s="58">
        <v>1227.4690000000001</v>
      </c>
      <c r="DJ40" s="58">
        <v>999.55899999999997</v>
      </c>
      <c r="DK40" s="58">
        <v>1397.817</v>
      </c>
      <c r="DL40" s="58">
        <v>934.92600000000004</v>
      </c>
      <c r="DM40" s="58">
        <v>462.89100000000002</v>
      </c>
      <c r="DN40" s="58">
        <v>829.21100000000001</v>
      </c>
      <c r="DO40" s="58">
        <v>292.54199999999997</v>
      </c>
      <c r="DP40" s="58">
        <v>536.66800000000001</v>
      </c>
      <c r="DQ40" s="58">
        <v>242.22499999999999</v>
      </c>
      <c r="DR40" s="58">
        <v>140.60300000000001</v>
      </c>
      <c r="DS40" s="58">
        <v>101.622</v>
      </c>
      <c r="DT40" s="58">
        <v>67.680000000000007</v>
      </c>
      <c r="DU40" s="58">
        <v>41.908000000000001</v>
      </c>
      <c r="DV40" s="58">
        <v>25.771999999999998</v>
      </c>
      <c r="DW40" s="58">
        <v>23.891999999999999</v>
      </c>
      <c r="DX40" s="58">
        <v>19.712</v>
      </c>
      <c r="DY40" s="58">
        <v>4.18</v>
      </c>
      <c r="DZ40" s="58">
        <v>15.335000000000001</v>
      </c>
      <c r="EA40" s="58">
        <v>13.057</v>
      </c>
      <c r="EB40" s="58">
        <v>2.2770000000000001</v>
      </c>
      <c r="EC40" s="58">
        <v>8.5570000000000004</v>
      </c>
      <c r="ED40" s="58">
        <v>6.6550000000000002</v>
      </c>
      <c r="EE40" s="58">
        <v>1.9019999999999999</v>
      </c>
      <c r="EF40" s="58">
        <v>43.787999999999997</v>
      </c>
      <c r="EG40" s="58">
        <v>22.196000000000002</v>
      </c>
      <c r="EH40" s="58">
        <v>21.591999999999999</v>
      </c>
      <c r="EI40" s="58">
        <v>198.73599999999999</v>
      </c>
      <c r="EJ40" s="58">
        <v>115.24299999999999</v>
      </c>
      <c r="EK40" s="58">
        <v>83.492999999999995</v>
      </c>
      <c r="EL40" s="58">
        <v>67.453999999999994</v>
      </c>
      <c r="EM40" s="58">
        <v>51.576999999999998</v>
      </c>
      <c r="EN40" s="58">
        <v>15.878</v>
      </c>
      <c r="EO40" s="58">
        <v>131.28200000000001</v>
      </c>
      <c r="EP40" s="58">
        <v>63.667000000000002</v>
      </c>
      <c r="EQ40" s="58">
        <v>67.614999999999995</v>
      </c>
      <c r="ER40" s="58">
        <v>87.546999999999997</v>
      </c>
      <c r="ES40" s="58">
        <v>67.489999999999995</v>
      </c>
      <c r="ET40" s="58">
        <v>20.056999999999999</v>
      </c>
      <c r="EU40" s="58">
        <v>154.678</v>
      </c>
      <c r="EV40" s="58">
        <v>73.113</v>
      </c>
      <c r="EW40" s="58">
        <v>81.564999999999998</v>
      </c>
      <c r="EX40" s="58">
        <v>146.61699999999999</v>
      </c>
      <c r="EY40" s="58">
        <v>76.724000000000004</v>
      </c>
      <c r="EZ40" s="58">
        <v>69.893000000000001</v>
      </c>
      <c r="FA40" s="58">
        <v>1762.578</v>
      </c>
      <c r="FB40" s="58">
        <v>940.44600000000003</v>
      </c>
      <c r="FC40" s="58">
        <v>822.13199999999995</v>
      </c>
      <c r="FD40" s="58">
        <v>1190.2249999999999</v>
      </c>
      <c r="FE40" s="58">
        <v>778.12900000000002</v>
      </c>
      <c r="FF40" s="58">
        <v>412.096</v>
      </c>
      <c r="FG40" s="58">
        <v>572.35299999999995</v>
      </c>
      <c r="FH40" s="58">
        <v>162.31700000000001</v>
      </c>
      <c r="FI40" s="58">
        <v>410.036</v>
      </c>
      <c r="FJ40" s="58">
        <v>199.143</v>
      </c>
      <c r="FK40" s="58">
        <v>111.276</v>
      </c>
      <c r="FL40" s="58">
        <v>87.867000000000004</v>
      </c>
      <c r="FM40" s="58">
        <v>51.331000000000003</v>
      </c>
      <c r="FN40" s="58">
        <v>31.097000000000001</v>
      </c>
      <c r="FO40" s="58">
        <v>20.234000000000002</v>
      </c>
      <c r="FP40" s="58">
        <v>20.390999999999998</v>
      </c>
      <c r="FQ40" s="58">
        <v>16.599</v>
      </c>
      <c r="FR40" s="58">
        <v>3.7919999999999998</v>
      </c>
      <c r="FS40" s="58">
        <v>13.488</v>
      </c>
      <c r="FT40" s="58">
        <v>11.211</v>
      </c>
      <c r="FU40" s="58">
        <v>2.2770000000000001</v>
      </c>
      <c r="FV40" s="58">
        <v>6.9029999999999996</v>
      </c>
      <c r="FW40" s="58">
        <v>5.3879999999999999</v>
      </c>
      <c r="FX40" s="58">
        <v>1.514</v>
      </c>
      <c r="FY40" s="58">
        <v>30.94</v>
      </c>
      <c r="FZ40" s="58">
        <v>14.497999999999999</v>
      </c>
      <c r="GA40" s="58">
        <v>16.443000000000001</v>
      </c>
      <c r="GB40" s="58">
        <v>167.05</v>
      </c>
      <c r="GC40" s="58">
        <v>93.155000000000001</v>
      </c>
      <c r="GD40" s="58">
        <v>73.894999999999996</v>
      </c>
      <c r="GE40" s="58">
        <v>61.551000000000002</v>
      </c>
      <c r="GF40" s="58">
        <v>46.593000000000004</v>
      </c>
      <c r="GG40" s="58">
        <v>14.958</v>
      </c>
      <c r="GH40" s="58">
        <v>105.499</v>
      </c>
      <c r="GI40" s="58">
        <v>46.561999999999998</v>
      </c>
      <c r="GJ40" s="58">
        <v>58.936999999999998</v>
      </c>
      <c r="GK40" s="58">
        <v>78.932000000000002</v>
      </c>
      <c r="GL40" s="58">
        <v>60.183</v>
      </c>
      <c r="GM40" s="58">
        <v>18.75</v>
      </c>
      <c r="GN40" s="58">
        <v>120.21</v>
      </c>
      <c r="GO40" s="58">
        <v>51.093000000000004</v>
      </c>
      <c r="GP40" s="58">
        <v>69.117000000000004</v>
      </c>
      <c r="GQ40" s="58">
        <v>118.98699999999999</v>
      </c>
      <c r="GR40" s="58">
        <v>57.771999999999998</v>
      </c>
      <c r="GS40" s="58">
        <v>61.215000000000003</v>
      </c>
      <c r="GT40" s="58">
        <v>464.44900000000001</v>
      </c>
      <c r="GU40" s="58">
        <v>287.02300000000002</v>
      </c>
      <c r="GV40" s="58">
        <v>177.42699999999999</v>
      </c>
      <c r="GW40" s="58">
        <v>207.59200000000001</v>
      </c>
      <c r="GX40" s="58">
        <v>156.797</v>
      </c>
      <c r="GY40" s="58">
        <v>50.793999999999997</v>
      </c>
      <c r="GZ40" s="58">
        <v>256.858</v>
      </c>
      <c r="HA40" s="58">
        <v>130.22499999999999</v>
      </c>
      <c r="HB40" s="58">
        <v>126.63200000000001</v>
      </c>
      <c r="HC40" s="58">
        <v>43.082000000000001</v>
      </c>
      <c r="HD40" s="58">
        <v>29.327000000000002</v>
      </c>
      <c r="HE40" s="58">
        <v>13.755000000000001</v>
      </c>
      <c r="HF40" s="58">
        <v>16.349</v>
      </c>
      <c r="HG40" s="58">
        <v>10.811</v>
      </c>
      <c r="HH40" s="58">
        <v>5.5380000000000003</v>
      </c>
      <c r="HI40" s="58">
        <v>3.5009999999999999</v>
      </c>
      <c r="HJ40" s="58">
        <v>3.113</v>
      </c>
      <c r="HK40" s="58">
        <v>0.38800000000000001</v>
      </c>
      <c r="HL40" s="58">
        <v>1.847</v>
      </c>
      <c r="HM40" s="58">
        <v>1.847</v>
      </c>
      <c r="HN40" s="58">
        <v>0</v>
      </c>
      <c r="HO40" s="58">
        <v>1.655</v>
      </c>
      <c r="HP40" s="58">
        <v>1.2669999999999999</v>
      </c>
      <c r="HQ40" s="58">
        <v>0.38800000000000001</v>
      </c>
      <c r="HR40" s="58">
        <v>12.848000000000001</v>
      </c>
      <c r="HS40" s="58">
        <v>7.6980000000000004</v>
      </c>
      <c r="HT40" s="58">
        <v>5.15</v>
      </c>
      <c r="HU40" s="58">
        <v>31.686</v>
      </c>
      <c r="HV40" s="58">
        <v>22.088000000000001</v>
      </c>
      <c r="HW40" s="58">
        <v>9.5980000000000008</v>
      </c>
      <c r="HX40" s="58">
        <v>5.9029999999999996</v>
      </c>
      <c r="HY40" s="58">
        <v>4.9829999999999997</v>
      </c>
      <c r="HZ40" s="58">
        <v>0.92</v>
      </c>
      <c r="IA40" s="58">
        <v>25.783000000000001</v>
      </c>
      <c r="IB40" s="58">
        <v>17.105</v>
      </c>
      <c r="IC40" s="58">
        <v>8.6780000000000008</v>
      </c>
      <c r="ID40" s="58">
        <v>8.6150000000000002</v>
      </c>
      <c r="IE40" s="58">
        <v>7.3070000000000004</v>
      </c>
      <c r="IF40" s="58">
        <v>1.3080000000000001</v>
      </c>
      <c r="IG40" s="58">
        <v>34.466999999999999</v>
      </c>
      <c r="IH40" s="58">
        <v>22.02</v>
      </c>
      <c r="II40" s="58">
        <v>12.448</v>
      </c>
      <c r="IJ40" s="58">
        <v>27.63</v>
      </c>
      <c r="IK40" s="58">
        <v>18.952000000000002</v>
      </c>
      <c r="IL40" s="58">
        <v>8.6780000000000008</v>
      </c>
      <c r="IM40" s="58">
        <v>3850.4810000000002</v>
      </c>
      <c r="IN40" s="58">
        <v>2056.7689999999998</v>
      </c>
      <c r="IO40" s="58">
        <v>1793.712</v>
      </c>
      <c r="IP40" s="58">
        <v>2669.0940000000001</v>
      </c>
      <c r="IQ40" s="58">
        <v>1676.7840000000001</v>
      </c>
    </row>
    <row r="41" spans="1:251">
      <c r="A41" s="5">
        <v>42736</v>
      </c>
      <c r="B41" s="58">
        <v>13.055999999999999</v>
      </c>
      <c r="C41" s="58">
        <v>21.047999999999998</v>
      </c>
      <c r="D41" s="58">
        <v>379.97500000000002</v>
      </c>
      <c r="E41" s="58">
        <v>210.096</v>
      </c>
      <c r="F41" s="58">
        <v>169.87899999999999</v>
      </c>
      <c r="G41" s="58">
        <v>174.18100000000001</v>
      </c>
      <c r="H41" s="58">
        <v>132.00399999999999</v>
      </c>
      <c r="I41" s="58">
        <v>42.176000000000002</v>
      </c>
      <c r="J41" s="58">
        <v>205.79400000000001</v>
      </c>
      <c r="K41" s="58">
        <v>78.091999999999999</v>
      </c>
      <c r="L41" s="58">
        <v>127.703</v>
      </c>
      <c r="M41" s="58">
        <v>202.977</v>
      </c>
      <c r="N41" s="58">
        <v>153.53299999999999</v>
      </c>
      <c r="O41" s="58">
        <v>49.444000000000003</v>
      </c>
      <c r="P41" s="58">
        <v>218.518</v>
      </c>
      <c r="Q41" s="58">
        <v>83.44</v>
      </c>
      <c r="R41" s="58">
        <v>135.078</v>
      </c>
      <c r="S41" s="58">
        <v>226.089</v>
      </c>
      <c r="T41" s="58">
        <v>92.850999999999999</v>
      </c>
      <c r="U41" s="58">
        <v>133.238</v>
      </c>
      <c r="V41" s="58">
        <v>2554.5509999999999</v>
      </c>
      <c r="W41" s="58">
        <v>1405.18</v>
      </c>
      <c r="X41" s="58">
        <v>1149.3710000000001</v>
      </c>
      <c r="Y41" s="58">
        <v>1898.7329999999999</v>
      </c>
      <c r="Z41" s="58">
        <v>1277.97</v>
      </c>
      <c r="AA41" s="58">
        <v>620.76300000000003</v>
      </c>
      <c r="AB41" s="58">
        <v>655.81799999999998</v>
      </c>
      <c r="AC41" s="58">
        <v>127.21</v>
      </c>
      <c r="AD41" s="58">
        <v>528.60799999999995</v>
      </c>
      <c r="AE41" s="58">
        <v>329.565</v>
      </c>
      <c r="AF41" s="58">
        <v>173.32599999999999</v>
      </c>
      <c r="AG41" s="58">
        <v>156.239</v>
      </c>
      <c r="AH41" s="58">
        <v>58.761000000000003</v>
      </c>
      <c r="AI41" s="58">
        <v>34.204000000000001</v>
      </c>
      <c r="AJ41" s="58">
        <v>24.556000000000001</v>
      </c>
      <c r="AK41" s="58">
        <v>33.933999999999997</v>
      </c>
      <c r="AL41" s="58">
        <v>25.792999999999999</v>
      </c>
      <c r="AM41" s="58">
        <v>8.141</v>
      </c>
      <c r="AN41" s="58">
        <v>17.907</v>
      </c>
      <c r="AO41" s="58">
        <v>13.766</v>
      </c>
      <c r="AP41" s="58">
        <v>4.141</v>
      </c>
      <c r="AQ41" s="58">
        <v>16.027000000000001</v>
      </c>
      <c r="AR41" s="58">
        <v>12.026999999999999</v>
      </c>
      <c r="AS41" s="58">
        <v>4</v>
      </c>
      <c r="AT41" s="58">
        <v>24.827000000000002</v>
      </c>
      <c r="AU41" s="58">
        <v>8.4120000000000008</v>
      </c>
      <c r="AV41" s="58">
        <v>16.414999999999999</v>
      </c>
      <c r="AW41" s="58">
        <v>291.65600000000001</v>
      </c>
      <c r="AX41" s="58">
        <v>150.303</v>
      </c>
      <c r="AY41" s="58">
        <v>141.35300000000001</v>
      </c>
      <c r="AZ41" s="58">
        <v>132.512</v>
      </c>
      <c r="BA41" s="58">
        <v>101.836</v>
      </c>
      <c r="BB41" s="58">
        <v>30.677</v>
      </c>
      <c r="BC41" s="58">
        <v>159.14400000000001</v>
      </c>
      <c r="BD41" s="58">
        <v>48.466999999999999</v>
      </c>
      <c r="BE41" s="58">
        <v>110.67700000000001</v>
      </c>
      <c r="BF41" s="58">
        <v>159.66300000000001</v>
      </c>
      <c r="BG41" s="58">
        <v>121.3</v>
      </c>
      <c r="BH41" s="58">
        <v>38.363</v>
      </c>
      <c r="BI41" s="58">
        <v>169.90199999999999</v>
      </c>
      <c r="BJ41" s="58">
        <v>52.026000000000003</v>
      </c>
      <c r="BK41" s="58">
        <v>117.876</v>
      </c>
      <c r="BL41" s="58">
        <v>177.05099999999999</v>
      </c>
      <c r="BM41" s="58">
        <v>62.232999999999997</v>
      </c>
      <c r="BN41" s="58">
        <v>114.818</v>
      </c>
      <c r="BO41" s="58">
        <v>2469.1109999999999</v>
      </c>
      <c r="BP41" s="58">
        <v>1279.9949999999999</v>
      </c>
      <c r="BQ41" s="58">
        <v>1189.116</v>
      </c>
      <c r="BR41" s="58">
        <v>1815.595</v>
      </c>
      <c r="BS41" s="58">
        <v>1144.6289999999999</v>
      </c>
      <c r="BT41" s="58">
        <v>670.96600000000001</v>
      </c>
      <c r="BU41" s="58">
        <v>653.51599999999996</v>
      </c>
      <c r="BV41" s="58">
        <v>135.36600000000001</v>
      </c>
      <c r="BW41" s="58">
        <v>518.15</v>
      </c>
      <c r="BX41" s="58">
        <v>306.87200000000001</v>
      </c>
      <c r="BY41" s="58">
        <v>151.363</v>
      </c>
      <c r="BZ41" s="58">
        <v>155.50899999999999</v>
      </c>
      <c r="CA41" s="58">
        <v>61.182000000000002</v>
      </c>
      <c r="CB41" s="58">
        <v>34.930999999999997</v>
      </c>
      <c r="CC41" s="58">
        <v>26.251000000000001</v>
      </c>
      <c r="CD41" s="58">
        <v>32.072000000000003</v>
      </c>
      <c r="CE41" s="58">
        <v>23.058</v>
      </c>
      <c r="CF41" s="58">
        <v>9.0139999999999993</v>
      </c>
      <c r="CG41" s="58">
        <v>16.638000000000002</v>
      </c>
      <c r="CH41" s="58">
        <v>10.058999999999999</v>
      </c>
      <c r="CI41" s="58">
        <v>6.5789999999999997</v>
      </c>
      <c r="CJ41" s="58">
        <v>15.433999999999999</v>
      </c>
      <c r="CK41" s="58">
        <v>12.999000000000001</v>
      </c>
      <c r="CL41" s="58">
        <v>2.4350000000000001</v>
      </c>
      <c r="CM41" s="58">
        <v>29.11</v>
      </c>
      <c r="CN41" s="58">
        <v>11.872</v>
      </c>
      <c r="CO41" s="58">
        <v>17.236999999999998</v>
      </c>
      <c r="CP41" s="58">
        <v>269.72300000000001</v>
      </c>
      <c r="CQ41" s="58">
        <v>127.633</v>
      </c>
      <c r="CR41" s="58">
        <v>142.09</v>
      </c>
      <c r="CS41" s="58">
        <v>99.724000000000004</v>
      </c>
      <c r="CT41" s="58">
        <v>70.83</v>
      </c>
      <c r="CU41" s="58">
        <v>28.893999999999998</v>
      </c>
      <c r="CV41" s="58">
        <v>169.99799999999999</v>
      </c>
      <c r="CW41" s="58">
        <v>56.802999999999997</v>
      </c>
      <c r="CX41" s="58">
        <v>113.196</v>
      </c>
      <c r="CY41" s="58">
        <v>126.227</v>
      </c>
      <c r="CZ41" s="58">
        <v>90.424000000000007</v>
      </c>
      <c r="DA41" s="58">
        <v>35.802</v>
      </c>
      <c r="DB41" s="58">
        <v>180.64599999999999</v>
      </c>
      <c r="DC41" s="58">
        <v>60.938000000000002</v>
      </c>
      <c r="DD41" s="58">
        <v>119.70699999999999</v>
      </c>
      <c r="DE41" s="58">
        <v>186.636</v>
      </c>
      <c r="DF41" s="58">
        <v>66.861999999999995</v>
      </c>
      <c r="DG41" s="58">
        <v>119.77500000000001</v>
      </c>
      <c r="DH41" s="58">
        <v>2172.44</v>
      </c>
      <c r="DI41" s="58">
        <v>1194.0920000000001</v>
      </c>
      <c r="DJ41" s="58">
        <v>978.34699999999998</v>
      </c>
      <c r="DK41" s="58">
        <v>1357.3330000000001</v>
      </c>
      <c r="DL41" s="58">
        <v>912.48500000000001</v>
      </c>
      <c r="DM41" s="58">
        <v>444.84800000000001</v>
      </c>
      <c r="DN41" s="58">
        <v>815.10599999999999</v>
      </c>
      <c r="DO41" s="58">
        <v>281.60700000000003</v>
      </c>
      <c r="DP41" s="58">
        <v>533.49900000000002</v>
      </c>
      <c r="DQ41" s="58">
        <v>235.45099999999999</v>
      </c>
      <c r="DR41" s="58">
        <v>136.637</v>
      </c>
      <c r="DS41" s="58">
        <v>98.813999999999993</v>
      </c>
      <c r="DT41" s="58">
        <v>76.156999999999996</v>
      </c>
      <c r="DU41" s="58">
        <v>48.131</v>
      </c>
      <c r="DV41" s="58">
        <v>28.026</v>
      </c>
      <c r="DW41" s="58">
        <v>26.068999999999999</v>
      </c>
      <c r="DX41" s="58">
        <v>20.744</v>
      </c>
      <c r="DY41" s="58">
        <v>5.3259999999999996</v>
      </c>
      <c r="DZ41" s="58">
        <v>18.73</v>
      </c>
      <c r="EA41" s="58">
        <v>15.157999999999999</v>
      </c>
      <c r="EB41" s="58">
        <v>3.5720000000000001</v>
      </c>
      <c r="EC41" s="58">
        <v>7.3390000000000004</v>
      </c>
      <c r="ED41" s="58">
        <v>5.5860000000000003</v>
      </c>
      <c r="EE41" s="58">
        <v>1.7529999999999999</v>
      </c>
      <c r="EF41" s="58">
        <v>50.087000000000003</v>
      </c>
      <c r="EG41" s="58">
        <v>27.387</v>
      </c>
      <c r="EH41" s="58">
        <v>22.701000000000001</v>
      </c>
      <c r="EI41" s="58">
        <v>185.66300000000001</v>
      </c>
      <c r="EJ41" s="58">
        <v>106.08</v>
      </c>
      <c r="EK41" s="58">
        <v>79.584000000000003</v>
      </c>
      <c r="EL41" s="58">
        <v>56.04</v>
      </c>
      <c r="EM41" s="58">
        <v>42.283000000000001</v>
      </c>
      <c r="EN41" s="58">
        <v>13.757</v>
      </c>
      <c r="EO41" s="58">
        <v>129.62299999999999</v>
      </c>
      <c r="EP41" s="58">
        <v>63.795999999999999</v>
      </c>
      <c r="EQ41" s="58">
        <v>65.826999999999998</v>
      </c>
      <c r="ER41" s="58">
        <v>78.501999999999995</v>
      </c>
      <c r="ES41" s="58">
        <v>60.881999999999998</v>
      </c>
      <c r="ET41" s="58">
        <v>17.620999999999999</v>
      </c>
      <c r="EU41" s="58">
        <v>156.94900000000001</v>
      </c>
      <c r="EV41" s="58">
        <v>75.756</v>
      </c>
      <c r="EW41" s="58">
        <v>81.192999999999998</v>
      </c>
      <c r="EX41" s="58">
        <v>148.35400000000001</v>
      </c>
      <c r="EY41" s="58">
        <v>78.954999999999998</v>
      </c>
      <c r="EZ41" s="58">
        <v>69.399000000000001</v>
      </c>
      <c r="FA41" s="58">
        <v>1731.308</v>
      </c>
      <c r="FB41" s="58">
        <v>923.15200000000004</v>
      </c>
      <c r="FC41" s="58">
        <v>808.15599999999995</v>
      </c>
      <c r="FD41" s="58">
        <v>1160.057</v>
      </c>
      <c r="FE41" s="58">
        <v>765.28099999999995</v>
      </c>
      <c r="FF41" s="58">
        <v>394.77600000000001</v>
      </c>
      <c r="FG41" s="58">
        <v>571.25099999999998</v>
      </c>
      <c r="FH41" s="58">
        <v>157.87100000000001</v>
      </c>
      <c r="FI41" s="58">
        <v>413.38</v>
      </c>
      <c r="FJ41" s="58">
        <v>194.251</v>
      </c>
      <c r="FK41" s="58">
        <v>104.392</v>
      </c>
      <c r="FL41" s="58">
        <v>89.86</v>
      </c>
      <c r="FM41" s="58">
        <v>55.027000000000001</v>
      </c>
      <c r="FN41" s="58">
        <v>30.51</v>
      </c>
      <c r="FO41" s="58">
        <v>24.516999999999999</v>
      </c>
      <c r="FP41" s="58">
        <v>20.024000000000001</v>
      </c>
      <c r="FQ41" s="58">
        <v>14.698</v>
      </c>
      <c r="FR41" s="58">
        <v>5.3259999999999996</v>
      </c>
      <c r="FS41" s="58">
        <v>14.584</v>
      </c>
      <c r="FT41" s="58">
        <v>11.012</v>
      </c>
      <c r="FU41" s="58">
        <v>3.5720000000000001</v>
      </c>
      <c r="FV41" s="58">
        <v>5.4390000000000001</v>
      </c>
      <c r="FW41" s="58">
        <v>3.6859999999999999</v>
      </c>
      <c r="FX41" s="58">
        <v>1.7529999999999999</v>
      </c>
      <c r="FY41" s="58">
        <v>35.003</v>
      </c>
      <c r="FZ41" s="58">
        <v>15.811999999999999</v>
      </c>
      <c r="GA41" s="58">
        <v>19.190999999999999</v>
      </c>
      <c r="GB41" s="58">
        <v>158.37899999999999</v>
      </c>
      <c r="GC41" s="58">
        <v>85.153999999999996</v>
      </c>
      <c r="GD41" s="58">
        <v>73.224999999999994</v>
      </c>
      <c r="GE41" s="58">
        <v>53.75</v>
      </c>
      <c r="GF41" s="58">
        <v>40.08</v>
      </c>
      <c r="GG41" s="58">
        <v>13.67</v>
      </c>
      <c r="GH41" s="58">
        <v>104.629</v>
      </c>
      <c r="GI41" s="58">
        <v>45.073999999999998</v>
      </c>
      <c r="GJ41" s="58">
        <v>59.555</v>
      </c>
      <c r="GK41" s="58">
        <v>70.733000000000004</v>
      </c>
      <c r="GL41" s="58">
        <v>53.198999999999998</v>
      </c>
      <c r="GM41" s="58">
        <v>17.533999999999999</v>
      </c>
      <c r="GN41" s="58">
        <v>123.518</v>
      </c>
      <c r="GO41" s="58">
        <v>51.192</v>
      </c>
      <c r="GP41" s="58">
        <v>72.325999999999993</v>
      </c>
      <c r="GQ41" s="58">
        <v>119.214</v>
      </c>
      <c r="GR41" s="58">
        <v>56.087000000000003</v>
      </c>
      <c r="GS41" s="58">
        <v>63.127000000000002</v>
      </c>
      <c r="GT41" s="58">
        <v>441.13099999999997</v>
      </c>
      <c r="GU41" s="58">
        <v>270.94</v>
      </c>
      <c r="GV41" s="58">
        <v>170.191</v>
      </c>
      <c r="GW41" s="58">
        <v>197.27600000000001</v>
      </c>
      <c r="GX41" s="58">
        <v>147.20400000000001</v>
      </c>
      <c r="GY41" s="58">
        <v>50.073</v>
      </c>
      <c r="GZ41" s="58">
        <v>243.85499999999999</v>
      </c>
      <c r="HA41" s="58">
        <v>123.73699999999999</v>
      </c>
      <c r="HB41" s="58">
        <v>120.119</v>
      </c>
      <c r="HC41" s="58">
        <v>41.198999999999998</v>
      </c>
      <c r="HD41" s="58">
        <v>32.246000000000002</v>
      </c>
      <c r="HE41" s="58">
        <v>8.9540000000000006</v>
      </c>
      <c r="HF41" s="58">
        <v>21.13</v>
      </c>
      <c r="HG41" s="58">
        <v>17.620999999999999</v>
      </c>
      <c r="HH41" s="58">
        <v>3.5089999999999999</v>
      </c>
      <c r="HI41" s="58">
        <v>6.0460000000000003</v>
      </c>
      <c r="HJ41" s="58">
        <v>6.0460000000000003</v>
      </c>
      <c r="HK41" s="58">
        <v>0</v>
      </c>
      <c r="HL41" s="58">
        <v>4.1459999999999999</v>
      </c>
      <c r="HM41" s="58">
        <v>4.1459999999999999</v>
      </c>
      <c r="HN41" s="58">
        <v>0</v>
      </c>
      <c r="HO41" s="58">
        <v>1.9</v>
      </c>
      <c r="HP41" s="58">
        <v>1.9</v>
      </c>
      <c r="HQ41" s="58">
        <v>0</v>
      </c>
      <c r="HR41" s="58">
        <v>15.084</v>
      </c>
      <c r="HS41" s="58">
        <v>11.574999999999999</v>
      </c>
      <c r="HT41" s="58">
        <v>3.5089999999999999</v>
      </c>
      <c r="HU41" s="58">
        <v>27.285</v>
      </c>
      <c r="HV41" s="58">
        <v>20.925999999999998</v>
      </c>
      <c r="HW41" s="58">
        <v>6.359</v>
      </c>
      <c r="HX41" s="58">
        <v>2.29</v>
      </c>
      <c r="HY41" s="58">
        <v>2.2029999999999998</v>
      </c>
      <c r="HZ41" s="58">
        <v>8.6999999999999994E-2</v>
      </c>
      <c r="IA41" s="58">
        <v>24.994</v>
      </c>
      <c r="IB41" s="58">
        <v>18.722000000000001</v>
      </c>
      <c r="IC41" s="58">
        <v>6.2720000000000002</v>
      </c>
      <c r="ID41" s="58">
        <v>7.7690000000000001</v>
      </c>
      <c r="IE41" s="58">
        <v>7.6820000000000004</v>
      </c>
      <c r="IF41" s="58">
        <v>8.6999999999999994E-2</v>
      </c>
      <c r="IG41" s="58">
        <v>33.43</v>
      </c>
      <c r="IH41" s="58">
        <v>24.562999999999999</v>
      </c>
      <c r="II41" s="58">
        <v>8.8670000000000009</v>
      </c>
      <c r="IJ41" s="58">
        <v>29.14</v>
      </c>
      <c r="IK41" s="58">
        <v>22.867999999999999</v>
      </c>
      <c r="IL41" s="58">
        <v>6.2720000000000002</v>
      </c>
      <c r="IM41" s="58">
        <v>3746.317</v>
      </c>
      <c r="IN41" s="58">
        <v>2010.037</v>
      </c>
      <c r="IO41" s="58">
        <v>1736.279</v>
      </c>
      <c r="IP41" s="58">
        <v>2607.1979999999999</v>
      </c>
      <c r="IQ41" s="58">
        <v>1653.327</v>
      </c>
    </row>
    <row r="42" spans="1:251">
      <c r="A42" s="5">
        <v>42767</v>
      </c>
      <c r="B42" s="58">
        <v>12.170999999999999</v>
      </c>
      <c r="C42" s="58">
        <v>19.093</v>
      </c>
      <c r="D42" s="58">
        <v>386.84500000000003</v>
      </c>
      <c r="E42" s="58">
        <v>221.679</v>
      </c>
      <c r="F42" s="58">
        <v>165.166</v>
      </c>
      <c r="G42" s="58">
        <v>183.35599999999999</v>
      </c>
      <c r="H42" s="58">
        <v>138.29300000000001</v>
      </c>
      <c r="I42" s="58">
        <v>45.064</v>
      </c>
      <c r="J42" s="58">
        <v>203.488</v>
      </c>
      <c r="K42" s="58">
        <v>83.385999999999996</v>
      </c>
      <c r="L42" s="58">
        <v>120.102</v>
      </c>
      <c r="M42" s="58">
        <v>215.524</v>
      </c>
      <c r="N42" s="58">
        <v>158.345</v>
      </c>
      <c r="O42" s="58">
        <v>57.179000000000002</v>
      </c>
      <c r="P42" s="58">
        <v>210.851</v>
      </c>
      <c r="Q42" s="58">
        <v>85.492999999999995</v>
      </c>
      <c r="R42" s="58">
        <v>125.358</v>
      </c>
      <c r="S42" s="58">
        <v>223.46600000000001</v>
      </c>
      <c r="T42" s="58">
        <v>96.984999999999999</v>
      </c>
      <c r="U42" s="58">
        <v>126.48099999999999</v>
      </c>
      <c r="V42" s="58">
        <v>2617.5619999999999</v>
      </c>
      <c r="W42" s="58">
        <v>1429.835</v>
      </c>
      <c r="X42" s="58">
        <v>1187.7270000000001</v>
      </c>
      <c r="Y42" s="58">
        <v>1943.145</v>
      </c>
      <c r="Z42" s="58">
        <v>1303.3699999999999</v>
      </c>
      <c r="AA42" s="58">
        <v>639.774</v>
      </c>
      <c r="AB42" s="58">
        <v>674.41700000000003</v>
      </c>
      <c r="AC42" s="58">
        <v>126.465</v>
      </c>
      <c r="AD42" s="58">
        <v>547.952</v>
      </c>
      <c r="AE42" s="58">
        <v>351.80599999999998</v>
      </c>
      <c r="AF42" s="58">
        <v>180.483</v>
      </c>
      <c r="AG42" s="58">
        <v>171.322</v>
      </c>
      <c r="AH42" s="58">
        <v>62.584000000000003</v>
      </c>
      <c r="AI42" s="58">
        <v>32.954000000000001</v>
      </c>
      <c r="AJ42" s="58">
        <v>29.63</v>
      </c>
      <c r="AK42" s="58">
        <v>31.637</v>
      </c>
      <c r="AL42" s="58">
        <v>23.289000000000001</v>
      </c>
      <c r="AM42" s="58">
        <v>8.3480000000000008</v>
      </c>
      <c r="AN42" s="58">
        <v>14.278</v>
      </c>
      <c r="AO42" s="58">
        <v>9.9689999999999994</v>
      </c>
      <c r="AP42" s="58">
        <v>4.3090000000000002</v>
      </c>
      <c r="AQ42" s="58">
        <v>17.359000000000002</v>
      </c>
      <c r="AR42" s="58">
        <v>13.32</v>
      </c>
      <c r="AS42" s="58">
        <v>4.0389999999999997</v>
      </c>
      <c r="AT42" s="58">
        <v>30.946999999999999</v>
      </c>
      <c r="AU42" s="58">
        <v>9.6649999999999991</v>
      </c>
      <c r="AV42" s="58">
        <v>21.282</v>
      </c>
      <c r="AW42" s="58">
        <v>316.46699999999998</v>
      </c>
      <c r="AX42" s="58">
        <v>160.35300000000001</v>
      </c>
      <c r="AY42" s="58">
        <v>156.114</v>
      </c>
      <c r="AZ42" s="58">
        <v>145.25700000000001</v>
      </c>
      <c r="BA42" s="58">
        <v>108.395</v>
      </c>
      <c r="BB42" s="58">
        <v>36.863</v>
      </c>
      <c r="BC42" s="58">
        <v>171.21</v>
      </c>
      <c r="BD42" s="58">
        <v>51.959000000000003</v>
      </c>
      <c r="BE42" s="58">
        <v>119.251</v>
      </c>
      <c r="BF42" s="58">
        <v>168.233</v>
      </c>
      <c r="BG42" s="58">
        <v>125.354</v>
      </c>
      <c r="BH42" s="58">
        <v>42.878999999999998</v>
      </c>
      <c r="BI42" s="58">
        <v>183.57300000000001</v>
      </c>
      <c r="BJ42" s="58">
        <v>55.128999999999998</v>
      </c>
      <c r="BK42" s="58">
        <v>128.44399999999999</v>
      </c>
      <c r="BL42" s="58">
        <v>185.488</v>
      </c>
      <c r="BM42" s="58">
        <v>61.927999999999997</v>
      </c>
      <c r="BN42" s="58">
        <v>123.56</v>
      </c>
      <c r="BO42" s="58">
        <v>2533.2269999999999</v>
      </c>
      <c r="BP42" s="58">
        <v>1317.221</v>
      </c>
      <c r="BQ42" s="58">
        <v>1216.0070000000001</v>
      </c>
      <c r="BR42" s="58">
        <v>1872.373</v>
      </c>
      <c r="BS42" s="58">
        <v>1183.2539999999999</v>
      </c>
      <c r="BT42" s="58">
        <v>689.11900000000003</v>
      </c>
      <c r="BU42" s="58">
        <v>660.85400000000004</v>
      </c>
      <c r="BV42" s="58">
        <v>133.96700000000001</v>
      </c>
      <c r="BW42" s="58">
        <v>526.88699999999994</v>
      </c>
      <c r="BX42" s="58">
        <v>317.89600000000002</v>
      </c>
      <c r="BY42" s="58">
        <v>157.04599999999999</v>
      </c>
      <c r="BZ42" s="58">
        <v>160.851</v>
      </c>
      <c r="CA42" s="58">
        <v>73.646000000000001</v>
      </c>
      <c r="CB42" s="58">
        <v>43.116</v>
      </c>
      <c r="CC42" s="58">
        <v>30.53</v>
      </c>
      <c r="CD42" s="58">
        <v>37.136000000000003</v>
      </c>
      <c r="CE42" s="58">
        <v>27.032</v>
      </c>
      <c r="CF42" s="58">
        <v>10.103999999999999</v>
      </c>
      <c r="CG42" s="58">
        <v>20.498000000000001</v>
      </c>
      <c r="CH42" s="58">
        <v>14.337</v>
      </c>
      <c r="CI42" s="58">
        <v>6.1609999999999996</v>
      </c>
      <c r="CJ42" s="58">
        <v>16.638000000000002</v>
      </c>
      <c r="CK42" s="58">
        <v>12.695</v>
      </c>
      <c r="CL42" s="58">
        <v>3.9420000000000002</v>
      </c>
      <c r="CM42" s="58">
        <v>36.51</v>
      </c>
      <c r="CN42" s="58">
        <v>16.084</v>
      </c>
      <c r="CO42" s="58">
        <v>20.425999999999998</v>
      </c>
      <c r="CP42" s="58">
        <v>275.55399999999997</v>
      </c>
      <c r="CQ42" s="58">
        <v>132.495</v>
      </c>
      <c r="CR42" s="58">
        <v>143.05799999999999</v>
      </c>
      <c r="CS42" s="58">
        <v>105.42400000000001</v>
      </c>
      <c r="CT42" s="58">
        <v>79.822999999999993</v>
      </c>
      <c r="CU42" s="58">
        <v>25.600999999999999</v>
      </c>
      <c r="CV42" s="58">
        <v>170.13</v>
      </c>
      <c r="CW42" s="58">
        <v>52.671999999999997</v>
      </c>
      <c r="CX42" s="58">
        <v>117.458</v>
      </c>
      <c r="CY42" s="58">
        <v>134.232</v>
      </c>
      <c r="CZ42" s="58">
        <v>101.69499999999999</v>
      </c>
      <c r="DA42" s="58">
        <v>32.536999999999999</v>
      </c>
      <c r="DB42" s="58">
        <v>183.66399999999999</v>
      </c>
      <c r="DC42" s="58">
        <v>55.35</v>
      </c>
      <c r="DD42" s="58">
        <v>128.31399999999999</v>
      </c>
      <c r="DE42" s="58">
        <v>190.62799999999999</v>
      </c>
      <c r="DF42" s="58">
        <v>67.009</v>
      </c>
      <c r="DG42" s="58">
        <v>123.619</v>
      </c>
      <c r="DH42" s="58">
        <v>2233.3359999999998</v>
      </c>
      <c r="DI42" s="58">
        <v>1225.567</v>
      </c>
      <c r="DJ42" s="58">
        <v>1007.77</v>
      </c>
      <c r="DK42" s="58">
        <v>1398.518</v>
      </c>
      <c r="DL42" s="58">
        <v>934.09299999999996</v>
      </c>
      <c r="DM42" s="58">
        <v>464.42399999999998</v>
      </c>
      <c r="DN42" s="58">
        <v>834.81899999999996</v>
      </c>
      <c r="DO42" s="58">
        <v>291.47300000000001</v>
      </c>
      <c r="DP42" s="58">
        <v>543.34500000000003</v>
      </c>
      <c r="DQ42" s="58">
        <v>232.81700000000001</v>
      </c>
      <c r="DR42" s="58">
        <v>130.864</v>
      </c>
      <c r="DS42" s="58">
        <v>101.953</v>
      </c>
      <c r="DT42" s="58">
        <v>82.335999999999999</v>
      </c>
      <c r="DU42" s="58">
        <v>47.439</v>
      </c>
      <c r="DV42" s="58">
        <v>34.896000000000001</v>
      </c>
      <c r="DW42" s="58">
        <v>29.513999999999999</v>
      </c>
      <c r="DX42" s="58">
        <v>23.79</v>
      </c>
      <c r="DY42" s="58">
        <v>5.7240000000000002</v>
      </c>
      <c r="DZ42" s="58">
        <v>16.63</v>
      </c>
      <c r="EA42" s="58">
        <v>12.173</v>
      </c>
      <c r="EB42" s="58">
        <v>4.4569999999999999</v>
      </c>
      <c r="EC42" s="58">
        <v>12.885</v>
      </c>
      <c r="ED42" s="58">
        <v>11.617000000000001</v>
      </c>
      <c r="EE42" s="58">
        <v>1.2669999999999999</v>
      </c>
      <c r="EF42" s="58">
        <v>52.820999999999998</v>
      </c>
      <c r="EG42" s="58">
        <v>23.649000000000001</v>
      </c>
      <c r="EH42" s="58">
        <v>29.172000000000001</v>
      </c>
      <c r="EI42" s="58">
        <v>178.369</v>
      </c>
      <c r="EJ42" s="58">
        <v>98.772000000000006</v>
      </c>
      <c r="EK42" s="58">
        <v>79.597999999999999</v>
      </c>
      <c r="EL42" s="58">
        <v>54.926000000000002</v>
      </c>
      <c r="EM42" s="58">
        <v>43.393000000000001</v>
      </c>
      <c r="EN42" s="58">
        <v>11.532</v>
      </c>
      <c r="EO42" s="58">
        <v>123.444</v>
      </c>
      <c r="EP42" s="58">
        <v>55.378</v>
      </c>
      <c r="EQ42" s="58">
        <v>68.064999999999998</v>
      </c>
      <c r="ER42" s="58">
        <v>78.457999999999998</v>
      </c>
      <c r="ES42" s="58">
        <v>62.470999999999997</v>
      </c>
      <c r="ET42" s="58">
        <v>15.987</v>
      </c>
      <c r="EU42" s="58">
        <v>154.35900000000001</v>
      </c>
      <c r="EV42" s="58">
        <v>68.393000000000001</v>
      </c>
      <c r="EW42" s="58">
        <v>85.965999999999994</v>
      </c>
      <c r="EX42" s="58">
        <v>140.07300000000001</v>
      </c>
      <c r="EY42" s="58">
        <v>67.551000000000002</v>
      </c>
      <c r="EZ42" s="58">
        <v>72.522000000000006</v>
      </c>
      <c r="FA42" s="58">
        <v>1765.48</v>
      </c>
      <c r="FB42" s="58">
        <v>944.15700000000004</v>
      </c>
      <c r="FC42" s="58">
        <v>821.32299999999998</v>
      </c>
      <c r="FD42" s="58">
        <v>1195.3589999999999</v>
      </c>
      <c r="FE42" s="58">
        <v>781.67</v>
      </c>
      <c r="FF42" s="58">
        <v>413.69</v>
      </c>
      <c r="FG42" s="58">
        <v>570.12099999999998</v>
      </c>
      <c r="FH42" s="58">
        <v>162.48699999999999</v>
      </c>
      <c r="FI42" s="58">
        <v>407.63299999999998</v>
      </c>
      <c r="FJ42" s="58">
        <v>192.83099999999999</v>
      </c>
      <c r="FK42" s="58">
        <v>104.09399999999999</v>
      </c>
      <c r="FL42" s="58">
        <v>88.736999999999995</v>
      </c>
      <c r="FM42" s="58">
        <v>60.006999999999998</v>
      </c>
      <c r="FN42" s="58">
        <v>32.597000000000001</v>
      </c>
      <c r="FO42" s="58">
        <v>27.408999999999999</v>
      </c>
      <c r="FP42" s="58">
        <v>24.143000000000001</v>
      </c>
      <c r="FQ42" s="58">
        <v>19.193000000000001</v>
      </c>
      <c r="FR42" s="58">
        <v>4.95</v>
      </c>
      <c r="FS42" s="58">
        <v>14.515000000000001</v>
      </c>
      <c r="FT42" s="58">
        <v>10.430999999999999</v>
      </c>
      <c r="FU42" s="58">
        <v>4.0839999999999996</v>
      </c>
      <c r="FV42" s="58">
        <v>9.6280000000000001</v>
      </c>
      <c r="FW42" s="58">
        <v>8.7620000000000005</v>
      </c>
      <c r="FX42" s="58">
        <v>0.86599999999999999</v>
      </c>
      <c r="FY42" s="58">
        <v>35.863999999999997</v>
      </c>
      <c r="FZ42" s="58">
        <v>13.404</v>
      </c>
      <c r="GA42" s="58">
        <v>22.46</v>
      </c>
      <c r="GB42" s="58">
        <v>156.02799999999999</v>
      </c>
      <c r="GC42" s="58">
        <v>83.84</v>
      </c>
      <c r="GD42" s="58">
        <v>72.188000000000002</v>
      </c>
      <c r="GE42" s="58">
        <v>52.110999999999997</v>
      </c>
      <c r="GF42" s="58">
        <v>40.662999999999997</v>
      </c>
      <c r="GG42" s="58">
        <v>11.448</v>
      </c>
      <c r="GH42" s="58">
        <v>103.91800000000001</v>
      </c>
      <c r="GI42" s="58">
        <v>43.177999999999997</v>
      </c>
      <c r="GJ42" s="58">
        <v>60.74</v>
      </c>
      <c r="GK42" s="58">
        <v>70.759</v>
      </c>
      <c r="GL42" s="58">
        <v>55.631</v>
      </c>
      <c r="GM42" s="58">
        <v>15.128</v>
      </c>
      <c r="GN42" s="58">
        <v>122.072</v>
      </c>
      <c r="GO42" s="58">
        <v>48.463000000000001</v>
      </c>
      <c r="GP42" s="58">
        <v>73.608999999999995</v>
      </c>
      <c r="GQ42" s="58">
        <v>118.43300000000001</v>
      </c>
      <c r="GR42" s="58">
        <v>53.609000000000002</v>
      </c>
      <c r="GS42" s="58">
        <v>64.823999999999998</v>
      </c>
      <c r="GT42" s="58">
        <v>467.85599999999999</v>
      </c>
      <c r="GU42" s="58">
        <v>281.41000000000003</v>
      </c>
      <c r="GV42" s="58">
        <v>186.447</v>
      </c>
      <c r="GW42" s="58">
        <v>203.15799999999999</v>
      </c>
      <c r="GX42" s="58">
        <v>152.423</v>
      </c>
      <c r="GY42" s="58">
        <v>50.734999999999999</v>
      </c>
      <c r="GZ42" s="58">
        <v>264.69799999999998</v>
      </c>
      <c r="HA42" s="58">
        <v>128.98599999999999</v>
      </c>
      <c r="HB42" s="58">
        <v>135.71199999999999</v>
      </c>
      <c r="HC42" s="58">
        <v>39.985999999999997</v>
      </c>
      <c r="HD42" s="58">
        <v>26.77</v>
      </c>
      <c r="HE42" s="58">
        <v>13.215999999999999</v>
      </c>
      <c r="HF42" s="58">
        <v>22.329000000000001</v>
      </c>
      <c r="HG42" s="58">
        <v>14.842000000000001</v>
      </c>
      <c r="HH42" s="58">
        <v>7.4870000000000001</v>
      </c>
      <c r="HI42" s="58">
        <v>5.3710000000000004</v>
      </c>
      <c r="HJ42" s="58">
        <v>4.5970000000000004</v>
      </c>
      <c r="HK42" s="58">
        <v>0.77400000000000002</v>
      </c>
      <c r="HL42" s="58">
        <v>2.1139999999999999</v>
      </c>
      <c r="HM42" s="58">
        <v>1.7410000000000001</v>
      </c>
      <c r="HN42" s="58">
        <v>0.373</v>
      </c>
      <c r="HO42" s="58">
        <v>3.2570000000000001</v>
      </c>
      <c r="HP42" s="58">
        <v>2.855</v>
      </c>
      <c r="HQ42" s="58">
        <v>0.40100000000000002</v>
      </c>
      <c r="HR42" s="58">
        <v>16.957000000000001</v>
      </c>
      <c r="HS42" s="58">
        <v>10.244999999999999</v>
      </c>
      <c r="HT42" s="58">
        <v>6.7119999999999997</v>
      </c>
      <c r="HU42" s="58">
        <v>22.341000000000001</v>
      </c>
      <c r="HV42" s="58">
        <v>14.930999999999999</v>
      </c>
      <c r="HW42" s="58">
        <v>7.41</v>
      </c>
      <c r="HX42" s="58">
        <v>2.8149999999999999</v>
      </c>
      <c r="HY42" s="58">
        <v>2.73</v>
      </c>
      <c r="HZ42" s="58">
        <v>8.5000000000000006E-2</v>
      </c>
      <c r="IA42" s="58">
        <v>19.526</v>
      </c>
      <c r="IB42" s="58">
        <v>12.201000000000001</v>
      </c>
      <c r="IC42" s="58">
        <v>7.3250000000000002</v>
      </c>
      <c r="ID42" s="58">
        <v>7.6989999999999998</v>
      </c>
      <c r="IE42" s="58">
        <v>6.84</v>
      </c>
      <c r="IF42" s="58">
        <v>0.85899999999999999</v>
      </c>
      <c r="IG42" s="58">
        <v>32.286999999999999</v>
      </c>
      <c r="IH42" s="58">
        <v>19.93</v>
      </c>
      <c r="II42" s="58">
        <v>12.356999999999999</v>
      </c>
      <c r="IJ42" s="58">
        <v>21.64</v>
      </c>
      <c r="IK42" s="58">
        <v>13.942</v>
      </c>
      <c r="IL42" s="58">
        <v>7.6980000000000004</v>
      </c>
      <c r="IM42" s="58">
        <v>3812.643</v>
      </c>
      <c r="IN42" s="58">
        <v>2052.8029999999999</v>
      </c>
      <c r="IO42" s="58">
        <v>1759.84</v>
      </c>
      <c r="IP42" s="58">
        <v>2670.8719999999998</v>
      </c>
      <c r="IQ42" s="58">
        <v>1692.5060000000001</v>
      </c>
    </row>
    <row r="43" spans="1:251">
      <c r="A43" s="5">
        <v>42795</v>
      </c>
      <c r="B43" s="58">
        <v>13.148</v>
      </c>
      <c r="C43" s="58">
        <v>23.213999999999999</v>
      </c>
      <c r="D43" s="58">
        <v>376.26299999999998</v>
      </c>
      <c r="E43" s="58">
        <v>224.262</v>
      </c>
      <c r="F43" s="58">
        <v>152.001</v>
      </c>
      <c r="G43" s="58">
        <v>181.47800000000001</v>
      </c>
      <c r="H43" s="58">
        <v>146.66</v>
      </c>
      <c r="I43" s="58">
        <v>34.817</v>
      </c>
      <c r="J43" s="58">
        <v>194.785</v>
      </c>
      <c r="K43" s="58">
        <v>77.602000000000004</v>
      </c>
      <c r="L43" s="58">
        <v>117.184</v>
      </c>
      <c r="M43" s="58">
        <v>198.06</v>
      </c>
      <c r="N43" s="58">
        <v>158.76300000000001</v>
      </c>
      <c r="O43" s="58">
        <v>39.296999999999997</v>
      </c>
      <c r="P43" s="58">
        <v>210.73400000000001</v>
      </c>
      <c r="Q43" s="58">
        <v>81.870999999999995</v>
      </c>
      <c r="R43" s="58">
        <v>128.863</v>
      </c>
      <c r="S43" s="58">
        <v>212.82599999999999</v>
      </c>
      <c r="T43" s="58">
        <v>92.462999999999994</v>
      </c>
      <c r="U43" s="58">
        <v>120.363</v>
      </c>
      <c r="V43" s="58">
        <v>2622.5839999999998</v>
      </c>
      <c r="W43" s="58">
        <v>1425.6410000000001</v>
      </c>
      <c r="X43" s="58">
        <v>1196.943</v>
      </c>
      <c r="Y43" s="58">
        <v>1934.0239999999999</v>
      </c>
      <c r="Z43" s="58">
        <v>1297.7940000000001</v>
      </c>
      <c r="AA43" s="58">
        <v>636.23</v>
      </c>
      <c r="AB43" s="58">
        <v>688.56</v>
      </c>
      <c r="AC43" s="58">
        <v>127.846</v>
      </c>
      <c r="AD43" s="58">
        <v>560.71299999999997</v>
      </c>
      <c r="AE43" s="58">
        <v>353.495</v>
      </c>
      <c r="AF43" s="58">
        <v>179.863</v>
      </c>
      <c r="AG43" s="58">
        <v>173.63300000000001</v>
      </c>
      <c r="AH43" s="58">
        <v>69.185000000000002</v>
      </c>
      <c r="AI43" s="58">
        <v>39.146999999999998</v>
      </c>
      <c r="AJ43" s="58">
        <v>30.038</v>
      </c>
      <c r="AK43" s="58">
        <v>31.87</v>
      </c>
      <c r="AL43" s="58">
        <v>26.873999999999999</v>
      </c>
      <c r="AM43" s="58">
        <v>4.9960000000000004</v>
      </c>
      <c r="AN43" s="58">
        <v>15.302</v>
      </c>
      <c r="AO43" s="58">
        <v>12.162000000000001</v>
      </c>
      <c r="AP43" s="58">
        <v>3.1389999999999998</v>
      </c>
      <c r="AQ43" s="58">
        <v>16.568000000000001</v>
      </c>
      <c r="AR43" s="58">
        <v>14.712</v>
      </c>
      <c r="AS43" s="58">
        <v>1.857</v>
      </c>
      <c r="AT43" s="58">
        <v>37.314999999999998</v>
      </c>
      <c r="AU43" s="58">
        <v>12.273</v>
      </c>
      <c r="AV43" s="58">
        <v>25.042000000000002</v>
      </c>
      <c r="AW43" s="58">
        <v>315.97000000000003</v>
      </c>
      <c r="AX43" s="58">
        <v>157.30199999999999</v>
      </c>
      <c r="AY43" s="58">
        <v>158.66800000000001</v>
      </c>
      <c r="AZ43" s="58">
        <v>138.14599999999999</v>
      </c>
      <c r="BA43" s="58">
        <v>105.523</v>
      </c>
      <c r="BB43" s="58">
        <v>32.622999999999998</v>
      </c>
      <c r="BC43" s="58">
        <v>177.82400000000001</v>
      </c>
      <c r="BD43" s="58">
        <v>51.779000000000003</v>
      </c>
      <c r="BE43" s="58">
        <v>126.045</v>
      </c>
      <c r="BF43" s="58">
        <v>161.334</v>
      </c>
      <c r="BG43" s="58">
        <v>124.846</v>
      </c>
      <c r="BH43" s="58">
        <v>36.488</v>
      </c>
      <c r="BI43" s="58">
        <v>192.161</v>
      </c>
      <c r="BJ43" s="58">
        <v>55.017000000000003</v>
      </c>
      <c r="BK43" s="58">
        <v>137.14500000000001</v>
      </c>
      <c r="BL43" s="58">
        <v>193.125</v>
      </c>
      <c r="BM43" s="58">
        <v>63.941000000000003</v>
      </c>
      <c r="BN43" s="58">
        <v>129.184</v>
      </c>
      <c r="BO43" s="58">
        <v>2536.8380000000002</v>
      </c>
      <c r="BP43" s="58">
        <v>1307.933</v>
      </c>
      <c r="BQ43" s="58">
        <v>1228.905</v>
      </c>
      <c r="BR43" s="58">
        <v>1876.4839999999999</v>
      </c>
      <c r="BS43" s="58">
        <v>1171.6769999999999</v>
      </c>
      <c r="BT43" s="58">
        <v>704.80700000000002</v>
      </c>
      <c r="BU43" s="58">
        <v>660.35400000000004</v>
      </c>
      <c r="BV43" s="58">
        <v>136.256</v>
      </c>
      <c r="BW43" s="58">
        <v>524.09799999999996</v>
      </c>
      <c r="BX43" s="58">
        <v>308.47699999999998</v>
      </c>
      <c r="BY43" s="58">
        <v>149.089</v>
      </c>
      <c r="BZ43" s="58">
        <v>159.38900000000001</v>
      </c>
      <c r="CA43" s="58">
        <v>74.013000000000005</v>
      </c>
      <c r="CB43" s="58">
        <v>42.548999999999999</v>
      </c>
      <c r="CC43" s="58">
        <v>31.463999999999999</v>
      </c>
      <c r="CD43" s="58">
        <v>33.878999999999998</v>
      </c>
      <c r="CE43" s="58">
        <v>27.173999999999999</v>
      </c>
      <c r="CF43" s="58">
        <v>6.7050000000000001</v>
      </c>
      <c r="CG43" s="58">
        <v>20.376999999999999</v>
      </c>
      <c r="CH43" s="58">
        <v>15.513</v>
      </c>
      <c r="CI43" s="58">
        <v>4.8639999999999999</v>
      </c>
      <c r="CJ43" s="58">
        <v>13.502000000000001</v>
      </c>
      <c r="CK43" s="58">
        <v>11.661</v>
      </c>
      <c r="CL43" s="58">
        <v>1.841</v>
      </c>
      <c r="CM43" s="58">
        <v>40.134</v>
      </c>
      <c r="CN43" s="58">
        <v>15.375</v>
      </c>
      <c r="CO43" s="58">
        <v>24.759</v>
      </c>
      <c r="CP43" s="58">
        <v>263.43400000000003</v>
      </c>
      <c r="CQ43" s="58">
        <v>123.489</v>
      </c>
      <c r="CR43" s="58">
        <v>139.94499999999999</v>
      </c>
      <c r="CS43" s="58">
        <v>101.001</v>
      </c>
      <c r="CT43" s="58">
        <v>71.887</v>
      </c>
      <c r="CU43" s="58">
        <v>29.114000000000001</v>
      </c>
      <c r="CV43" s="58">
        <v>162.43199999999999</v>
      </c>
      <c r="CW43" s="58">
        <v>51.601999999999997</v>
      </c>
      <c r="CX43" s="58">
        <v>110.831</v>
      </c>
      <c r="CY43" s="58">
        <v>126.601</v>
      </c>
      <c r="CZ43" s="58">
        <v>92.432000000000002</v>
      </c>
      <c r="DA43" s="58">
        <v>34.168999999999997</v>
      </c>
      <c r="DB43" s="58">
        <v>181.876</v>
      </c>
      <c r="DC43" s="58">
        <v>56.656999999999996</v>
      </c>
      <c r="DD43" s="58">
        <v>125.22</v>
      </c>
      <c r="DE43" s="58">
        <v>182.809</v>
      </c>
      <c r="DF43" s="58">
        <v>67.114999999999995</v>
      </c>
      <c r="DG43" s="58">
        <v>115.69499999999999</v>
      </c>
      <c r="DH43" s="58">
        <v>2246.5720000000001</v>
      </c>
      <c r="DI43" s="58">
        <v>1227.827</v>
      </c>
      <c r="DJ43" s="58">
        <v>1018.745</v>
      </c>
      <c r="DK43" s="58">
        <v>1387.9469999999999</v>
      </c>
      <c r="DL43" s="58">
        <v>921.91200000000003</v>
      </c>
      <c r="DM43" s="58">
        <v>466.036</v>
      </c>
      <c r="DN43" s="58">
        <v>858.625</v>
      </c>
      <c r="DO43" s="58">
        <v>305.916</v>
      </c>
      <c r="DP43" s="58">
        <v>552.70899999999995</v>
      </c>
      <c r="DQ43" s="58">
        <v>245.23400000000001</v>
      </c>
      <c r="DR43" s="58">
        <v>138.46</v>
      </c>
      <c r="DS43" s="58">
        <v>106.774</v>
      </c>
      <c r="DT43" s="58">
        <v>77.516999999999996</v>
      </c>
      <c r="DU43" s="58">
        <v>52.558999999999997</v>
      </c>
      <c r="DV43" s="58">
        <v>24.957000000000001</v>
      </c>
      <c r="DW43" s="58">
        <v>21.933</v>
      </c>
      <c r="DX43" s="58">
        <v>18.899000000000001</v>
      </c>
      <c r="DY43" s="58">
        <v>3.0339999999999998</v>
      </c>
      <c r="DZ43" s="58">
        <v>10.840999999999999</v>
      </c>
      <c r="EA43" s="58">
        <v>9.1310000000000002</v>
      </c>
      <c r="EB43" s="58">
        <v>1.71</v>
      </c>
      <c r="EC43" s="58">
        <v>11.092000000000001</v>
      </c>
      <c r="ED43" s="58">
        <v>9.7680000000000007</v>
      </c>
      <c r="EE43" s="58">
        <v>1.3240000000000001</v>
      </c>
      <c r="EF43" s="58">
        <v>55.584000000000003</v>
      </c>
      <c r="EG43" s="58">
        <v>33.659999999999997</v>
      </c>
      <c r="EH43" s="58">
        <v>21.923999999999999</v>
      </c>
      <c r="EI43" s="58">
        <v>192.10900000000001</v>
      </c>
      <c r="EJ43" s="58">
        <v>103.169</v>
      </c>
      <c r="EK43" s="58">
        <v>88.94</v>
      </c>
      <c r="EL43" s="58">
        <v>53.813000000000002</v>
      </c>
      <c r="EM43" s="58">
        <v>40.420999999999999</v>
      </c>
      <c r="EN43" s="58">
        <v>13.391999999999999</v>
      </c>
      <c r="EO43" s="58">
        <v>138.29499999999999</v>
      </c>
      <c r="EP43" s="58">
        <v>62.747999999999998</v>
      </c>
      <c r="EQ43" s="58">
        <v>75.548000000000002</v>
      </c>
      <c r="ER43" s="58">
        <v>71.093999999999994</v>
      </c>
      <c r="ES43" s="58">
        <v>55.037999999999997</v>
      </c>
      <c r="ET43" s="58">
        <v>16.056000000000001</v>
      </c>
      <c r="EU43" s="58">
        <v>174.13900000000001</v>
      </c>
      <c r="EV43" s="58">
        <v>83.421999999999997</v>
      </c>
      <c r="EW43" s="58">
        <v>90.716999999999999</v>
      </c>
      <c r="EX43" s="58">
        <v>149.137</v>
      </c>
      <c r="EY43" s="58">
        <v>71.879000000000005</v>
      </c>
      <c r="EZ43" s="58">
        <v>77.257000000000005</v>
      </c>
      <c r="FA43" s="58">
        <v>1780.3430000000001</v>
      </c>
      <c r="FB43" s="58">
        <v>948.55700000000002</v>
      </c>
      <c r="FC43" s="58">
        <v>831.78599999999994</v>
      </c>
      <c r="FD43" s="58">
        <v>1190.2159999999999</v>
      </c>
      <c r="FE43" s="58">
        <v>776.13</v>
      </c>
      <c r="FF43" s="58">
        <v>414.08600000000001</v>
      </c>
      <c r="FG43" s="58">
        <v>590.12599999999998</v>
      </c>
      <c r="FH43" s="58">
        <v>172.42599999999999</v>
      </c>
      <c r="FI43" s="58">
        <v>417.7</v>
      </c>
      <c r="FJ43" s="58">
        <v>204.93700000000001</v>
      </c>
      <c r="FK43" s="58">
        <v>108.086</v>
      </c>
      <c r="FL43" s="58">
        <v>96.850999999999999</v>
      </c>
      <c r="FM43" s="58">
        <v>54.658999999999999</v>
      </c>
      <c r="FN43" s="58">
        <v>33.661000000000001</v>
      </c>
      <c r="FO43" s="58">
        <v>20.998000000000001</v>
      </c>
      <c r="FP43" s="58">
        <v>19.067</v>
      </c>
      <c r="FQ43" s="58">
        <v>16.033999999999999</v>
      </c>
      <c r="FR43" s="58">
        <v>3.0339999999999998</v>
      </c>
      <c r="FS43" s="58">
        <v>9.5909999999999993</v>
      </c>
      <c r="FT43" s="58">
        <v>7.8819999999999997</v>
      </c>
      <c r="FU43" s="58">
        <v>1.71</v>
      </c>
      <c r="FV43" s="58">
        <v>9.4760000000000009</v>
      </c>
      <c r="FW43" s="58">
        <v>8.1519999999999992</v>
      </c>
      <c r="FX43" s="58">
        <v>1.3240000000000001</v>
      </c>
      <c r="FY43" s="58">
        <v>35.591000000000001</v>
      </c>
      <c r="FZ43" s="58">
        <v>17.626999999999999</v>
      </c>
      <c r="GA43" s="58">
        <v>17.963999999999999</v>
      </c>
      <c r="GB43" s="58">
        <v>167.934</v>
      </c>
      <c r="GC43" s="58">
        <v>86.587999999999994</v>
      </c>
      <c r="GD43" s="58">
        <v>81.346000000000004</v>
      </c>
      <c r="GE43" s="58">
        <v>50.475999999999999</v>
      </c>
      <c r="GF43" s="58">
        <v>37.543999999999997</v>
      </c>
      <c r="GG43" s="58">
        <v>12.932</v>
      </c>
      <c r="GH43" s="58">
        <v>117.458</v>
      </c>
      <c r="GI43" s="58">
        <v>49.043999999999997</v>
      </c>
      <c r="GJ43" s="58">
        <v>68.414000000000001</v>
      </c>
      <c r="GK43" s="58">
        <v>65.349000000000004</v>
      </c>
      <c r="GL43" s="58">
        <v>49.752000000000002</v>
      </c>
      <c r="GM43" s="58">
        <v>15.596</v>
      </c>
      <c r="GN43" s="58">
        <v>139.58799999999999</v>
      </c>
      <c r="GO43" s="58">
        <v>58.332999999999998</v>
      </c>
      <c r="GP43" s="58">
        <v>81.254000000000005</v>
      </c>
      <c r="GQ43" s="58">
        <v>127.05</v>
      </c>
      <c r="GR43" s="58">
        <v>56.926000000000002</v>
      </c>
      <c r="GS43" s="58">
        <v>70.123000000000005</v>
      </c>
      <c r="GT43" s="58">
        <v>466.23</v>
      </c>
      <c r="GU43" s="58">
        <v>279.27100000000002</v>
      </c>
      <c r="GV43" s="58">
        <v>186.959</v>
      </c>
      <c r="GW43" s="58">
        <v>197.73099999999999</v>
      </c>
      <c r="GX43" s="58">
        <v>145.78100000000001</v>
      </c>
      <c r="GY43" s="58">
        <v>51.95</v>
      </c>
      <c r="GZ43" s="58">
        <v>268.49900000000002</v>
      </c>
      <c r="HA43" s="58">
        <v>133.489</v>
      </c>
      <c r="HB43" s="58">
        <v>135.00899999999999</v>
      </c>
      <c r="HC43" s="58">
        <v>40.296999999999997</v>
      </c>
      <c r="HD43" s="58">
        <v>30.373999999999999</v>
      </c>
      <c r="HE43" s="58">
        <v>9.923</v>
      </c>
      <c r="HF43" s="58">
        <v>22.858000000000001</v>
      </c>
      <c r="HG43" s="58">
        <v>18.898</v>
      </c>
      <c r="HH43" s="58">
        <v>3.96</v>
      </c>
      <c r="HI43" s="58">
        <v>2.8660000000000001</v>
      </c>
      <c r="HJ43" s="58">
        <v>2.8660000000000001</v>
      </c>
      <c r="HK43" s="58">
        <v>0</v>
      </c>
      <c r="HL43" s="58">
        <v>1.25</v>
      </c>
      <c r="HM43" s="58">
        <v>1.25</v>
      </c>
      <c r="HN43" s="58">
        <v>0</v>
      </c>
      <c r="HO43" s="58">
        <v>1.6160000000000001</v>
      </c>
      <c r="HP43" s="58">
        <v>1.6160000000000001</v>
      </c>
      <c r="HQ43" s="58">
        <v>0</v>
      </c>
      <c r="HR43" s="58">
        <v>19.992000000000001</v>
      </c>
      <c r="HS43" s="58">
        <v>16.033000000000001</v>
      </c>
      <c r="HT43" s="58">
        <v>3.96</v>
      </c>
      <c r="HU43" s="58">
        <v>24.173999999999999</v>
      </c>
      <c r="HV43" s="58">
        <v>16.581</v>
      </c>
      <c r="HW43" s="58">
        <v>7.5940000000000003</v>
      </c>
      <c r="HX43" s="58">
        <v>3.3370000000000002</v>
      </c>
      <c r="HY43" s="58">
        <v>2.8769999999999998</v>
      </c>
      <c r="HZ43" s="58">
        <v>0.46</v>
      </c>
      <c r="IA43" s="58">
        <v>20.837</v>
      </c>
      <c r="IB43" s="58">
        <v>13.702999999999999</v>
      </c>
      <c r="IC43" s="58">
        <v>7.1340000000000003</v>
      </c>
      <c r="ID43" s="58">
        <v>5.7450000000000001</v>
      </c>
      <c r="IE43" s="58">
        <v>5.2850000000000001</v>
      </c>
      <c r="IF43" s="58">
        <v>0.46</v>
      </c>
      <c r="IG43" s="58">
        <v>34.551000000000002</v>
      </c>
      <c r="IH43" s="58">
        <v>25.088000000000001</v>
      </c>
      <c r="II43" s="58">
        <v>9.4629999999999992</v>
      </c>
      <c r="IJ43" s="58">
        <v>22.087</v>
      </c>
      <c r="IK43" s="58">
        <v>14.952999999999999</v>
      </c>
      <c r="IL43" s="58">
        <v>7.1340000000000003</v>
      </c>
      <c r="IM43" s="58">
        <v>3838.172</v>
      </c>
      <c r="IN43" s="58">
        <v>2060.3159999999998</v>
      </c>
      <c r="IO43" s="58">
        <v>1777.856</v>
      </c>
      <c r="IP43" s="58">
        <v>2646.2220000000002</v>
      </c>
      <c r="IQ43" s="58">
        <v>1682.91</v>
      </c>
    </row>
    <row r="44" spans="1:251">
      <c r="A44" s="5">
        <v>42826</v>
      </c>
      <c r="B44" s="58">
        <v>18.047000000000001</v>
      </c>
      <c r="C44" s="58">
        <v>14.819000000000001</v>
      </c>
      <c r="D44" s="58">
        <v>381.887</v>
      </c>
      <c r="E44" s="58">
        <v>212.99199999999999</v>
      </c>
      <c r="F44" s="58">
        <v>168.89500000000001</v>
      </c>
      <c r="G44" s="58">
        <v>175.67500000000001</v>
      </c>
      <c r="H44" s="58">
        <v>132.08799999999999</v>
      </c>
      <c r="I44" s="58">
        <v>43.587000000000003</v>
      </c>
      <c r="J44" s="58">
        <v>206.21199999999999</v>
      </c>
      <c r="K44" s="58">
        <v>80.903999999999996</v>
      </c>
      <c r="L44" s="58">
        <v>125.30800000000001</v>
      </c>
      <c r="M44" s="58">
        <v>190.66499999999999</v>
      </c>
      <c r="N44" s="58">
        <v>142.119</v>
      </c>
      <c r="O44" s="58">
        <v>48.545999999999999</v>
      </c>
      <c r="P44" s="58">
        <v>218.48</v>
      </c>
      <c r="Q44" s="58">
        <v>87.012</v>
      </c>
      <c r="R44" s="58">
        <v>131.46799999999999</v>
      </c>
      <c r="S44" s="58">
        <v>221.239</v>
      </c>
      <c r="T44" s="58">
        <v>91.820999999999998</v>
      </c>
      <c r="U44" s="58">
        <v>129.41800000000001</v>
      </c>
      <c r="V44" s="58">
        <v>2650.9630000000002</v>
      </c>
      <c r="W44" s="58">
        <v>1430.617</v>
      </c>
      <c r="X44" s="58">
        <v>1220.346</v>
      </c>
      <c r="Y44" s="58">
        <v>1932.8309999999999</v>
      </c>
      <c r="Z44" s="58">
        <v>1290.471</v>
      </c>
      <c r="AA44" s="58">
        <v>642.36</v>
      </c>
      <c r="AB44" s="58">
        <v>718.13199999999995</v>
      </c>
      <c r="AC44" s="58">
        <v>140.14599999999999</v>
      </c>
      <c r="AD44" s="58">
        <v>577.98599999999999</v>
      </c>
      <c r="AE44" s="58">
        <v>342.38299999999998</v>
      </c>
      <c r="AF44" s="58">
        <v>171.52199999999999</v>
      </c>
      <c r="AG44" s="58">
        <v>170.86199999999999</v>
      </c>
      <c r="AH44" s="58">
        <v>50.856000000000002</v>
      </c>
      <c r="AI44" s="58">
        <v>27.041</v>
      </c>
      <c r="AJ44" s="58">
        <v>23.815000000000001</v>
      </c>
      <c r="AK44" s="58">
        <v>19.751999999999999</v>
      </c>
      <c r="AL44" s="58">
        <v>15.657999999999999</v>
      </c>
      <c r="AM44" s="58">
        <v>4.0940000000000003</v>
      </c>
      <c r="AN44" s="58">
        <v>11.253</v>
      </c>
      <c r="AO44" s="58">
        <v>9.5939999999999994</v>
      </c>
      <c r="AP44" s="58">
        <v>1.659</v>
      </c>
      <c r="AQ44" s="58">
        <v>8.4990000000000006</v>
      </c>
      <c r="AR44" s="58">
        <v>6.0640000000000001</v>
      </c>
      <c r="AS44" s="58">
        <v>2.4350000000000001</v>
      </c>
      <c r="AT44" s="58">
        <v>31.103999999999999</v>
      </c>
      <c r="AU44" s="58">
        <v>11.382999999999999</v>
      </c>
      <c r="AV44" s="58">
        <v>19.721</v>
      </c>
      <c r="AW44" s="58">
        <v>315.24299999999999</v>
      </c>
      <c r="AX44" s="58">
        <v>158.29300000000001</v>
      </c>
      <c r="AY44" s="58">
        <v>156.95099999999999</v>
      </c>
      <c r="AZ44" s="58">
        <v>136.14599999999999</v>
      </c>
      <c r="BA44" s="58">
        <v>103.29600000000001</v>
      </c>
      <c r="BB44" s="58">
        <v>32.85</v>
      </c>
      <c r="BC44" s="58">
        <v>179.09800000000001</v>
      </c>
      <c r="BD44" s="58">
        <v>54.997</v>
      </c>
      <c r="BE44" s="58">
        <v>124.101</v>
      </c>
      <c r="BF44" s="58">
        <v>150.56200000000001</v>
      </c>
      <c r="BG44" s="58">
        <v>114.10599999999999</v>
      </c>
      <c r="BH44" s="58">
        <v>36.457000000000001</v>
      </c>
      <c r="BI44" s="58">
        <v>191.821</v>
      </c>
      <c r="BJ44" s="58">
        <v>57.415999999999997</v>
      </c>
      <c r="BK44" s="58">
        <v>134.405</v>
      </c>
      <c r="BL44" s="58">
        <v>190.351</v>
      </c>
      <c r="BM44" s="58">
        <v>64.590999999999994</v>
      </c>
      <c r="BN44" s="58">
        <v>125.76</v>
      </c>
      <c r="BO44" s="58">
        <v>2530.8110000000001</v>
      </c>
      <c r="BP44" s="58">
        <v>1310.4179999999999</v>
      </c>
      <c r="BQ44" s="58">
        <v>1220.393</v>
      </c>
      <c r="BR44" s="58">
        <v>1869.1110000000001</v>
      </c>
      <c r="BS44" s="58">
        <v>1171.0509999999999</v>
      </c>
      <c r="BT44" s="58">
        <v>698.06</v>
      </c>
      <c r="BU44" s="58">
        <v>661.7</v>
      </c>
      <c r="BV44" s="58">
        <v>139.36699999999999</v>
      </c>
      <c r="BW44" s="58">
        <v>522.33399999999995</v>
      </c>
      <c r="BX44" s="58">
        <v>302.05200000000002</v>
      </c>
      <c r="BY44" s="58">
        <v>148.46299999999999</v>
      </c>
      <c r="BZ44" s="58">
        <v>153.58799999999999</v>
      </c>
      <c r="CA44" s="58">
        <v>45.149000000000001</v>
      </c>
      <c r="CB44" s="58">
        <v>23.806000000000001</v>
      </c>
      <c r="CC44" s="58">
        <v>21.343</v>
      </c>
      <c r="CD44" s="58">
        <v>18.797000000000001</v>
      </c>
      <c r="CE44" s="58">
        <v>14.24</v>
      </c>
      <c r="CF44" s="58">
        <v>4.5570000000000004</v>
      </c>
      <c r="CG44" s="58">
        <v>10.324999999999999</v>
      </c>
      <c r="CH44" s="58">
        <v>7.3730000000000002</v>
      </c>
      <c r="CI44" s="58">
        <v>2.952</v>
      </c>
      <c r="CJ44" s="58">
        <v>8.4719999999999995</v>
      </c>
      <c r="CK44" s="58">
        <v>6.867</v>
      </c>
      <c r="CL44" s="58">
        <v>1.605</v>
      </c>
      <c r="CM44" s="58">
        <v>26.352</v>
      </c>
      <c r="CN44" s="58">
        <v>9.5660000000000007</v>
      </c>
      <c r="CO44" s="58">
        <v>16.786000000000001</v>
      </c>
      <c r="CP44" s="58">
        <v>278.471</v>
      </c>
      <c r="CQ44" s="58">
        <v>136.512</v>
      </c>
      <c r="CR44" s="58">
        <v>141.959</v>
      </c>
      <c r="CS44" s="58">
        <v>120.041</v>
      </c>
      <c r="CT44" s="58">
        <v>87.954999999999998</v>
      </c>
      <c r="CU44" s="58">
        <v>32.085999999999999</v>
      </c>
      <c r="CV44" s="58">
        <v>158.43</v>
      </c>
      <c r="CW44" s="58">
        <v>48.557000000000002</v>
      </c>
      <c r="CX44" s="58">
        <v>109.873</v>
      </c>
      <c r="CY44" s="58">
        <v>133.661</v>
      </c>
      <c r="CZ44" s="58">
        <v>97.614000000000004</v>
      </c>
      <c r="DA44" s="58">
        <v>36.046999999999997</v>
      </c>
      <c r="DB44" s="58">
        <v>168.39099999999999</v>
      </c>
      <c r="DC44" s="58">
        <v>50.85</v>
      </c>
      <c r="DD44" s="58">
        <v>117.541</v>
      </c>
      <c r="DE44" s="58">
        <v>168.755</v>
      </c>
      <c r="DF44" s="58">
        <v>55.93</v>
      </c>
      <c r="DG44" s="58">
        <v>112.824</v>
      </c>
      <c r="DH44" s="58">
        <v>2260.8609999999999</v>
      </c>
      <c r="DI44" s="58">
        <v>1250.6869999999999</v>
      </c>
      <c r="DJ44" s="58">
        <v>1010.174</v>
      </c>
      <c r="DK44" s="58">
        <v>1420.5139999999999</v>
      </c>
      <c r="DL44" s="58">
        <v>948.38900000000001</v>
      </c>
      <c r="DM44" s="58">
        <v>472.125</v>
      </c>
      <c r="DN44" s="58">
        <v>840.34699999999998</v>
      </c>
      <c r="DO44" s="58">
        <v>302.298</v>
      </c>
      <c r="DP44" s="58">
        <v>538.04899999999998</v>
      </c>
      <c r="DQ44" s="58">
        <v>250.42400000000001</v>
      </c>
      <c r="DR44" s="58">
        <v>131.517</v>
      </c>
      <c r="DS44" s="58">
        <v>118.90600000000001</v>
      </c>
      <c r="DT44" s="58">
        <v>64.912999999999997</v>
      </c>
      <c r="DU44" s="58">
        <v>37.634</v>
      </c>
      <c r="DV44" s="58">
        <v>27.277999999999999</v>
      </c>
      <c r="DW44" s="58">
        <v>18.084</v>
      </c>
      <c r="DX44" s="58">
        <v>14.196999999999999</v>
      </c>
      <c r="DY44" s="58">
        <v>3.887</v>
      </c>
      <c r="DZ44" s="58">
        <v>8.7439999999999998</v>
      </c>
      <c r="EA44" s="58">
        <v>7.6950000000000003</v>
      </c>
      <c r="EB44" s="58">
        <v>1.048</v>
      </c>
      <c r="EC44" s="58">
        <v>9.34</v>
      </c>
      <c r="ED44" s="58">
        <v>6.5019999999999998</v>
      </c>
      <c r="EE44" s="58">
        <v>2.839</v>
      </c>
      <c r="EF44" s="58">
        <v>46.828000000000003</v>
      </c>
      <c r="EG44" s="58">
        <v>23.437000000000001</v>
      </c>
      <c r="EH44" s="58">
        <v>23.390999999999998</v>
      </c>
      <c r="EI44" s="58">
        <v>205.80799999999999</v>
      </c>
      <c r="EJ44" s="58">
        <v>106.328</v>
      </c>
      <c r="EK44" s="58">
        <v>99.48</v>
      </c>
      <c r="EL44" s="58">
        <v>57.912999999999997</v>
      </c>
      <c r="EM44" s="58">
        <v>42.686999999999998</v>
      </c>
      <c r="EN44" s="58">
        <v>15.226000000000001</v>
      </c>
      <c r="EO44" s="58">
        <v>147.89500000000001</v>
      </c>
      <c r="EP44" s="58">
        <v>63.640999999999998</v>
      </c>
      <c r="EQ44" s="58">
        <v>84.254000000000005</v>
      </c>
      <c r="ER44" s="58">
        <v>73.510999999999996</v>
      </c>
      <c r="ES44" s="58">
        <v>55.084000000000003</v>
      </c>
      <c r="ET44" s="58">
        <v>18.427</v>
      </c>
      <c r="EU44" s="58">
        <v>176.91300000000001</v>
      </c>
      <c r="EV44" s="58">
        <v>76.433000000000007</v>
      </c>
      <c r="EW44" s="58">
        <v>100.479</v>
      </c>
      <c r="EX44" s="58">
        <v>156.63900000000001</v>
      </c>
      <c r="EY44" s="58">
        <v>71.337000000000003</v>
      </c>
      <c r="EZ44" s="58">
        <v>85.302000000000007</v>
      </c>
      <c r="FA44" s="58">
        <v>1791.425</v>
      </c>
      <c r="FB44" s="58">
        <v>959.35299999999995</v>
      </c>
      <c r="FC44" s="58">
        <v>832.072</v>
      </c>
      <c r="FD44" s="58">
        <v>1214.4559999999999</v>
      </c>
      <c r="FE44" s="58">
        <v>791.83900000000006</v>
      </c>
      <c r="FF44" s="58">
        <v>422.61700000000002</v>
      </c>
      <c r="FG44" s="58">
        <v>576.96900000000005</v>
      </c>
      <c r="FH44" s="58">
        <v>167.51400000000001</v>
      </c>
      <c r="FI44" s="58">
        <v>409.45499999999998</v>
      </c>
      <c r="FJ44" s="58">
        <v>207.15700000000001</v>
      </c>
      <c r="FK44" s="58">
        <v>106.589</v>
      </c>
      <c r="FL44" s="58">
        <v>100.56699999999999</v>
      </c>
      <c r="FM44" s="58">
        <v>46.021000000000001</v>
      </c>
      <c r="FN44" s="58">
        <v>25.898</v>
      </c>
      <c r="FO44" s="58">
        <v>20.123000000000001</v>
      </c>
      <c r="FP44" s="58">
        <v>14.750999999999999</v>
      </c>
      <c r="FQ44" s="58">
        <v>11.821999999999999</v>
      </c>
      <c r="FR44" s="58">
        <v>2.9289999999999998</v>
      </c>
      <c r="FS44" s="58">
        <v>7.3659999999999997</v>
      </c>
      <c r="FT44" s="58">
        <v>6.3179999999999996</v>
      </c>
      <c r="FU44" s="58">
        <v>1.048</v>
      </c>
      <c r="FV44" s="58">
        <v>7.3849999999999998</v>
      </c>
      <c r="FW44" s="58">
        <v>5.5039999999999996</v>
      </c>
      <c r="FX44" s="58">
        <v>1.88</v>
      </c>
      <c r="FY44" s="58">
        <v>31.27</v>
      </c>
      <c r="FZ44" s="58">
        <v>14.076000000000001</v>
      </c>
      <c r="GA44" s="58">
        <v>17.195</v>
      </c>
      <c r="GB44" s="58">
        <v>178.958</v>
      </c>
      <c r="GC44" s="58">
        <v>91.49</v>
      </c>
      <c r="GD44" s="58">
        <v>87.466999999999999</v>
      </c>
      <c r="GE44" s="58">
        <v>55.302999999999997</v>
      </c>
      <c r="GF44" s="58">
        <v>41.165999999999997</v>
      </c>
      <c r="GG44" s="58">
        <v>14.135999999999999</v>
      </c>
      <c r="GH44" s="58">
        <v>123.655</v>
      </c>
      <c r="GI44" s="58">
        <v>50.323999999999998</v>
      </c>
      <c r="GJ44" s="58">
        <v>73.331000000000003</v>
      </c>
      <c r="GK44" s="58">
        <v>67.566999999999993</v>
      </c>
      <c r="GL44" s="58">
        <v>51.188000000000002</v>
      </c>
      <c r="GM44" s="58">
        <v>16.379000000000001</v>
      </c>
      <c r="GN44" s="58">
        <v>139.59</v>
      </c>
      <c r="GO44" s="58">
        <v>55.401000000000003</v>
      </c>
      <c r="GP44" s="58">
        <v>84.188000000000002</v>
      </c>
      <c r="GQ44" s="58">
        <v>131.02099999999999</v>
      </c>
      <c r="GR44" s="58">
        <v>56.642000000000003</v>
      </c>
      <c r="GS44" s="58">
        <v>74.38</v>
      </c>
      <c r="GT44" s="58">
        <v>469.43599999999998</v>
      </c>
      <c r="GU44" s="58">
        <v>291.334</v>
      </c>
      <c r="GV44" s="58">
        <v>178.102</v>
      </c>
      <c r="GW44" s="58">
        <v>206.05799999999999</v>
      </c>
      <c r="GX44" s="58">
        <v>156.55000000000001</v>
      </c>
      <c r="GY44" s="58">
        <v>49.508000000000003</v>
      </c>
      <c r="GZ44" s="58">
        <v>263.37799999999999</v>
      </c>
      <c r="HA44" s="58">
        <v>134.78399999999999</v>
      </c>
      <c r="HB44" s="58">
        <v>128.59399999999999</v>
      </c>
      <c r="HC44" s="58">
        <v>43.267000000000003</v>
      </c>
      <c r="HD44" s="58">
        <v>24.928000000000001</v>
      </c>
      <c r="HE44" s="58">
        <v>18.338999999999999</v>
      </c>
      <c r="HF44" s="58">
        <v>18.890999999999998</v>
      </c>
      <c r="HG44" s="58">
        <v>11.736000000000001</v>
      </c>
      <c r="HH44" s="58">
        <v>7.1550000000000002</v>
      </c>
      <c r="HI44" s="58">
        <v>3.3330000000000002</v>
      </c>
      <c r="HJ44" s="58">
        <v>2.375</v>
      </c>
      <c r="HK44" s="58">
        <v>0.95799999999999996</v>
      </c>
      <c r="HL44" s="58">
        <v>1.3779999999999999</v>
      </c>
      <c r="HM44" s="58">
        <v>1.3779999999999999</v>
      </c>
      <c r="HN44" s="58">
        <v>0</v>
      </c>
      <c r="HO44" s="58">
        <v>1.956</v>
      </c>
      <c r="HP44" s="58">
        <v>0.997</v>
      </c>
      <c r="HQ44" s="58">
        <v>0.95799999999999996</v>
      </c>
      <c r="HR44" s="58">
        <v>15.558</v>
      </c>
      <c r="HS44" s="58">
        <v>9.3610000000000007</v>
      </c>
      <c r="HT44" s="58">
        <v>6.1970000000000001</v>
      </c>
      <c r="HU44" s="58">
        <v>26.85</v>
      </c>
      <c r="HV44" s="58">
        <v>14.837999999999999</v>
      </c>
      <c r="HW44" s="58">
        <v>12.012</v>
      </c>
      <c r="HX44" s="58">
        <v>2.61</v>
      </c>
      <c r="HY44" s="58">
        <v>1.5209999999999999</v>
      </c>
      <c r="HZ44" s="58">
        <v>1.089</v>
      </c>
      <c r="IA44" s="58">
        <v>24.24</v>
      </c>
      <c r="IB44" s="58">
        <v>13.317</v>
      </c>
      <c r="IC44" s="58">
        <v>10.923</v>
      </c>
      <c r="ID44" s="58">
        <v>5.9429999999999996</v>
      </c>
      <c r="IE44" s="58">
        <v>3.8959999999999999</v>
      </c>
      <c r="IF44" s="58">
        <v>2.048</v>
      </c>
      <c r="IG44" s="58">
        <v>37.323</v>
      </c>
      <c r="IH44" s="58">
        <v>21.032</v>
      </c>
      <c r="II44" s="58">
        <v>16.291</v>
      </c>
      <c r="IJ44" s="58">
        <v>25.617999999999999</v>
      </c>
      <c r="IK44" s="58">
        <v>14.695</v>
      </c>
      <c r="IL44" s="58">
        <v>10.923</v>
      </c>
      <c r="IM44" s="58">
        <v>3854.26</v>
      </c>
      <c r="IN44" s="58">
        <v>2078.0160000000001</v>
      </c>
      <c r="IO44" s="58">
        <v>1776.2439999999999</v>
      </c>
      <c r="IP44" s="58">
        <v>2634.761</v>
      </c>
      <c r="IQ44" s="58">
        <v>1675.367</v>
      </c>
    </row>
    <row r="45" spans="1:251">
      <c r="A45" s="5">
        <v>42856</v>
      </c>
      <c r="B45" s="58">
        <v>18.811</v>
      </c>
      <c r="C45" s="58">
        <v>21.1</v>
      </c>
      <c r="D45" s="58">
        <v>388.82600000000002</v>
      </c>
      <c r="E45" s="58">
        <v>221.84</v>
      </c>
      <c r="F45" s="58">
        <v>166.98599999999999</v>
      </c>
      <c r="G45" s="58">
        <v>180.32300000000001</v>
      </c>
      <c r="H45" s="58">
        <v>134.535</v>
      </c>
      <c r="I45" s="58">
        <v>45.787999999999997</v>
      </c>
      <c r="J45" s="58">
        <v>208.50299999999999</v>
      </c>
      <c r="K45" s="58">
        <v>87.305000000000007</v>
      </c>
      <c r="L45" s="58">
        <v>121.197</v>
      </c>
      <c r="M45" s="58">
        <v>199.179</v>
      </c>
      <c r="N45" s="58">
        <v>145.75800000000001</v>
      </c>
      <c r="O45" s="58">
        <v>53.420999999999999</v>
      </c>
      <c r="P45" s="58">
        <v>221.67</v>
      </c>
      <c r="Q45" s="58">
        <v>89.965000000000003</v>
      </c>
      <c r="R45" s="58">
        <v>131.70400000000001</v>
      </c>
      <c r="S45" s="58">
        <v>223.48699999999999</v>
      </c>
      <c r="T45" s="58">
        <v>98.828000000000003</v>
      </c>
      <c r="U45" s="58">
        <v>124.65900000000001</v>
      </c>
      <c r="V45" s="58">
        <v>2663.9470000000001</v>
      </c>
      <c r="W45" s="58">
        <v>1437.348</v>
      </c>
      <c r="X45" s="58">
        <v>1226.5989999999999</v>
      </c>
      <c r="Y45" s="58">
        <v>1961.8869999999999</v>
      </c>
      <c r="Z45" s="58">
        <v>1313.0229999999999</v>
      </c>
      <c r="AA45" s="58">
        <v>648.86300000000006</v>
      </c>
      <c r="AB45" s="58">
        <v>702.06</v>
      </c>
      <c r="AC45" s="58">
        <v>124.324</v>
      </c>
      <c r="AD45" s="58">
        <v>577.73599999999999</v>
      </c>
      <c r="AE45" s="58">
        <v>324.73</v>
      </c>
      <c r="AF45" s="58">
        <v>168.89500000000001</v>
      </c>
      <c r="AG45" s="58">
        <v>155.83500000000001</v>
      </c>
      <c r="AH45" s="58">
        <v>60.084000000000003</v>
      </c>
      <c r="AI45" s="58">
        <v>32.991</v>
      </c>
      <c r="AJ45" s="58">
        <v>27.093</v>
      </c>
      <c r="AK45" s="58">
        <v>26.466999999999999</v>
      </c>
      <c r="AL45" s="58">
        <v>21.347000000000001</v>
      </c>
      <c r="AM45" s="58">
        <v>5.12</v>
      </c>
      <c r="AN45" s="58">
        <v>17.004000000000001</v>
      </c>
      <c r="AO45" s="58">
        <v>14.464</v>
      </c>
      <c r="AP45" s="58">
        <v>2.5390000000000001</v>
      </c>
      <c r="AQ45" s="58">
        <v>9.4629999999999992</v>
      </c>
      <c r="AR45" s="58">
        <v>6.883</v>
      </c>
      <c r="AS45" s="58">
        <v>2.581</v>
      </c>
      <c r="AT45" s="58">
        <v>33.616999999999997</v>
      </c>
      <c r="AU45" s="58">
        <v>11.644</v>
      </c>
      <c r="AV45" s="58">
        <v>21.972999999999999</v>
      </c>
      <c r="AW45" s="58">
        <v>289.565</v>
      </c>
      <c r="AX45" s="58">
        <v>148.86799999999999</v>
      </c>
      <c r="AY45" s="58">
        <v>140.697</v>
      </c>
      <c r="AZ45" s="58">
        <v>128.24600000000001</v>
      </c>
      <c r="BA45" s="58">
        <v>99.46</v>
      </c>
      <c r="BB45" s="58">
        <v>28.786000000000001</v>
      </c>
      <c r="BC45" s="58">
        <v>161.31899999999999</v>
      </c>
      <c r="BD45" s="58">
        <v>49.406999999999996</v>
      </c>
      <c r="BE45" s="58">
        <v>111.91200000000001</v>
      </c>
      <c r="BF45" s="58">
        <v>149.727</v>
      </c>
      <c r="BG45" s="58">
        <v>116.193</v>
      </c>
      <c r="BH45" s="58">
        <v>33.533999999999999</v>
      </c>
      <c r="BI45" s="58">
        <v>175.00299999999999</v>
      </c>
      <c r="BJ45" s="58">
        <v>52.701999999999998</v>
      </c>
      <c r="BK45" s="58">
        <v>122.301</v>
      </c>
      <c r="BL45" s="58">
        <v>178.32300000000001</v>
      </c>
      <c r="BM45" s="58">
        <v>63.871000000000002</v>
      </c>
      <c r="BN45" s="58">
        <v>114.45099999999999</v>
      </c>
      <c r="BO45" s="58">
        <v>2549.6489999999999</v>
      </c>
      <c r="BP45" s="58">
        <v>1318.346</v>
      </c>
      <c r="BQ45" s="58">
        <v>1231.3030000000001</v>
      </c>
      <c r="BR45" s="58">
        <v>1883.412</v>
      </c>
      <c r="BS45" s="58">
        <v>1174.027</v>
      </c>
      <c r="BT45" s="58">
        <v>709.38499999999999</v>
      </c>
      <c r="BU45" s="58">
        <v>666.23699999999997</v>
      </c>
      <c r="BV45" s="58">
        <v>144.32</v>
      </c>
      <c r="BW45" s="58">
        <v>521.91800000000001</v>
      </c>
      <c r="BX45" s="58">
        <v>326.67700000000002</v>
      </c>
      <c r="BY45" s="58">
        <v>155.02799999999999</v>
      </c>
      <c r="BZ45" s="58">
        <v>171.649</v>
      </c>
      <c r="CA45" s="58">
        <v>68.138000000000005</v>
      </c>
      <c r="CB45" s="58">
        <v>38.545999999999999</v>
      </c>
      <c r="CC45" s="58">
        <v>29.591999999999999</v>
      </c>
      <c r="CD45" s="58">
        <v>31.978000000000002</v>
      </c>
      <c r="CE45" s="58">
        <v>23.721</v>
      </c>
      <c r="CF45" s="58">
        <v>8.2569999999999997</v>
      </c>
      <c r="CG45" s="58">
        <v>15.279</v>
      </c>
      <c r="CH45" s="58">
        <v>11.676</v>
      </c>
      <c r="CI45" s="58">
        <v>3.6030000000000002</v>
      </c>
      <c r="CJ45" s="58">
        <v>16.699000000000002</v>
      </c>
      <c r="CK45" s="58">
        <v>12.045</v>
      </c>
      <c r="CL45" s="58">
        <v>4.6539999999999999</v>
      </c>
      <c r="CM45" s="58">
        <v>36.159999999999997</v>
      </c>
      <c r="CN45" s="58">
        <v>14.824999999999999</v>
      </c>
      <c r="CO45" s="58">
        <v>21.335000000000001</v>
      </c>
      <c r="CP45" s="58">
        <v>285.27300000000002</v>
      </c>
      <c r="CQ45" s="58">
        <v>130.59700000000001</v>
      </c>
      <c r="CR45" s="58">
        <v>154.67699999999999</v>
      </c>
      <c r="CS45" s="58">
        <v>115.41500000000001</v>
      </c>
      <c r="CT45" s="58">
        <v>79.150000000000006</v>
      </c>
      <c r="CU45" s="58">
        <v>36.265000000000001</v>
      </c>
      <c r="CV45" s="58">
        <v>169.858</v>
      </c>
      <c r="CW45" s="58">
        <v>51.445999999999998</v>
      </c>
      <c r="CX45" s="58">
        <v>118.41200000000001</v>
      </c>
      <c r="CY45" s="58">
        <v>141.97999999999999</v>
      </c>
      <c r="CZ45" s="58">
        <v>97.835999999999999</v>
      </c>
      <c r="DA45" s="58">
        <v>44.143999999999998</v>
      </c>
      <c r="DB45" s="58">
        <v>184.697</v>
      </c>
      <c r="DC45" s="58">
        <v>57.192</v>
      </c>
      <c r="DD45" s="58">
        <v>127.505</v>
      </c>
      <c r="DE45" s="58">
        <v>185.137</v>
      </c>
      <c r="DF45" s="58">
        <v>63.122</v>
      </c>
      <c r="DG45" s="58">
        <v>122.015</v>
      </c>
      <c r="DH45" s="58">
        <v>2306.875</v>
      </c>
      <c r="DI45" s="58">
        <v>1265.557</v>
      </c>
      <c r="DJ45" s="58">
        <v>1041.317</v>
      </c>
      <c r="DK45" s="58">
        <v>1451.662</v>
      </c>
      <c r="DL45" s="58">
        <v>966.51700000000005</v>
      </c>
      <c r="DM45" s="58">
        <v>485.14600000000002</v>
      </c>
      <c r="DN45" s="58">
        <v>855.21199999999999</v>
      </c>
      <c r="DO45" s="58">
        <v>299.041</v>
      </c>
      <c r="DP45" s="58">
        <v>556.17100000000005</v>
      </c>
      <c r="DQ45" s="58">
        <v>257.30099999999999</v>
      </c>
      <c r="DR45" s="58">
        <v>137.154</v>
      </c>
      <c r="DS45" s="58">
        <v>120.14700000000001</v>
      </c>
      <c r="DT45" s="58">
        <v>82.075000000000003</v>
      </c>
      <c r="DU45" s="58">
        <v>48.841000000000001</v>
      </c>
      <c r="DV45" s="58">
        <v>33.234000000000002</v>
      </c>
      <c r="DW45" s="58">
        <v>22.608000000000001</v>
      </c>
      <c r="DX45" s="58">
        <v>16.536000000000001</v>
      </c>
      <c r="DY45" s="58">
        <v>6.0720000000000001</v>
      </c>
      <c r="DZ45" s="58">
        <v>13.073</v>
      </c>
      <c r="EA45" s="58">
        <v>9.7100000000000009</v>
      </c>
      <c r="EB45" s="58">
        <v>3.363</v>
      </c>
      <c r="EC45" s="58">
        <v>9.5350000000000001</v>
      </c>
      <c r="ED45" s="58">
        <v>6.8259999999999996</v>
      </c>
      <c r="EE45" s="58">
        <v>2.7090000000000001</v>
      </c>
      <c r="EF45" s="58">
        <v>59.466999999999999</v>
      </c>
      <c r="EG45" s="58">
        <v>32.304000000000002</v>
      </c>
      <c r="EH45" s="58">
        <v>27.161999999999999</v>
      </c>
      <c r="EI45" s="58">
        <v>203.47399999999999</v>
      </c>
      <c r="EJ45" s="58">
        <v>106.244</v>
      </c>
      <c r="EK45" s="58">
        <v>97.23</v>
      </c>
      <c r="EL45" s="58">
        <v>63.436999999999998</v>
      </c>
      <c r="EM45" s="58">
        <v>45.725000000000001</v>
      </c>
      <c r="EN45" s="58">
        <v>17.710999999999999</v>
      </c>
      <c r="EO45" s="58">
        <v>140.03700000000001</v>
      </c>
      <c r="EP45" s="58">
        <v>60.518000000000001</v>
      </c>
      <c r="EQ45" s="58">
        <v>79.519000000000005</v>
      </c>
      <c r="ER45" s="58">
        <v>83.402000000000001</v>
      </c>
      <c r="ES45" s="58">
        <v>60.137</v>
      </c>
      <c r="ET45" s="58">
        <v>23.263999999999999</v>
      </c>
      <c r="EU45" s="58">
        <v>173.899</v>
      </c>
      <c r="EV45" s="58">
        <v>77.016000000000005</v>
      </c>
      <c r="EW45" s="58">
        <v>96.882999999999996</v>
      </c>
      <c r="EX45" s="58">
        <v>153.11000000000001</v>
      </c>
      <c r="EY45" s="58">
        <v>70.228999999999999</v>
      </c>
      <c r="EZ45" s="58">
        <v>82.881</v>
      </c>
      <c r="FA45" s="58">
        <v>1818.89</v>
      </c>
      <c r="FB45" s="58">
        <v>965.68100000000004</v>
      </c>
      <c r="FC45" s="58">
        <v>853.20899999999995</v>
      </c>
      <c r="FD45" s="58">
        <v>1233.999</v>
      </c>
      <c r="FE45" s="58">
        <v>805.01300000000003</v>
      </c>
      <c r="FF45" s="58">
        <v>428.98700000000002</v>
      </c>
      <c r="FG45" s="58">
        <v>584.89</v>
      </c>
      <c r="FH45" s="58">
        <v>160.66800000000001</v>
      </c>
      <c r="FI45" s="58">
        <v>424.22300000000001</v>
      </c>
      <c r="FJ45" s="58">
        <v>217.767</v>
      </c>
      <c r="FK45" s="58">
        <v>110.432</v>
      </c>
      <c r="FL45" s="58">
        <v>107.33499999999999</v>
      </c>
      <c r="FM45" s="58">
        <v>64.003</v>
      </c>
      <c r="FN45" s="58">
        <v>35.945999999999998</v>
      </c>
      <c r="FO45" s="58">
        <v>28.056999999999999</v>
      </c>
      <c r="FP45" s="58">
        <v>21.181999999999999</v>
      </c>
      <c r="FQ45" s="58">
        <v>15.11</v>
      </c>
      <c r="FR45" s="58">
        <v>6.0720000000000001</v>
      </c>
      <c r="FS45" s="58">
        <v>12.161</v>
      </c>
      <c r="FT45" s="58">
        <v>8.798</v>
      </c>
      <c r="FU45" s="58">
        <v>3.363</v>
      </c>
      <c r="FV45" s="58">
        <v>9.0220000000000002</v>
      </c>
      <c r="FW45" s="58">
        <v>6.3129999999999997</v>
      </c>
      <c r="FX45" s="58">
        <v>2.7090000000000001</v>
      </c>
      <c r="FY45" s="58">
        <v>42.820999999999998</v>
      </c>
      <c r="FZ45" s="58">
        <v>20.835000000000001</v>
      </c>
      <c r="GA45" s="58">
        <v>21.986000000000001</v>
      </c>
      <c r="GB45" s="58">
        <v>177.083</v>
      </c>
      <c r="GC45" s="58">
        <v>89.016000000000005</v>
      </c>
      <c r="GD45" s="58">
        <v>88.066999999999993</v>
      </c>
      <c r="GE45" s="58">
        <v>58.024000000000001</v>
      </c>
      <c r="GF45" s="58">
        <v>41.051000000000002</v>
      </c>
      <c r="GG45" s="58">
        <v>16.972999999999999</v>
      </c>
      <c r="GH45" s="58">
        <v>119.059</v>
      </c>
      <c r="GI45" s="58">
        <v>47.965000000000003</v>
      </c>
      <c r="GJ45" s="58">
        <v>71.093999999999994</v>
      </c>
      <c r="GK45" s="58">
        <v>76.563000000000002</v>
      </c>
      <c r="GL45" s="58">
        <v>54.036999999999999</v>
      </c>
      <c r="GM45" s="58">
        <v>22.526</v>
      </c>
      <c r="GN45" s="58">
        <v>141.20400000000001</v>
      </c>
      <c r="GO45" s="58">
        <v>56.395000000000003</v>
      </c>
      <c r="GP45" s="58">
        <v>84.808999999999997</v>
      </c>
      <c r="GQ45" s="58">
        <v>131.21899999999999</v>
      </c>
      <c r="GR45" s="58">
        <v>56.762999999999998</v>
      </c>
      <c r="GS45" s="58">
        <v>74.456000000000003</v>
      </c>
      <c r="GT45" s="58">
        <v>487.98500000000001</v>
      </c>
      <c r="GU45" s="58">
        <v>299.87700000000001</v>
      </c>
      <c r="GV45" s="58">
        <v>188.108</v>
      </c>
      <c r="GW45" s="58">
        <v>217.66300000000001</v>
      </c>
      <c r="GX45" s="58">
        <v>161.50399999999999</v>
      </c>
      <c r="GY45" s="58">
        <v>56.158999999999999</v>
      </c>
      <c r="GZ45" s="58">
        <v>270.322</v>
      </c>
      <c r="HA45" s="58">
        <v>138.37299999999999</v>
      </c>
      <c r="HB45" s="58">
        <v>131.94900000000001</v>
      </c>
      <c r="HC45" s="58">
        <v>39.533000000000001</v>
      </c>
      <c r="HD45" s="58">
        <v>26.722000000000001</v>
      </c>
      <c r="HE45" s="58">
        <v>12.811</v>
      </c>
      <c r="HF45" s="58">
        <v>18.071999999999999</v>
      </c>
      <c r="HG45" s="58">
        <v>12.895</v>
      </c>
      <c r="HH45" s="58">
        <v>5.1769999999999996</v>
      </c>
      <c r="HI45" s="58">
        <v>1.4259999999999999</v>
      </c>
      <c r="HJ45" s="58">
        <v>1.4259999999999999</v>
      </c>
      <c r="HK45" s="58">
        <v>0</v>
      </c>
      <c r="HL45" s="58">
        <v>0.91200000000000003</v>
      </c>
      <c r="HM45" s="58">
        <v>0.91200000000000003</v>
      </c>
      <c r="HN45" s="58">
        <v>0</v>
      </c>
      <c r="HO45" s="58">
        <v>0.51400000000000001</v>
      </c>
      <c r="HP45" s="58">
        <v>0.51400000000000001</v>
      </c>
      <c r="HQ45" s="58">
        <v>0</v>
      </c>
      <c r="HR45" s="58">
        <v>16.646000000000001</v>
      </c>
      <c r="HS45" s="58">
        <v>11.468999999999999</v>
      </c>
      <c r="HT45" s="58">
        <v>5.1769999999999996</v>
      </c>
      <c r="HU45" s="58">
        <v>26.390999999999998</v>
      </c>
      <c r="HV45" s="58">
        <v>17.228000000000002</v>
      </c>
      <c r="HW45" s="58">
        <v>9.1630000000000003</v>
      </c>
      <c r="HX45" s="58">
        <v>5.4119999999999999</v>
      </c>
      <c r="HY45" s="58">
        <v>4.6740000000000004</v>
      </c>
      <c r="HZ45" s="58">
        <v>0.73799999999999999</v>
      </c>
      <c r="IA45" s="58">
        <v>20.978000000000002</v>
      </c>
      <c r="IB45" s="58">
        <v>12.553000000000001</v>
      </c>
      <c r="IC45" s="58">
        <v>8.4250000000000007</v>
      </c>
      <c r="ID45" s="58">
        <v>6.8380000000000001</v>
      </c>
      <c r="IE45" s="58">
        <v>6.1</v>
      </c>
      <c r="IF45" s="58">
        <v>0.73799999999999999</v>
      </c>
      <c r="IG45" s="58">
        <v>32.695</v>
      </c>
      <c r="IH45" s="58">
        <v>20.622</v>
      </c>
      <c r="II45" s="58">
        <v>12.073</v>
      </c>
      <c r="IJ45" s="58">
        <v>21.890999999999998</v>
      </c>
      <c r="IK45" s="58">
        <v>13.465999999999999</v>
      </c>
      <c r="IL45" s="58">
        <v>8.4250000000000007</v>
      </c>
      <c r="IM45" s="58">
        <v>3873.4279999999999</v>
      </c>
      <c r="IN45" s="58">
        <v>2070.7420000000002</v>
      </c>
      <c r="IO45" s="58">
        <v>1802.6859999999999</v>
      </c>
      <c r="IP45" s="58">
        <v>2685.5410000000002</v>
      </c>
      <c r="IQ45" s="58">
        <v>1683.7809999999999</v>
      </c>
    </row>
    <row r="46" spans="1:251">
      <c r="A46" s="5">
        <v>42887</v>
      </c>
      <c r="B46" s="58">
        <v>15.387</v>
      </c>
      <c r="C46" s="58">
        <v>18.420000000000002</v>
      </c>
      <c r="D46" s="58">
        <v>379.82100000000003</v>
      </c>
      <c r="E46" s="58">
        <v>227.87700000000001</v>
      </c>
      <c r="F46" s="58">
        <v>151.94399999999999</v>
      </c>
      <c r="G46" s="58">
        <v>183.55799999999999</v>
      </c>
      <c r="H46" s="58">
        <v>144.476</v>
      </c>
      <c r="I46" s="58">
        <v>39.082999999999998</v>
      </c>
      <c r="J46" s="58">
        <v>196.26300000000001</v>
      </c>
      <c r="K46" s="58">
        <v>83.402000000000001</v>
      </c>
      <c r="L46" s="58">
        <v>112.861</v>
      </c>
      <c r="M46" s="58">
        <v>206.214</v>
      </c>
      <c r="N46" s="58">
        <v>162.49199999999999</v>
      </c>
      <c r="O46" s="58">
        <v>43.722000000000001</v>
      </c>
      <c r="P46" s="58">
        <v>205.398</v>
      </c>
      <c r="Q46" s="58">
        <v>85.343000000000004</v>
      </c>
      <c r="R46" s="58">
        <v>120.05500000000001</v>
      </c>
      <c r="S46" s="58">
        <v>212.31299999999999</v>
      </c>
      <c r="T46" s="58">
        <v>96.593999999999994</v>
      </c>
      <c r="U46" s="58">
        <v>115.71899999999999</v>
      </c>
      <c r="V46" s="58">
        <v>2662.9270000000001</v>
      </c>
      <c r="W46" s="58">
        <v>1436.905</v>
      </c>
      <c r="X46" s="58">
        <v>1226.0219999999999</v>
      </c>
      <c r="Y46" s="58">
        <v>1962.1479999999999</v>
      </c>
      <c r="Z46" s="58">
        <v>1302.5530000000001</v>
      </c>
      <c r="AA46" s="58">
        <v>659.59500000000003</v>
      </c>
      <c r="AB46" s="58">
        <v>700.779</v>
      </c>
      <c r="AC46" s="58">
        <v>134.35300000000001</v>
      </c>
      <c r="AD46" s="58">
        <v>566.42700000000002</v>
      </c>
      <c r="AE46" s="58">
        <v>338.65300000000002</v>
      </c>
      <c r="AF46" s="58">
        <v>171.779</v>
      </c>
      <c r="AG46" s="58">
        <v>166.874</v>
      </c>
      <c r="AH46" s="58">
        <v>57.966999999999999</v>
      </c>
      <c r="AI46" s="58">
        <v>30.321999999999999</v>
      </c>
      <c r="AJ46" s="58">
        <v>27.645</v>
      </c>
      <c r="AK46" s="58">
        <v>28.24</v>
      </c>
      <c r="AL46" s="58">
        <v>21.359000000000002</v>
      </c>
      <c r="AM46" s="58">
        <v>6.8810000000000002</v>
      </c>
      <c r="AN46" s="58">
        <v>15.367000000000001</v>
      </c>
      <c r="AO46" s="58">
        <v>11.795</v>
      </c>
      <c r="AP46" s="58">
        <v>3.573</v>
      </c>
      <c r="AQ46" s="58">
        <v>12.872999999999999</v>
      </c>
      <c r="AR46" s="58">
        <v>9.5640000000000001</v>
      </c>
      <c r="AS46" s="58">
        <v>3.3079999999999998</v>
      </c>
      <c r="AT46" s="58">
        <v>29.728000000000002</v>
      </c>
      <c r="AU46" s="58">
        <v>8.9640000000000004</v>
      </c>
      <c r="AV46" s="58">
        <v>20.763999999999999</v>
      </c>
      <c r="AW46" s="58">
        <v>301.274</v>
      </c>
      <c r="AX46" s="58">
        <v>152.23099999999999</v>
      </c>
      <c r="AY46" s="58">
        <v>149.04300000000001</v>
      </c>
      <c r="AZ46" s="58">
        <v>133.84800000000001</v>
      </c>
      <c r="BA46" s="58">
        <v>102.32599999999999</v>
      </c>
      <c r="BB46" s="58">
        <v>31.521999999999998</v>
      </c>
      <c r="BC46" s="58">
        <v>167.42599999999999</v>
      </c>
      <c r="BD46" s="58">
        <v>49.905000000000001</v>
      </c>
      <c r="BE46" s="58">
        <v>117.521</v>
      </c>
      <c r="BF46" s="58">
        <v>156.625</v>
      </c>
      <c r="BG46" s="58">
        <v>119.256</v>
      </c>
      <c r="BH46" s="58">
        <v>37.369</v>
      </c>
      <c r="BI46" s="58">
        <v>182.02799999999999</v>
      </c>
      <c r="BJ46" s="58">
        <v>52.523000000000003</v>
      </c>
      <c r="BK46" s="58">
        <v>129.505</v>
      </c>
      <c r="BL46" s="58">
        <v>182.79400000000001</v>
      </c>
      <c r="BM46" s="58">
        <v>61.7</v>
      </c>
      <c r="BN46" s="58">
        <v>121.09399999999999</v>
      </c>
      <c r="BO46" s="58">
        <v>2543.1480000000001</v>
      </c>
      <c r="BP46" s="58">
        <v>1316.623</v>
      </c>
      <c r="BQ46" s="58">
        <v>1226.5250000000001</v>
      </c>
      <c r="BR46" s="58">
        <v>1883.8389999999999</v>
      </c>
      <c r="BS46" s="58">
        <v>1178.635</v>
      </c>
      <c r="BT46" s="58">
        <v>705.20500000000004</v>
      </c>
      <c r="BU46" s="58">
        <v>659.30899999999997</v>
      </c>
      <c r="BV46" s="58">
        <v>137.988</v>
      </c>
      <c r="BW46" s="58">
        <v>521.32100000000003</v>
      </c>
      <c r="BX46" s="58">
        <v>331.041</v>
      </c>
      <c r="BY46" s="58">
        <v>160.93600000000001</v>
      </c>
      <c r="BZ46" s="58">
        <v>170.10599999999999</v>
      </c>
      <c r="CA46" s="58">
        <v>62.4</v>
      </c>
      <c r="CB46" s="58">
        <v>34.61</v>
      </c>
      <c r="CC46" s="58">
        <v>27.79</v>
      </c>
      <c r="CD46" s="58">
        <v>25.48</v>
      </c>
      <c r="CE46" s="58">
        <v>17.917999999999999</v>
      </c>
      <c r="CF46" s="58">
        <v>7.5620000000000003</v>
      </c>
      <c r="CG46" s="58">
        <v>12.311</v>
      </c>
      <c r="CH46" s="58">
        <v>9.2200000000000006</v>
      </c>
      <c r="CI46" s="58">
        <v>3.0910000000000002</v>
      </c>
      <c r="CJ46" s="58">
        <v>13.17</v>
      </c>
      <c r="CK46" s="58">
        <v>8.6980000000000004</v>
      </c>
      <c r="CL46" s="58">
        <v>4.4710000000000001</v>
      </c>
      <c r="CM46" s="58">
        <v>36.918999999999997</v>
      </c>
      <c r="CN46" s="58">
        <v>16.692</v>
      </c>
      <c r="CO46" s="58">
        <v>20.228000000000002</v>
      </c>
      <c r="CP46" s="58">
        <v>294.60300000000001</v>
      </c>
      <c r="CQ46" s="58">
        <v>141.113</v>
      </c>
      <c r="CR46" s="58">
        <v>153.489</v>
      </c>
      <c r="CS46" s="58">
        <v>118.12</v>
      </c>
      <c r="CT46" s="58">
        <v>84.843999999999994</v>
      </c>
      <c r="CU46" s="58">
        <v>33.274999999999999</v>
      </c>
      <c r="CV46" s="58">
        <v>176.483</v>
      </c>
      <c r="CW46" s="58">
        <v>56.268999999999998</v>
      </c>
      <c r="CX46" s="58">
        <v>120.214</v>
      </c>
      <c r="CY46" s="58">
        <v>137.51499999999999</v>
      </c>
      <c r="CZ46" s="58">
        <v>98.676000000000002</v>
      </c>
      <c r="DA46" s="58">
        <v>38.838999999999999</v>
      </c>
      <c r="DB46" s="58">
        <v>193.52600000000001</v>
      </c>
      <c r="DC46" s="58">
        <v>62.259</v>
      </c>
      <c r="DD46" s="58">
        <v>131.267</v>
      </c>
      <c r="DE46" s="58">
        <v>188.79400000000001</v>
      </c>
      <c r="DF46" s="58">
        <v>65.489000000000004</v>
      </c>
      <c r="DG46" s="58">
        <v>123.30500000000001</v>
      </c>
      <c r="DH46" s="58">
        <v>2311.8029999999999</v>
      </c>
      <c r="DI46" s="58">
        <v>1263.587</v>
      </c>
      <c r="DJ46" s="58">
        <v>1048.2159999999999</v>
      </c>
      <c r="DK46" s="58">
        <v>1471.954</v>
      </c>
      <c r="DL46" s="58">
        <v>979.11400000000003</v>
      </c>
      <c r="DM46" s="58">
        <v>492.84</v>
      </c>
      <c r="DN46" s="58">
        <v>839.84900000000005</v>
      </c>
      <c r="DO46" s="58">
        <v>284.47300000000001</v>
      </c>
      <c r="DP46" s="58">
        <v>555.37599999999998</v>
      </c>
      <c r="DQ46" s="58">
        <v>251.50800000000001</v>
      </c>
      <c r="DR46" s="58">
        <v>135.20400000000001</v>
      </c>
      <c r="DS46" s="58">
        <v>116.304</v>
      </c>
      <c r="DT46" s="58">
        <v>68.602999999999994</v>
      </c>
      <c r="DU46" s="58">
        <v>40.738999999999997</v>
      </c>
      <c r="DV46" s="58">
        <v>27.864000000000001</v>
      </c>
      <c r="DW46" s="58">
        <v>25.797999999999998</v>
      </c>
      <c r="DX46" s="58">
        <v>19.254999999999999</v>
      </c>
      <c r="DY46" s="58">
        <v>6.5430000000000001</v>
      </c>
      <c r="DZ46" s="58">
        <v>14.292</v>
      </c>
      <c r="EA46" s="58">
        <v>10.717000000000001</v>
      </c>
      <c r="EB46" s="58">
        <v>3.5750000000000002</v>
      </c>
      <c r="EC46" s="58">
        <v>11.506</v>
      </c>
      <c r="ED46" s="58">
        <v>8.5389999999999997</v>
      </c>
      <c r="EE46" s="58">
        <v>2.968</v>
      </c>
      <c r="EF46" s="58">
        <v>42.805</v>
      </c>
      <c r="EG46" s="58">
        <v>21.484000000000002</v>
      </c>
      <c r="EH46" s="58">
        <v>21.321000000000002</v>
      </c>
      <c r="EI46" s="58">
        <v>209.77</v>
      </c>
      <c r="EJ46" s="58">
        <v>109.465</v>
      </c>
      <c r="EK46" s="58">
        <v>100.30500000000001</v>
      </c>
      <c r="EL46" s="58">
        <v>69.695999999999998</v>
      </c>
      <c r="EM46" s="58">
        <v>49.96</v>
      </c>
      <c r="EN46" s="58">
        <v>19.736000000000001</v>
      </c>
      <c r="EO46" s="58">
        <v>140.07400000000001</v>
      </c>
      <c r="EP46" s="58">
        <v>59.505000000000003</v>
      </c>
      <c r="EQ46" s="58">
        <v>80.569000000000003</v>
      </c>
      <c r="ER46" s="58">
        <v>92.861000000000004</v>
      </c>
      <c r="ES46" s="58">
        <v>67.356999999999999</v>
      </c>
      <c r="ET46" s="58">
        <v>25.504000000000001</v>
      </c>
      <c r="EU46" s="58">
        <v>158.648</v>
      </c>
      <c r="EV46" s="58">
        <v>67.846999999999994</v>
      </c>
      <c r="EW46" s="58">
        <v>90.8</v>
      </c>
      <c r="EX46" s="58">
        <v>154.36500000000001</v>
      </c>
      <c r="EY46" s="58">
        <v>70.221000000000004</v>
      </c>
      <c r="EZ46" s="58">
        <v>84.144000000000005</v>
      </c>
      <c r="FA46" s="58">
        <v>1820.164</v>
      </c>
      <c r="FB46" s="58">
        <v>962.12900000000002</v>
      </c>
      <c r="FC46" s="58">
        <v>858.03499999999997</v>
      </c>
      <c r="FD46" s="58">
        <v>1250.729</v>
      </c>
      <c r="FE46" s="58">
        <v>812.57399999999996</v>
      </c>
      <c r="FF46" s="58">
        <v>438.15499999999997</v>
      </c>
      <c r="FG46" s="58">
        <v>569.43499999999995</v>
      </c>
      <c r="FH46" s="58">
        <v>149.55500000000001</v>
      </c>
      <c r="FI46" s="58">
        <v>419.88</v>
      </c>
      <c r="FJ46" s="58">
        <v>213.56200000000001</v>
      </c>
      <c r="FK46" s="58">
        <v>110.902</v>
      </c>
      <c r="FL46" s="58">
        <v>102.66</v>
      </c>
      <c r="FM46" s="58">
        <v>53.344999999999999</v>
      </c>
      <c r="FN46" s="58">
        <v>31.126999999999999</v>
      </c>
      <c r="FO46" s="58">
        <v>22.219000000000001</v>
      </c>
      <c r="FP46" s="58">
        <v>22.497</v>
      </c>
      <c r="FQ46" s="58">
        <v>16.565999999999999</v>
      </c>
      <c r="FR46" s="58">
        <v>5.931</v>
      </c>
      <c r="FS46" s="58">
        <v>12.587999999999999</v>
      </c>
      <c r="FT46" s="58">
        <v>9.6240000000000006</v>
      </c>
      <c r="FU46" s="58">
        <v>2.964</v>
      </c>
      <c r="FV46" s="58">
        <v>9.9090000000000007</v>
      </c>
      <c r="FW46" s="58">
        <v>6.9420000000000002</v>
      </c>
      <c r="FX46" s="58">
        <v>2.968</v>
      </c>
      <c r="FY46" s="58">
        <v>30.847999999999999</v>
      </c>
      <c r="FZ46" s="58">
        <v>14.561</v>
      </c>
      <c r="GA46" s="58">
        <v>16.286999999999999</v>
      </c>
      <c r="GB46" s="58">
        <v>183.37100000000001</v>
      </c>
      <c r="GC46" s="58">
        <v>92.543999999999997</v>
      </c>
      <c r="GD46" s="58">
        <v>90.826999999999998</v>
      </c>
      <c r="GE46" s="58">
        <v>62.914000000000001</v>
      </c>
      <c r="GF46" s="58">
        <v>44.816000000000003</v>
      </c>
      <c r="GG46" s="58">
        <v>18.099</v>
      </c>
      <c r="GH46" s="58">
        <v>120.45699999999999</v>
      </c>
      <c r="GI46" s="58">
        <v>47.728000000000002</v>
      </c>
      <c r="GJ46" s="58">
        <v>72.728999999999999</v>
      </c>
      <c r="GK46" s="58">
        <v>82.778000000000006</v>
      </c>
      <c r="GL46" s="58">
        <v>59.523000000000003</v>
      </c>
      <c r="GM46" s="58">
        <v>23.254999999999999</v>
      </c>
      <c r="GN46" s="58">
        <v>130.78399999999999</v>
      </c>
      <c r="GO46" s="58">
        <v>51.378999999999998</v>
      </c>
      <c r="GP46" s="58">
        <v>79.405000000000001</v>
      </c>
      <c r="GQ46" s="58">
        <v>133.04499999999999</v>
      </c>
      <c r="GR46" s="58">
        <v>57.351999999999997</v>
      </c>
      <c r="GS46" s="58">
        <v>75.691999999999993</v>
      </c>
      <c r="GT46" s="58">
        <v>491.63900000000001</v>
      </c>
      <c r="GU46" s="58">
        <v>301.45800000000003</v>
      </c>
      <c r="GV46" s="58">
        <v>190.18100000000001</v>
      </c>
      <c r="GW46" s="58">
        <v>221.22499999999999</v>
      </c>
      <c r="GX46" s="58">
        <v>166.541</v>
      </c>
      <c r="GY46" s="58">
        <v>54.683999999999997</v>
      </c>
      <c r="GZ46" s="58">
        <v>270.41399999999999</v>
      </c>
      <c r="HA46" s="58">
        <v>134.917</v>
      </c>
      <c r="HB46" s="58">
        <v>135.49700000000001</v>
      </c>
      <c r="HC46" s="58">
        <v>37.947000000000003</v>
      </c>
      <c r="HD46" s="58">
        <v>24.303000000000001</v>
      </c>
      <c r="HE46" s="58">
        <v>13.644</v>
      </c>
      <c r="HF46" s="58">
        <v>15.257</v>
      </c>
      <c r="HG46" s="58">
        <v>9.6120000000000001</v>
      </c>
      <c r="HH46" s="58">
        <v>5.6449999999999996</v>
      </c>
      <c r="HI46" s="58">
        <v>3.3010000000000002</v>
      </c>
      <c r="HJ46" s="58">
        <v>2.6890000000000001</v>
      </c>
      <c r="HK46" s="58">
        <v>0.61199999999999999</v>
      </c>
      <c r="HL46" s="58">
        <v>1.704</v>
      </c>
      <c r="HM46" s="58">
        <v>1.093</v>
      </c>
      <c r="HN46" s="58">
        <v>0.61199999999999999</v>
      </c>
      <c r="HO46" s="58">
        <v>1.597</v>
      </c>
      <c r="HP46" s="58">
        <v>1.597</v>
      </c>
      <c r="HQ46" s="58">
        <v>0</v>
      </c>
      <c r="HR46" s="58">
        <v>11.956</v>
      </c>
      <c r="HS46" s="58">
        <v>6.923</v>
      </c>
      <c r="HT46" s="58">
        <v>5.0339999999999998</v>
      </c>
      <c r="HU46" s="58">
        <v>26.399000000000001</v>
      </c>
      <c r="HV46" s="58">
        <v>16.920999999999999</v>
      </c>
      <c r="HW46" s="58">
        <v>9.4779999999999998</v>
      </c>
      <c r="HX46" s="58">
        <v>6.782</v>
      </c>
      <c r="HY46" s="58">
        <v>5.1440000000000001</v>
      </c>
      <c r="HZ46" s="58">
        <v>1.6379999999999999</v>
      </c>
      <c r="IA46" s="58">
        <v>19.617000000000001</v>
      </c>
      <c r="IB46" s="58">
        <v>11.776</v>
      </c>
      <c r="IC46" s="58">
        <v>7.84</v>
      </c>
      <c r="ID46" s="58">
        <v>10.083</v>
      </c>
      <c r="IE46" s="58">
        <v>7.8339999999999996</v>
      </c>
      <c r="IF46" s="58">
        <v>2.2490000000000001</v>
      </c>
      <c r="IG46" s="58">
        <v>27.864000000000001</v>
      </c>
      <c r="IH46" s="58">
        <v>16.469000000000001</v>
      </c>
      <c r="II46" s="58">
        <v>11.395</v>
      </c>
      <c r="IJ46" s="58">
        <v>21.321000000000002</v>
      </c>
      <c r="IK46" s="58">
        <v>12.869</v>
      </c>
      <c r="IL46" s="58">
        <v>8.452</v>
      </c>
      <c r="IM46" s="58">
        <v>3876.3159999999998</v>
      </c>
      <c r="IN46" s="58">
        <v>2057.1880000000001</v>
      </c>
      <c r="IO46" s="58">
        <v>1819.1279999999999</v>
      </c>
      <c r="IP46" s="58">
        <v>2700.297</v>
      </c>
      <c r="IQ46" s="58">
        <v>1694.3</v>
      </c>
    </row>
    <row r="47" spans="1:251">
      <c r="A47" s="5">
        <v>42917</v>
      </c>
      <c r="B47" s="58">
        <v>13.821999999999999</v>
      </c>
      <c r="C47" s="58">
        <v>24.067</v>
      </c>
      <c r="D47" s="58">
        <v>387.6</v>
      </c>
      <c r="E47" s="58">
        <v>229.37799999999999</v>
      </c>
      <c r="F47" s="58">
        <v>158.22200000000001</v>
      </c>
      <c r="G47" s="58">
        <v>189.75299999999999</v>
      </c>
      <c r="H47" s="58">
        <v>142.94999999999999</v>
      </c>
      <c r="I47" s="58">
        <v>46.802999999999997</v>
      </c>
      <c r="J47" s="58">
        <v>197.84700000000001</v>
      </c>
      <c r="K47" s="58">
        <v>86.427999999999997</v>
      </c>
      <c r="L47" s="58">
        <v>111.419</v>
      </c>
      <c r="M47" s="58">
        <v>211.21100000000001</v>
      </c>
      <c r="N47" s="58">
        <v>155.98599999999999</v>
      </c>
      <c r="O47" s="58">
        <v>55.225000000000001</v>
      </c>
      <c r="P47" s="58">
        <v>211.465</v>
      </c>
      <c r="Q47" s="58">
        <v>90.703999999999994</v>
      </c>
      <c r="R47" s="58">
        <v>120.762</v>
      </c>
      <c r="S47" s="58">
        <v>216.54900000000001</v>
      </c>
      <c r="T47" s="58">
        <v>99.885999999999996</v>
      </c>
      <c r="U47" s="58">
        <v>116.664</v>
      </c>
      <c r="V47" s="58">
        <v>2656.0529999999999</v>
      </c>
      <c r="W47" s="58">
        <v>1434.3150000000001</v>
      </c>
      <c r="X47" s="58">
        <v>1221.739</v>
      </c>
      <c r="Y47" s="58">
        <v>1947.1320000000001</v>
      </c>
      <c r="Z47" s="58">
        <v>1296.432</v>
      </c>
      <c r="AA47" s="58">
        <v>650.69899999999996</v>
      </c>
      <c r="AB47" s="58">
        <v>708.92200000000003</v>
      </c>
      <c r="AC47" s="58">
        <v>137.88200000000001</v>
      </c>
      <c r="AD47" s="58">
        <v>571.04</v>
      </c>
      <c r="AE47" s="58">
        <v>338.59899999999999</v>
      </c>
      <c r="AF47" s="58">
        <v>181.83799999999999</v>
      </c>
      <c r="AG47" s="58">
        <v>156.761</v>
      </c>
      <c r="AH47" s="58">
        <v>63.165999999999997</v>
      </c>
      <c r="AI47" s="58">
        <v>36.546999999999997</v>
      </c>
      <c r="AJ47" s="58">
        <v>26.62</v>
      </c>
      <c r="AK47" s="58">
        <v>32.558999999999997</v>
      </c>
      <c r="AL47" s="58">
        <v>25.228999999999999</v>
      </c>
      <c r="AM47" s="58">
        <v>7.33</v>
      </c>
      <c r="AN47" s="58">
        <v>17.427</v>
      </c>
      <c r="AO47" s="58">
        <v>14.218999999999999</v>
      </c>
      <c r="AP47" s="58">
        <v>3.2069999999999999</v>
      </c>
      <c r="AQ47" s="58">
        <v>15.132</v>
      </c>
      <c r="AR47" s="58">
        <v>11.009</v>
      </c>
      <c r="AS47" s="58">
        <v>4.1230000000000002</v>
      </c>
      <c r="AT47" s="58">
        <v>30.606999999999999</v>
      </c>
      <c r="AU47" s="58">
        <v>11.318</v>
      </c>
      <c r="AV47" s="58">
        <v>19.289000000000001</v>
      </c>
      <c r="AW47" s="58">
        <v>297.30900000000003</v>
      </c>
      <c r="AX47" s="58">
        <v>156.15700000000001</v>
      </c>
      <c r="AY47" s="58">
        <v>141.15199999999999</v>
      </c>
      <c r="AZ47" s="58">
        <v>131.613</v>
      </c>
      <c r="BA47" s="58">
        <v>103.89100000000001</v>
      </c>
      <c r="BB47" s="58">
        <v>27.722999999999999</v>
      </c>
      <c r="BC47" s="58">
        <v>165.696</v>
      </c>
      <c r="BD47" s="58">
        <v>52.267000000000003</v>
      </c>
      <c r="BE47" s="58">
        <v>113.429</v>
      </c>
      <c r="BF47" s="58">
        <v>159.52699999999999</v>
      </c>
      <c r="BG47" s="58">
        <v>125.178</v>
      </c>
      <c r="BH47" s="58">
        <v>34.348999999999997</v>
      </c>
      <c r="BI47" s="58">
        <v>179.072</v>
      </c>
      <c r="BJ47" s="58">
        <v>56.66</v>
      </c>
      <c r="BK47" s="58">
        <v>122.411</v>
      </c>
      <c r="BL47" s="58">
        <v>183.12200000000001</v>
      </c>
      <c r="BM47" s="58">
        <v>66.486000000000004</v>
      </c>
      <c r="BN47" s="58">
        <v>116.636</v>
      </c>
      <c r="BO47" s="58">
        <v>2545.2399999999998</v>
      </c>
      <c r="BP47" s="58">
        <v>1312.1310000000001</v>
      </c>
      <c r="BQ47" s="58">
        <v>1233.1079999999999</v>
      </c>
      <c r="BR47" s="58">
        <v>1895.1289999999999</v>
      </c>
      <c r="BS47" s="58">
        <v>1184.374</v>
      </c>
      <c r="BT47" s="58">
        <v>710.755</v>
      </c>
      <c r="BU47" s="58">
        <v>650.11099999999999</v>
      </c>
      <c r="BV47" s="58">
        <v>127.758</v>
      </c>
      <c r="BW47" s="58">
        <v>522.35400000000004</v>
      </c>
      <c r="BX47" s="58">
        <v>327.34500000000003</v>
      </c>
      <c r="BY47" s="58">
        <v>160.48099999999999</v>
      </c>
      <c r="BZ47" s="58">
        <v>166.864</v>
      </c>
      <c r="CA47" s="58">
        <v>71.501999999999995</v>
      </c>
      <c r="CB47" s="58">
        <v>42.987000000000002</v>
      </c>
      <c r="CC47" s="58">
        <v>28.515000000000001</v>
      </c>
      <c r="CD47" s="58">
        <v>31.311</v>
      </c>
      <c r="CE47" s="58">
        <v>24.847999999999999</v>
      </c>
      <c r="CF47" s="58">
        <v>6.4630000000000001</v>
      </c>
      <c r="CG47" s="58">
        <v>16.532</v>
      </c>
      <c r="CH47" s="58">
        <v>13.163</v>
      </c>
      <c r="CI47" s="58">
        <v>3.3679999999999999</v>
      </c>
      <c r="CJ47" s="58">
        <v>14.78</v>
      </c>
      <c r="CK47" s="58">
        <v>11.685</v>
      </c>
      <c r="CL47" s="58">
        <v>3.0950000000000002</v>
      </c>
      <c r="CM47" s="58">
        <v>40.191000000000003</v>
      </c>
      <c r="CN47" s="58">
        <v>18.138999999999999</v>
      </c>
      <c r="CO47" s="58">
        <v>22.052</v>
      </c>
      <c r="CP47" s="58">
        <v>285.19</v>
      </c>
      <c r="CQ47" s="58">
        <v>135.38800000000001</v>
      </c>
      <c r="CR47" s="58">
        <v>149.80199999999999</v>
      </c>
      <c r="CS47" s="58">
        <v>111.392</v>
      </c>
      <c r="CT47" s="58">
        <v>81.063000000000002</v>
      </c>
      <c r="CU47" s="58">
        <v>30.33</v>
      </c>
      <c r="CV47" s="58">
        <v>173.798</v>
      </c>
      <c r="CW47" s="58">
        <v>54.325000000000003</v>
      </c>
      <c r="CX47" s="58">
        <v>119.473</v>
      </c>
      <c r="CY47" s="58">
        <v>137.66300000000001</v>
      </c>
      <c r="CZ47" s="58">
        <v>101.812</v>
      </c>
      <c r="DA47" s="58">
        <v>35.851999999999997</v>
      </c>
      <c r="DB47" s="58">
        <v>189.68199999999999</v>
      </c>
      <c r="DC47" s="58">
        <v>58.668999999999997</v>
      </c>
      <c r="DD47" s="58">
        <v>131.01300000000001</v>
      </c>
      <c r="DE47" s="58">
        <v>190.33</v>
      </c>
      <c r="DF47" s="58">
        <v>67.489000000000004</v>
      </c>
      <c r="DG47" s="58">
        <v>122.84099999999999</v>
      </c>
      <c r="DH47" s="58">
        <v>2298.5509999999999</v>
      </c>
      <c r="DI47" s="58">
        <v>1272.3989999999999</v>
      </c>
      <c r="DJ47" s="58">
        <v>1026.152</v>
      </c>
      <c r="DK47" s="58">
        <v>1462.0709999999999</v>
      </c>
      <c r="DL47" s="58">
        <v>970.66899999999998</v>
      </c>
      <c r="DM47" s="58">
        <v>491.40199999999999</v>
      </c>
      <c r="DN47" s="58">
        <v>836.48</v>
      </c>
      <c r="DO47" s="58">
        <v>301.73</v>
      </c>
      <c r="DP47" s="58">
        <v>534.75</v>
      </c>
      <c r="DQ47" s="58">
        <v>238.86099999999999</v>
      </c>
      <c r="DR47" s="58">
        <v>128.97999999999999</v>
      </c>
      <c r="DS47" s="58">
        <v>109.881</v>
      </c>
      <c r="DT47" s="58">
        <v>67.387</v>
      </c>
      <c r="DU47" s="58">
        <v>40.566000000000003</v>
      </c>
      <c r="DV47" s="58">
        <v>26.821999999999999</v>
      </c>
      <c r="DW47" s="58">
        <v>21.295000000000002</v>
      </c>
      <c r="DX47" s="58">
        <v>18.523</v>
      </c>
      <c r="DY47" s="58">
        <v>2.7719999999999998</v>
      </c>
      <c r="DZ47" s="58">
        <v>14.055</v>
      </c>
      <c r="EA47" s="58">
        <v>11.688000000000001</v>
      </c>
      <c r="EB47" s="58">
        <v>2.3679999999999999</v>
      </c>
      <c r="EC47" s="58">
        <v>7.2389999999999999</v>
      </c>
      <c r="ED47" s="58">
        <v>6.835</v>
      </c>
      <c r="EE47" s="58">
        <v>0.40400000000000003</v>
      </c>
      <c r="EF47" s="58">
        <v>46.093000000000004</v>
      </c>
      <c r="EG47" s="58">
        <v>22.042999999999999</v>
      </c>
      <c r="EH47" s="58">
        <v>24.05</v>
      </c>
      <c r="EI47" s="58">
        <v>200.25299999999999</v>
      </c>
      <c r="EJ47" s="58">
        <v>105.991</v>
      </c>
      <c r="EK47" s="58">
        <v>94.262</v>
      </c>
      <c r="EL47" s="58">
        <v>62.472000000000001</v>
      </c>
      <c r="EM47" s="58">
        <v>44.210999999999999</v>
      </c>
      <c r="EN47" s="58">
        <v>18.260999999999999</v>
      </c>
      <c r="EO47" s="58">
        <v>137.78100000000001</v>
      </c>
      <c r="EP47" s="58">
        <v>61.78</v>
      </c>
      <c r="EQ47" s="58">
        <v>76.001000000000005</v>
      </c>
      <c r="ER47" s="58">
        <v>77.975999999999999</v>
      </c>
      <c r="ES47" s="58">
        <v>57.506999999999998</v>
      </c>
      <c r="ET47" s="58">
        <v>20.469000000000001</v>
      </c>
      <c r="EU47" s="58">
        <v>160.88399999999999</v>
      </c>
      <c r="EV47" s="58">
        <v>71.472999999999999</v>
      </c>
      <c r="EW47" s="58">
        <v>89.411000000000001</v>
      </c>
      <c r="EX47" s="58">
        <v>151.83600000000001</v>
      </c>
      <c r="EY47" s="58">
        <v>73.468000000000004</v>
      </c>
      <c r="EZ47" s="58">
        <v>78.367999999999995</v>
      </c>
      <c r="FA47" s="58">
        <v>1803.047</v>
      </c>
      <c r="FB47" s="58">
        <v>968.95699999999999</v>
      </c>
      <c r="FC47" s="58">
        <v>834.09</v>
      </c>
      <c r="FD47" s="58">
        <v>1240.337</v>
      </c>
      <c r="FE47" s="58">
        <v>801.779</v>
      </c>
      <c r="FF47" s="58">
        <v>438.55799999999999</v>
      </c>
      <c r="FG47" s="58">
        <v>562.71</v>
      </c>
      <c r="FH47" s="58">
        <v>167.178</v>
      </c>
      <c r="FI47" s="58">
        <v>395.53199999999998</v>
      </c>
      <c r="FJ47" s="58">
        <v>203.374</v>
      </c>
      <c r="FK47" s="58">
        <v>106.485</v>
      </c>
      <c r="FL47" s="58">
        <v>96.888000000000005</v>
      </c>
      <c r="FM47" s="58">
        <v>49.969000000000001</v>
      </c>
      <c r="FN47" s="58">
        <v>28.914000000000001</v>
      </c>
      <c r="FO47" s="58">
        <v>21.055</v>
      </c>
      <c r="FP47" s="58">
        <v>18.326000000000001</v>
      </c>
      <c r="FQ47" s="58">
        <v>16.003</v>
      </c>
      <c r="FR47" s="58">
        <v>2.3239999999999998</v>
      </c>
      <c r="FS47" s="58">
        <v>11.77</v>
      </c>
      <c r="FT47" s="58">
        <v>9.85</v>
      </c>
      <c r="FU47" s="58">
        <v>1.92</v>
      </c>
      <c r="FV47" s="58">
        <v>6.556</v>
      </c>
      <c r="FW47" s="58">
        <v>6.1520000000000001</v>
      </c>
      <c r="FX47" s="58">
        <v>0.40400000000000003</v>
      </c>
      <c r="FY47" s="58">
        <v>31.641999999999999</v>
      </c>
      <c r="FZ47" s="58">
        <v>12.911</v>
      </c>
      <c r="GA47" s="58">
        <v>18.731000000000002</v>
      </c>
      <c r="GB47" s="58">
        <v>177.45099999999999</v>
      </c>
      <c r="GC47" s="58">
        <v>91.619</v>
      </c>
      <c r="GD47" s="58">
        <v>85.831999999999994</v>
      </c>
      <c r="GE47" s="58">
        <v>56.302</v>
      </c>
      <c r="GF47" s="58">
        <v>39.406999999999996</v>
      </c>
      <c r="GG47" s="58">
        <v>16.893999999999998</v>
      </c>
      <c r="GH47" s="58">
        <v>121.15</v>
      </c>
      <c r="GI47" s="58">
        <v>52.212000000000003</v>
      </c>
      <c r="GJ47" s="58">
        <v>68.938000000000002</v>
      </c>
      <c r="GK47" s="58">
        <v>69.245000000000005</v>
      </c>
      <c r="GL47" s="58">
        <v>50.591000000000001</v>
      </c>
      <c r="GM47" s="58">
        <v>18.655000000000001</v>
      </c>
      <c r="GN47" s="58">
        <v>134.12799999999999</v>
      </c>
      <c r="GO47" s="58">
        <v>55.893999999999998</v>
      </c>
      <c r="GP47" s="58">
        <v>78.233999999999995</v>
      </c>
      <c r="GQ47" s="58">
        <v>132.91999999999999</v>
      </c>
      <c r="GR47" s="58">
        <v>62.061999999999998</v>
      </c>
      <c r="GS47" s="58">
        <v>70.858000000000004</v>
      </c>
      <c r="GT47" s="58">
        <v>495.50400000000002</v>
      </c>
      <c r="GU47" s="58">
        <v>303.44099999999997</v>
      </c>
      <c r="GV47" s="58">
        <v>192.06200000000001</v>
      </c>
      <c r="GW47" s="58">
        <v>221.73400000000001</v>
      </c>
      <c r="GX47" s="58">
        <v>168.89</v>
      </c>
      <c r="GY47" s="58">
        <v>52.844000000000001</v>
      </c>
      <c r="GZ47" s="58">
        <v>273.77</v>
      </c>
      <c r="HA47" s="58">
        <v>134.55199999999999</v>
      </c>
      <c r="HB47" s="58">
        <v>139.21799999999999</v>
      </c>
      <c r="HC47" s="58">
        <v>35.487000000000002</v>
      </c>
      <c r="HD47" s="58">
        <v>22.495000000000001</v>
      </c>
      <c r="HE47" s="58">
        <v>12.992000000000001</v>
      </c>
      <c r="HF47" s="58">
        <v>17.417999999999999</v>
      </c>
      <c r="HG47" s="58">
        <v>11.651999999999999</v>
      </c>
      <c r="HH47" s="58">
        <v>5.7670000000000003</v>
      </c>
      <c r="HI47" s="58">
        <v>2.968</v>
      </c>
      <c r="HJ47" s="58">
        <v>2.52</v>
      </c>
      <c r="HK47" s="58">
        <v>0.44800000000000001</v>
      </c>
      <c r="HL47" s="58">
        <v>2.2850000000000001</v>
      </c>
      <c r="HM47" s="58">
        <v>1.837</v>
      </c>
      <c r="HN47" s="58">
        <v>0.44800000000000001</v>
      </c>
      <c r="HO47" s="58">
        <v>0.68300000000000005</v>
      </c>
      <c r="HP47" s="58">
        <v>0.68300000000000005</v>
      </c>
      <c r="HQ47" s="58">
        <v>0</v>
      </c>
      <c r="HR47" s="58">
        <v>14.45</v>
      </c>
      <c r="HS47" s="58">
        <v>9.1319999999999997</v>
      </c>
      <c r="HT47" s="58">
        <v>5.319</v>
      </c>
      <c r="HU47" s="58">
        <v>22.802</v>
      </c>
      <c r="HV47" s="58">
        <v>14.372</v>
      </c>
      <c r="HW47" s="58">
        <v>8.43</v>
      </c>
      <c r="HX47" s="58">
        <v>6.17</v>
      </c>
      <c r="HY47" s="58">
        <v>4.8029999999999999</v>
      </c>
      <c r="HZ47" s="58">
        <v>1.367</v>
      </c>
      <c r="IA47" s="58">
        <v>16.631</v>
      </c>
      <c r="IB47" s="58">
        <v>9.5679999999999996</v>
      </c>
      <c r="IC47" s="58">
        <v>7.0629999999999997</v>
      </c>
      <c r="ID47" s="58">
        <v>8.7309999999999999</v>
      </c>
      <c r="IE47" s="58">
        <v>6.9160000000000004</v>
      </c>
      <c r="IF47" s="58">
        <v>1.8149999999999999</v>
      </c>
      <c r="IG47" s="58">
        <v>26.756</v>
      </c>
      <c r="IH47" s="58">
        <v>15.579000000000001</v>
      </c>
      <c r="II47" s="58">
        <v>11.177</v>
      </c>
      <c r="IJ47" s="58">
        <v>18.916</v>
      </c>
      <c r="IK47" s="58">
        <v>11.406000000000001</v>
      </c>
      <c r="IL47" s="58">
        <v>7.5110000000000001</v>
      </c>
      <c r="IM47" s="58">
        <v>3876.5149999999999</v>
      </c>
      <c r="IN47" s="58">
        <v>2080.415</v>
      </c>
      <c r="IO47" s="58">
        <v>1796.1</v>
      </c>
      <c r="IP47" s="58">
        <v>2717.6889999999999</v>
      </c>
      <c r="IQ47" s="58">
        <v>1706.749</v>
      </c>
    </row>
    <row r="48" spans="1:251">
      <c r="A48" s="5">
        <v>42948</v>
      </c>
      <c r="B48" s="58">
        <v>14.574999999999999</v>
      </c>
      <c r="C48" s="58">
        <v>17.297000000000001</v>
      </c>
      <c r="D48" s="58">
        <v>364.56200000000001</v>
      </c>
      <c r="E48" s="58">
        <v>211.32300000000001</v>
      </c>
      <c r="F48" s="58">
        <v>153.239</v>
      </c>
      <c r="G48" s="58">
        <v>177.732</v>
      </c>
      <c r="H48" s="58">
        <v>133.036</v>
      </c>
      <c r="I48" s="58">
        <v>44.695999999999998</v>
      </c>
      <c r="J48" s="58">
        <v>186.83</v>
      </c>
      <c r="K48" s="58">
        <v>78.287000000000006</v>
      </c>
      <c r="L48" s="58">
        <v>108.54300000000001</v>
      </c>
      <c r="M48" s="58">
        <v>198.999</v>
      </c>
      <c r="N48" s="58">
        <v>147.60599999999999</v>
      </c>
      <c r="O48" s="58">
        <v>51.393000000000001</v>
      </c>
      <c r="P48" s="58">
        <v>197.80699999999999</v>
      </c>
      <c r="Q48" s="58">
        <v>81.239999999999995</v>
      </c>
      <c r="R48" s="58">
        <v>116.56699999999999</v>
      </c>
      <c r="S48" s="58">
        <v>202.85599999999999</v>
      </c>
      <c r="T48" s="58">
        <v>90.453000000000003</v>
      </c>
      <c r="U48" s="58">
        <v>112.40300000000001</v>
      </c>
      <c r="V48" s="58">
        <v>2661.105</v>
      </c>
      <c r="W48" s="58">
        <v>1431.9449999999999</v>
      </c>
      <c r="X48" s="58">
        <v>1229.1600000000001</v>
      </c>
      <c r="Y48" s="58">
        <v>1944.7180000000001</v>
      </c>
      <c r="Z48" s="58">
        <v>1287.6179999999999</v>
      </c>
      <c r="AA48" s="58">
        <v>657.101</v>
      </c>
      <c r="AB48" s="58">
        <v>716.38699999999994</v>
      </c>
      <c r="AC48" s="58">
        <v>144.327</v>
      </c>
      <c r="AD48" s="58">
        <v>572.05899999999997</v>
      </c>
      <c r="AE48" s="58">
        <v>325.38799999999998</v>
      </c>
      <c r="AF48" s="58">
        <v>170.66399999999999</v>
      </c>
      <c r="AG48" s="58">
        <v>154.72399999999999</v>
      </c>
      <c r="AH48" s="58">
        <v>57.884999999999998</v>
      </c>
      <c r="AI48" s="58">
        <v>34.969000000000001</v>
      </c>
      <c r="AJ48" s="58">
        <v>22.916</v>
      </c>
      <c r="AK48" s="58">
        <v>28.998000000000001</v>
      </c>
      <c r="AL48" s="58">
        <v>21.957999999999998</v>
      </c>
      <c r="AM48" s="58">
        <v>7.04</v>
      </c>
      <c r="AN48" s="58">
        <v>14.294</v>
      </c>
      <c r="AO48" s="58">
        <v>11.831</v>
      </c>
      <c r="AP48" s="58">
        <v>2.464</v>
      </c>
      <c r="AQ48" s="58">
        <v>14.702999999999999</v>
      </c>
      <c r="AR48" s="58">
        <v>10.127000000000001</v>
      </c>
      <c r="AS48" s="58">
        <v>4.5759999999999996</v>
      </c>
      <c r="AT48" s="58">
        <v>28.887</v>
      </c>
      <c r="AU48" s="58">
        <v>13.010999999999999</v>
      </c>
      <c r="AV48" s="58">
        <v>15.875999999999999</v>
      </c>
      <c r="AW48" s="58">
        <v>291.27699999999999</v>
      </c>
      <c r="AX48" s="58">
        <v>148.761</v>
      </c>
      <c r="AY48" s="58">
        <v>142.51499999999999</v>
      </c>
      <c r="AZ48" s="58">
        <v>125.556</v>
      </c>
      <c r="BA48" s="58">
        <v>94.921000000000006</v>
      </c>
      <c r="BB48" s="58">
        <v>30.635000000000002</v>
      </c>
      <c r="BC48" s="58">
        <v>165.721</v>
      </c>
      <c r="BD48" s="58">
        <v>53.84</v>
      </c>
      <c r="BE48" s="58">
        <v>111.881</v>
      </c>
      <c r="BF48" s="58">
        <v>149.185</v>
      </c>
      <c r="BG48" s="58">
        <v>112.006</v>
      </c>
      <c r="BH48" s="58">
        <v>37.179000000000002</v>
      </c>
      <c r="BI48" s="58">
        <v>176.203</v>
      </c>
      <c r="BJ48" s="58">
        <v>58.658000000000001</v>
      </c>
      <c r="BK48" s="58">
        <v>117.545</v>
      </c>
      <c r="BL48" s="58">
        <v>180.01499999999999</v>
      </c>
      <c r="BM48" s="58">
        <v>65.671000000000006</v>
      </c>
      <c r="BN48" s="58">
        <v>114.34399999999999</v>
      </c>
      <c r="BO48" s="58">
        <v>2542.1</v>
      </c>
      <c r="BP48" s="58">
        <v>1309.405</v>
      </c>
      <c r="BQ48" s="58">
        <v>1232.6949999999999</v>
      </c>
      <c r="BR48" s="58">
        <v>1891.5640000000001</v>
      </c>
      <c r="BS48" s="58">
        <v>1186.92</v>
      </c>
      <c r="BT48" s="58">
        <v>704.64400000000001</v>
      </c>
      <c r="BU48" s="58">
        <v>650.53599999999994</v>
      </c>
      <c r="BV48" s="58">
        <v>122.485</v>
      </c>
      <c r="BW48" s="58">
        <v>528.04999999999995</v>
      </c>
      <c r="BX48" s="58">
        <v>331.137</v>
      </c>
      <c r="BY48" s="58">
        <v>161.11000000000001</v>
      </c>
      <c r="BZ48" s="58">
        <v>170.02699999999999</v>
      </c>
      <c r="CA48" s="58">
        <v>69.739000000000004</v>
      </c>
      <c r="CB48" s="58">
        <v>36.049999999999997</v>
      </c>
      <c r="CC48" s="58">
        <v>33.689</v>
      </c>
      <c r="CD48" s="58">
        <v>37.131999999999998</v>
      </c>
      <c r="CE48" s="58">
        <v>24.414999999999999</v>
      </c>
      <c r="CF48" s="58">
        <v>12.718</v>
      </c>
      <c r="CG48" s="58">
        <v>16.742000000000001</v>
      </c>
      <c r="CH48" s="58">
        <v>10.925000000000001</v>
      </c>
      <c r="CI48" s="58">
        <v>5.8170000000000002</v>
      </c>
      <c r="CJ48" s="58">
        <v>20.39</v>
      </c>
      <c r="CK48" s="58">
        <v>13.49</v>
      </c>
      <c r="CL48" s="58">
        <v>6.9009999999999998</v>
      </c>
      <c r="CM48" s="58">
        <v>32.606999999999999</v>
      </c>
      <c r="CN48" s="58">
        <v>11.635</v>
      </c>
      <c r="CO48" s="58">
        <v>20.971</v>
      </c>
      <c r="CP48" s="58">
        <v>287.41800000000001</v>
      </c>
      <c r="CQ48" s="58">
        <v>138.815</v>
      </c>
      <c r="CR48" s="58">
        <v>148.60300000000001</v>
      </c>
      <c r="CS48" s="58">
        <v>113.2</v>
      </c>
      <c r="CT48" s="58">
        <v>87.613</v>
      </c>
      <c r="CU48" s="58">
        <v>25.587</v>
      </c>
      <c r="CV48" s="58">
        <v>174.21700000000001</v>
      </c>
      <c r="CW48" s="58">
        <v>51.201999999999998</v>
      </c>
      <c r="CX48" s="58">
        <v>123.01600000000001</v>
      </c>
      <c r="CY48" s="58">
        <v>143.751</v>
      </c>
      <c r="CZ48" s="58">
        <v>106.64</v>
      </c>
      <c r="DA48" s="58">
        <v>37.110999999999997</v>
      </c>
      <c r="DB48" s="58">
        <v>187.386</v>
      </c>
      <c r="DC48" s="58">
        <v>54.47</v>
      </c>
      <c r="DD48" s="58">
        <v>132.916</v>
      </c>
      <c r="DE48" s="58">
        <v>190.959</v>
      </c>
      <c r="DF48" s="58">
        <v>62.125999999999998</v>
      </c>
      <c r="DG48" s="58">
        <v>128.833</v>
      </c>
      <c r="DH48" s="58">
        <v>2309.922</v>
      </c>
      <c r="DI48" s="58">
        <v>1272.4010000000001</v>
      </c>
      <c r="DJ48" s="58">
        <v>1037.521</v>
      </c>
      <c r="DK48" s="58">
        <v>1470.1179999999999</v>
      </c>
      <c r="DL48" s="58">
        <v>975.56500000000005</v>
      </c>
      <c r="DM48" s="58">
        <v>494.553</v>
      </c>
      <c r="DN48" s="58">
        <v>839.803</v>
      </c>
      <c r="DO48" s="58">
        <v>296.83499999999998</v>
      </c>
      <c r="DP48" s="58">
        <v>542.96799999999996</v>
      </c>
      <c r="DQ48" s="58">
        <v>259.798</v>
      </c>
      <c r="DR48" s="58">
        <v>146.53</v>
      </c>
      <c r="DS48" s="58">
        <v>113.268</v>
      </c>
      <c r="DT48" s="58">
        <v>75.701999999999998</v>
      </c>
      <c r="DU48" s="58">
        <v>47.82</v>
      </c>
      <c r="DV48" s="58">
        <v>27.882000000000001</v>
      </c>
      <c r="DW48" s="58">
        <v>27.384</v>
      </c>
      <c r="DX48" s="58">
        <v>22.442</v>
      </c>
      <c r="DY48" s="58">
        <v>4.9420000000000002</v>
      </c>
      <c r="DZ48" s="58">
        <v>15.374000000000001</v>
      </c>
      <c r="EA48" s="58">
        <v>13.922000000000001</v>
      </c>
      <c r="EB48" s="58">
        <v>1.452</v>
      </c>
      <c r="EC48" s="58">
        <v>12.01</v>
      </c>
      <c r="ED48" s="58">
        <v>8.52</v>
      </c>
      <c r="EE48" s="58">
        <v>3.49</v>
      </c>
      <c r="EF48" s="58">
        <v>48.317999999999998</v>
      </c>
      <c r="EG48" s="58">
        <v>25.378</v>
      </c>
      <c r="EH48" s="58">
        <v>22.94</v>
      </c>
      <c r="EI48" s="58">
        <v>209.71600000000001</v>
      </c>
      <c r="EJ48" s="58">
        <v>115.375</v>
      </c>
      <c r="EK48" s="58">
        <v>94.340999999999994</v>
      </c>
      <c r="EL48" s="58">
        <v>69.594999999999999</v>
      </c>
      <c r="EM48" s="58">
        <v>54.817999999999998</v>
      </c>
      <c r="EN48" s="58">
        <v>14.776999999999999</v>
      </c>
      <c r="EO48" s="58">
        <v>140.12100000000001</v>
      </c>
      <c r="EP48" s="58">
        <v>60.557000000000002</v>
      </c>
      <c r="EQ48" s="58">
        <v>79.563999999999993</v>
      </c>
      <c r="ER48" s="58">
        <v>90.626999999999995</v>
      </c>
      <c r="ES48" s="58">
        <v>70.983000000000004</v>
      </c>
      <c r="ET48" s="58">
        <v>19.643999999999998</v>
      </c>
      <c r="EU48" s="58">
        <v>169.17099999999999</v>
      </c>
      <c r="EV48" s="58">
        <v>75.546999999999997</v>
      </c>
      <c r="EW48" s="58">
        <v>93.623999999999995</v>
      </c>
      <c r="EX48" s="58">
        <v>155.495</v>
      </c>
      <c r="EY48" s="58">
        <v>74.477999999999994</v>
      </c>
      <c r="EZ48" s="58">
        <v>81.016999999999996</v>
      </c>
      <c r="FA48" s="58">
        <v>1815.4110000000001</v>
      </c>
      <c r="FB48" s="58">
        <v>969.48299999999995</v>
      </c>
      <c r="FC48" s="58">
        <v>845.928</v>
      </c>
      <c r="FD48" s="58">
        <v>1244.2270000000001</v>
      </c>
      <c r="FE48" s="58">
        <v>805.36099999999999</v>
      </c>
      <c r="FF48" s="58">
        <v>438.86599999999999</v>
      </c>
      <c r="FG48" s="58">
        <v>571.18299999999999</v>
      </c>
      <c r="FH48" s="58">
        <v>164.12100000000001</v>
      </c>
      <c r="FI48" s="58">
        <v>407.06200000000001</v>
      </c>
      <c r="FJ48" s="58">
        <v>218.911</v>
      </c>
      <c r="FK48" s="58">
        <v>117.96299999999999</v>
      </c>
      <c r="FL48" s="58">
        <v>100.94799999999999</v>
      </c>
      <c r="FM48" s="58">
        <v>53.570999999999998</v>
      </c>
      <c r="FN48" s="58">
        <v>30.795000000000002</v>
      </c>
      <c r="FO48" s="58">
        <v>22.776</v>
      </c>
      <c r="FP48" s="58">
        <v>22.922000000000001</v>
      </c>
      <c r="FQ48" s="58">
        <v>18.439</v>
      </c>
      <c r="FR48" s="58">
        <v>4.4829999999999997</v>
      </c>
      <c r="FS48" s="58">
        <v>12.602</v>
      </c>
      <c r="FT48" s="58">
        <v>11.366</v>
      </c>
      <c r="FU48" s="58">
        <v>1.236</v>
      </c>
      <c r="FV48" s="58">
        <v>10.319000000000001</v>
      </c>
      <c r="FW48" s="58">
        <v>7.0720000000000001</v>
      </c>
      <c r="FX48" s="58">
        <v>3.2469999999999999</v>
      </c>
      <c r="FY48" s="58">
        <v>30.65</v>
      </c>
      <c r="FZ48" s="58">
        <v>12.356999999999999</v>
      </c>
      <c r="GA48" s="58">
        <v>18.292999999999999</v>
      </c>
      <c r="GB48" s="58">
        <v>185.56399999999999</v>
      </c>
      <c r="GC48" s="58">
        <v>100.071</v>
      </c>
      <c r="GD48" s="58">
        <v>85.492999999999995</v>
      </c>
      <c r="GE48" s="58">
        <v>65.56</v>
      </c>
      <c r="GF48" s="58">
        <v>51.058</v>
      </c>
      <c r="GG48" s="58">
        <v>14.502000000000001</v>
      </c>
      <c r="GH48" s="58">
        <v>120.004</v>
      </c>
      <c r="GI48" s="58">
        <v>49.012999999999998</v>
      </c>
      <c r="GJ48" s="58">
        <v>70.991</v>
      </c>
      <c r="GK48" s="58">
        <v>82.129000000000005</v>
      </c>
      <c r="GL48" s="58">
        <v>63.22</v>
      </c>
      <c r="GM48" s="58">
        <v>18.91</v>
      </c>
      <c r="GN48" s="58">
        <v>136.78200000000001</v>
      </c>
      <c r="GO48" s="58">
        <v>54.743000000000002</v>
      </c>
      <c r="GP48" s="58">
        <v>82.039000000000001</v>
      </c>
      <c r="GQ48" s="58">
        <v>132.607</v>
      </c>
      <c r="GR48" s="58">
        <v>60.38</v>
      </c>
      <c r="GS48" s="58">
        <v>72.227000000000004</v>
      </c>
      <c r="GT48" s="58">
        <v>494.51100000000002</v>
      </c>
      <c r="GU48" s="58">
        <v>302.91800000000001</v>
      </c>
      <c r="GV48" s="58">
        <v>191.59299999999999</v>
      </c>
      <c r="GW48" s="58">
        <v>225.89099999999999</v>
      </c>
      <c r="GX48" s="58">
        <v>170.20400000000001</v>
      </c>
      <c r="GY48" s="58">
        <v>55.686999999999998</v>
      </c>
      <c r="GZ48" s="58">
        <v>268.62</v>
      </c>
      <c r="HA48" s="58">
        <v>132.714</v>
      </c>
      <c r="HB48" s="58">
        <v>135.90600000000001</v>
      </c>
      <c r="HC48" s="58">
        <v>40.887</v>
      </c>
      <c r="HD48" s="58">
        <v>28.568000000000001</v>
      </c>
      <c r="HE48" s="58">
        <v>12.32</v>
      </c>
      <c r="HF48" s="58">
        <v>22.131</v>
      </c>
      <c r="HG48" s="58">
        <v>17.024000000000001</v>
      </c>
      <c r="HH48" s="58">
        <v>5.1070000000000002</v>
      </c>
      <c r="HI48" s="58">
        <v>4.4630000000000001</v>
      </c>
      <c r="HJ48" s="58">
        <v>4.0030000000000001</v>
      </c>
      <c r="HK48" s="58">
        <v>0.45900000000000002</v>
      </c>
      <c r="HL48" s="58">
        <v>2.7719999999999998</v>
      </c>
      <c r="HM48" s="58">
        <v>2.556</v>
      </c>
      <c r="HN48" s="58">
        <v>0.216</v>
      </c>
      <c r="HO48" s="58">
        <v>1.6910000000000001</v>
      </c>
      <c r="HP48" s="58">
        <v>1.4470000000000001</v>
      </c>
      <c r="HQ48" s="58">
        <v>0.24399999999999999</v>
      </c>
      <c r="HR48" s="58">
        <v>17.667999999999999</v>
      </c>
      <c r="HS48" s="58">
        <v>13.021000000000001</v>
      </c>
      <c r="HT48" s="58">
        <v>4.6470000000000002</v>
      </c>
      <c r="HU48" s="58">
        <v>24.152000000000001</v>
      </c>
      <c r="HV48" s="58">
        <v>15.304</v>
      </c>
      <c r="HW48" s="58">
        <v>8.8490000000000002</v>
      </c>
      <c r="HX48" s="58">
        <v>4.0350000000000001</v>
      </c>
      <c r="HY48" s="58">
        <v>3.7610000000000001</v>
      </c>
      <c r="HZ48" s="58">
        <v>0.27500000000000002</v>
      </c>
      <c r="IA48" s="58">
        <v>20.117000000000001</v>
      </c>
      <c r="IB48" s="58">
        <v>11.542999999999999</v>
      </c>
      <c r="IC48" s="58">
        <v>8.5739999999999998</v>
      </c>
      <c r="ID48" s="58">
        <v>8.4979999999999993</v>
      </c>
      <c r="IE48" s="58">
        <v>7.7640000000000002</v>
      </c>
      <c r="IF48" s="58">
        <v>0.73399999999999999</v>
      </c>
      <c r="IG48" s="58">
        <v>32.389000000000003</v>
      </c>
      <c r="IH48" s="58">
        <v>20.803999999999998</v>
      </c>
      <c r="II48" s="58">
        <v>11.585000000000001</v>
      </c>
      <c r="IJ48" s="58">
        <v>22.888000000000002</v>
      </c>
      <c r="IK48" s="58">
        <v>14.099</v>
      </c>
      <c r="IL48" s="58">
        <v>8.7899999999999991</v>
      </c>
      <c r="IM48" s="58">
        <v>3861.0810000000001</v>
      </c>
      <c r="IN48" s="58">
        <v>2053.9070000000002</v>
      </c>
      <c r="IO48" s="58">
        <v>1807.174</v>
      </c>
      <c r="IP48" s="58">
        <v>2707.8780000000002</v>
      </c>
      <c r="IQ48" s="58">
        <v>1684.356</v>
      </c>
    </row>
    <row r="49" spans="1:251">
      <c r="A49" s="5">
        <v>42979</v>
      </c>
      <c r="B49" s="58">
        <v>13.247</v>
      </c>
      <c r="C49" s="58">
        <v>15.476000000000001</v>
      </c>
      <c r="D49" s="58">
        <v>344.84500000000003</v>
      </c>
      <c r="E49" s="58">
        <v>199.16800000000001</v>
      </c>
      <c r="F49" s="58">
        <v>145.67699999999999</v>
      </c>
      <c r="G49" s="58">
        <v>162.52699999999999</v>
      </c>
      <c r="H49" s="58">
        <v>124.34</v>
      </c>
      <c r="I49" s="58">
        <v>38.188000000000002</v>
      </c>
      <c r="J49" s="58">
        <v>182.31800000000001</v>
      </c>
      <c r="K49" s="58">
        <v>74.828000000000003</v>
      </c>
      <c r="L49" s="58">
        <v>107.489</v>
      </c>
      <c r="M49" s="58">
        <v>182.17</v>
      </c>
      <c r="N49" s="58">
        <v>138.733</v>
      </c>
      <c r="O49" s="58">
        <v>43.436999999999998</v>
      </c>
      <c r="P49" s="58">
        <v>190.85300000000001</v>
      </c>
      <c r="Q49" s="58">
        <v>77.22</v>
      </c>
      <c r="R49" s="58">
        <v>113.634</v>
      </c>
      <c r="S49" s="58">
        <v>200.09899999999999</v>
      </c>
      <c r="T49" s="58">
        <v>89.855000000000004</v>
      </c>
      <c r="U49" s="58">
        <v>110.244</v>
      </c>
      <c r="V49" s="58">
        <v>2665.1379999999999</v>
      </c>
      <c r="W49" s="58">
        <v>1430.21</v>
      </c>
      <c r="X49" s="58">
        <v>1234.9290000000001</v>
      </c>
      <c r="Y49" s="58">
        <v>1963.0340000000001</v>
      </c>
      <c r="Z49" s="58">
        <v>1287.1030000000001</v>
      </c>
      <c r="AA49" s="58">
        <v>675.93100000000004</v>
      </c>
      <c r="AB49" s="58">
        <v>702.10500000000002</v>
      </c>
      <c r="AC49" s="58">
        <v>143.107</v>
      </c>
      <c r="AD49" s="58">
        <v>558.99800000000005</v>
      </c>
      <c r="AE49" s="58">
        <v>319.98500000000001</v>
      </c>
      <c r="AF49" s="58">
        <v>170.392</v>
      </c>
      <c r="AG49" s="58">
        <v>149.59299999999999</v>
      </c>
      <c r="AH49" s="58">
        <v>54.052999999999997</v>
      </c>
      <c r="AI49" s="58">
        <v>30.213000000000001</v>
      </c>
      <c r="AJ49" s="58">
        <v>23.84</v>
      </c>
      <c r="AK49" s="58">
        <v>25.747</v>
      </c>
      <c r="AL49" s="58">
        <v>21.076000000000001</v>
      </c>
      <c r="AM49" s="58">
        <v>4.67</v>
      </c>
      <c r="AN49" s="58">
        <v>11.256</v>
      </c>
      <c r="AO49" s="58">
        <v>7.9749999999999996</v>
      </c>
      <c r="AP49" s="58">
        <v>3.2810000000000001</v>
      </c>
      <c r="AQ49" s="58">
        <v>14.491</v>
      </c>
      <c r="AR49" s="58">
        <v>13.102</v>
      </c>
      <c r="AS49" s="58">
        <v>1.389</v>
      </c>
      <c r="AT49" s="58">
        <v>28.306000000000001</v>
      </c>
      <c r="AU49" s="58">
        <v>9.1370000000000005</v>
      </c>
      <c r="AV49" s="58">
        <v>19.169</v>
      </c>
      <c r="AW49" s="58">
        <v>288.14100000000002</v>
      </c>
      <c r="AX49" s="58">
        <v>150.95500000000001</v>
      </c>
      <c r="AY49" s="58">
        <v>137.18600000000001</v>
      </c>
      <c r="AZ49" s="58">
        <v>123.925</v>
      </c>
      <c r="BA49" s="58">
        <v>95.644999999999996</v>
      </c>
      <c r="BB49" s="58">
        <v>28.28</v>
      </c>
      <c r="BC49" s="58">
        <v>164.21600000000001</v>
      </c>
      <c r="BD49" s="58">
        <v>55.31</v>
      </c>
      <c r="BE49" s="58">
        <v>108.90600000000001</v>
      </c>
      <c r="BF49" s="58">
        <v>143.05099999999999</v>
      </c>
      <c r="BG49" s="58">
        <v>111.307</v>
      </c>
      <c r="BH49" s="58">
        <v>31.744</v>
      </c>
      <c r="BI49" s="58">
        <v>176.934</v>
      </c>
      <c r="BJ49" s="58">
        <v>59.085000000000001</v>
      </c>
      <c r="BK49" s="58">
        <v>117.849</v>
      </c>
      <c r="BL49" s="58">
        <v>175.47200000000001</v>
      </c>
      <c r="BM49" s="58">
        <v>63.284999999999997</v>
      </c>
      <c r="BN49" s="58">
        <v>112.187</v>
      </c>
      <c r="BO49" s="58">
        <v>2570.0770000000002</v>
      </c>
      <c r="BP49" s="58">
        <v>1324.2950000000001</v>
      </c>
      <c r="BQ49" s="58">
        <v>1245.7829999999999</v>
      </c>
      <c r="BR49" s="58">
        <v>1904.989</v>
      </c>
      <c r="BS49" s="58">
        <v>1197.078</v>
      </c>
      <c r="BT49" s="58">
        <v>707.91200000000003</v>
      </c>
      <c r="BU49" s="58">
        <v>665.08799999999997</v>
      </c>
      <c r="BV49" s="58">
        <v>127.217</v>
      </c>
      <c r="BW49" s="58">
        <v>537.87099999999998</v>
      </c>
      <c r="BX49" s="58">
        <v>317.101</v>
      </c>
      <c r="BY49" s="58">
        <v>154.71299999999999</v>
      </c>
      <c r="BZ49" s="58">
        <v>162.387</v>
      </c>
      <c r="CA49" s="58">
        <v>65.606999999999999</v>
      </c>
      <c r="CB49" s="58">
        <v>37.113999999999997</v>
      </c>
      <c r="CC49" s="58">
        <v>28.494</v>
      </c>
      <c r="CD49" s="58">
        <v>32.164000000000001</v>
      </c>
      <c r="CE49" s="58">
        <v>25.113</v>
      </c>
      <c r="CF49" s="58">
        <v>7.0510000000000002</v>
      </c>
      <c r="CG49" s="58">
        <v>14.538</v>
      </c>
      <c r="CH49" s="58">
        <v>10.145</v>
      </c>
      <c r="CI49" s="58">
        <v>4.3929999999999998</v>
      </c>
      <c r="CJ49" s="58">
        <v>17.626000000000001</v>
      </c>
      <c r="CK49" s="58">
        <v>14.968</v>
      </c>
      <c r="CL49" s="58">
        <v>2.6579999999999999</v>
      </c>
      <c r="CM49" s="58">
        <v>33.442999999999998</v>
      </c>
      <c r="CN49" s="58">
        <v>12.000999999999999</v>
      </c>
      <c r="CO49" s="58">
        <v>21.443000000000001</v>
      </c>
      <c r="CP49" s="58">
        <v>275.38600000000002</v>
      </c>
      <c r="CQ49" s="58">
        <v>129.084</v>
      </c>
      <c r="CR49" s="58">
        <v>146.30199999999999</v>
      </c>
      <c r="CS49" s="58">
        <v>110.953</v>
      </c>
      <c r="CT49" s="58">
        <v>84.018000000000001</v>
      </c>
      <c r="CU49" s="58">
        <v>26.934999999999999</v>
      </c>
      <c r="CV49" s="58">
        <v>164.43299999999999</v>
      </c>
      <c r="CW49" s="58">
        <v>45.066000000000003</v>
      </c>
      <c r="CX49" s="58">
        <v>119.367</v>
      </c>
      <c r="CY49" s="58">
        <v>135.64099999999999</v>
      </c>
      <c r="CZ49" s="58">
        <v>103.125</v>
      </c>
      <c r="DA49" s="58">
        <v>32.517000000000003</v>
      </c>
      <c r="DB49" s="58">
        <v>181.46</v>
      </c>
      <c r="DC49" s="58">
        <v>51.588999999999999</v>
      </c>
      <c r="DD49" s="58">
        <v>129.87100000000001</v>
      </c>
      <c r="DE49" s="58">
        <v>178.97200000000001</v>
      </c>
      <c r="DF49" s="58">
        <v>55.212000000000003</v>
      </c>
      <c r="DG49" s="58">
        <v>123.76</v>
      </c>
      <c r="DH49" s="58">
        <v>2315.5070000000001</v>
      </c>
      <c r="DI49" s="58">
        <v>1274.1210000000001</v>
      </c>
      <c r="DJ49" s="58">
        <v>1041.385</v>
      </c>
      <c r="DK49" s="58">
        <v>1483.278</v>
      </c>
      <c r="DL49" s="58">
        <v>988.75800000000004</v>
      </c>
      <c r="DM49" s="58">
        <v>494.52</v>
      </c>
      <c r="DN49" s="58">
        <v>832.22799999999995</v>
      </c>
      <c r="DO49" s="58">
        <v>285.363</v>
      </c>
      <c r="DP49" s="58">
        <v>546.86500000000001</v>
      </c>
      <c r="DQ49" s="58">
        <v>243.52500000000001</v>
      </c>
      <c r="DR49" s="58">
        <v>130.399</v>
      </c>
      <c r="DS49" s="58">
        <v>113.126</v>
      </c>
      <c r="DT49" s="58">
        <v>72.317999999999998</v>
      </c>
      <c r="DU49" s="58">
        <v>42.034999999999997</v>
      </c>
      <c r="DV49" s="58">
        <v>30.283000000000001</v>
      </c>
      <c r="DW49" s="58">
        <v>23.861000000000001</v>
      </c>
      <c r="DX49" s="58">
        <v>18.026</v>
      </c>
      <c r="DY49" s="58">
        <v>5.835</v>
      </c>
      <c r="DZ49" s="58">
        <v>14.27</v>
      </c>
      <c r="EA49" s="58">
        <v>11.351000000000001</v>
      </c>
      <c r="EB49" s="58">
        <v>2.919</v>
      </c>
      <c r="EC49" s="58">
        <v>9.5909999999999993</v>
      </c>
      <c r="ED49" s="58">
        <v>6.6749999999999998</v>
      </c>
      <c r="EE49" s="58">
        <v>2.9159999999999999</v>
      </c>
      <c r="EF49" s="58">
        <v>48.457000000000001</v>
      </c>
      <c r="EG49" s="58">
        <v>24.009</v>
      </c>
      <c r="EH49" s="58">
        <v>24.449000000000002</v>
      </c>
      <c r="EI49" s="58">
        <v>200.697</v>
      </c>
      <c r="EJ49" s="58">
        <v>104.79300000000001</v>
      </c>
      <c r="EK49" s="58">
        <v>95.903999999999996</v>
      </c>
      <c r="EL49" s="58">
        <v>62.728999999999999</v>
      </c>
      <c r="EM49" s="58">
        <v>45.552</v>
      </c>
      <c r="EN49" s="58">
        <v>17.177</v>
      </c>
      <c r="EO49" s="58">
        <v>137.96799999999999</v>
      </c>
      <c r="EP49" s="58">
        <v>59.24</v>
      </c>
      <c r="EQ49" s="58">
        <v>78.727999999999994</v>
      </c>
      <c r="ER49" s="58">
        <v>83.234999999999999</v>
      </c>
      <c r="ES49" s="58">
        <v>60.988999999999997</v>
      </c>
      <c r="ET49" s="58">
        <v>22.245999999999999</v>
      </c>
      <c r="EU49" s="58">
        <v>160.29</v>
      </c>
      <c r="EV49" s="58">
        <v>69.41</v>
      </c>
      <c r="EW49" s="58">
        <v>90.88</v>
      </c>
      <c r="EX49" s="58">
        <v>152.23699999999999</v>
      </c>
      <c r="EY49" s="58">
        <v>70.590999999999994</v>
      </c>
      <c r="EZ49" s="58">
        <v>81.646000000000001</v>
      </c>
      <c r="FA49" s="58">
        <v>1826.617</v>
      </c>
      <c r="FB49" s="58">
        <v>975.80799999999999</v>
      </c>
      <c r="FC49" s="58">
        <v>850.80899999999997</v>
      </c>
      <c r="FD49" s="58">
        <v>1256.181</v>
      </c>
      <c r="FE49" s="58">
        <v>817.49099999999999</v>
      </c>
      <c r="FF49" s="58">
        <v>438.69</v>
      </c>
      <c r="FG49" s="58">
        <v>570.43600000000004</v>
      </c>
      <c r="FH49" s="58">
        <v>158.31700000000001</v>
      </c>
      <c r="FI49" s="58">
        <v>412.11900000000003</v>
      </c>
      <c r="FJ49" s="58">
        <v>206.35</v>
      </c>
      <c r="FK49" s="58">
        <v>102.649</v>
      </c>
      <c r="FL49" s="58">
        <v>103.70099999999999</v>
      </c>
      <c r="FM49" s="58">
        <v>57.859000000000002</v>
      </c>
      <c r="FN49" s="58">
        <v>31.157</v>
      </c>
      <c r="FO49" s="58">
        <v>26.702999999999999</v>
      </c>
      <c r="FP49" s="58">
        <v>20.914000000000001</v>
      </c>
      <c r="FQ49" s="58">
        <v>15.467000000000001</v>
      </c>
      <c r="FR49" s="58">
        <v>5.4470000000000001</v>
      </c>
      <c r="FS49" s="58">
        <v>13.092000000000001</v>
      </c>
      <c r="FT49" s="58">
        <v>10.561999999999999</v>
      </c>
      <c r="FU49" s="58">
        <v>2.5310000000000001</v>
      </c>
      <c r="FV49" s="58">
        <v>7.8220000000000001</v>
      </c>
      <c r="FW49" s="58">
        <v>4.9059999999999997</v>
      </c>
      <c r="FX49" s="58">
        <v>2.9159999999999999</v>
      </c>
      <c r="FY49" s="58">
        <v>36.945</v>
      </c>
      <c r="FZ49" s="58">
        <v>15.689</v>
      </c>
      <c r="GA49" s="58">
        <v>21.256</v>
      </c>
      <c r="GB49" s="58">
        <v>174.87299999999999</v>
      </c>
      <c r="GC49" s="58">
        <v>86.22</v>
      </c>
      <c r="GD49" s="58">
        <v>88.653000000000006</v>
      </c>
      <c r="GE49" s="58">
        <v>56.62</v>
      </c>
      <c r="GF49" s="58">
        <v>41.124000000000002</v>
      </c>
      <c r="GG49" s="58">
        <v>15.496</v>
      </c>
      <c r="GH49" s="58">
        <v>118.253</v>
      </c>
      <c r="GI49" s="58">
        <v>45.095999999999997</v>
      </c>
      <c r="GJ49" s="58">
        <v>73.156999999999996</v>
      </c>
      <c r="GK49" s="58">
        <v>74.177999999999997</v>
      </c>
      <c r="GL49" s="58">
        <v>54.000999999999998</v>
      </c>
      <c r="GM49" s="58">
        <v>20.177</v>
      </c>
      <c r="GN49" s="58">
        <v>132.172</v>
      </c>
      <c r="GO49" s="58">
        <v>48.648000000000003</v>
      </c>
      <c r="GP49" s="58">
        <v>83.524000000000001</v>
      </c>
      <c r="GQ49" s="58">
        <v>131.345</v>
      </c>
      <c r="GR49" s="58">
        <v>55.658000000000001</v>
      </c>
      <c r="GS49" s="58">
        <v>75.686999999999998</v>
      </c>
      <c r="GT49" s="58">
        <v>488.89</v>
      </c>
      <c r="GU49" s="58">
        <v>298.31299999999999</v>
      </c>
      <c r="GV49" s="58">
        <v>190.57599999999999</v>
      </c>
      <c r="GW49" s="58">
        <v>227.09700000000001</v>
      </c>
      <c r="GX49" s="58">
        <v>171.267</v>
      </c>
      <c r="GY49" s="58">
        <v>55.83</v>
      </c>
      <c r="GZ49" s="58">
        <v>261.79300000000001</v>
      </c>
      <c r="HA49" s="58">
        <v>127.04600000000001</v>
      </c>
      <c r="HB49" s="58">
        <v>134.74600000000001</v>
      </c>
      <c r="HC49" s="58">
        <v>37.174999999999997</v>
      </c>
      <c r="HD49" s="58">
        <v>27.75</v>
      </c>
      <c r="HE49" s="58">
        <v>9.4250000000000007</v>
      </c>
      <c r="HF49" s="58">
        <v>14.459</v>
      </c>
      <c r="HG49" s="58">
        <v>10.878</v>
      </c>
      <c r="HH49" s="58">
        <v>3.581</v>
      </c>
      <c r="HI49" s="58">
        <v>2.9470000000000001</v>
      </c>
      <c r="HJ49" s="58">
        <v>2.5590000000000002</v>
      </c>
      <c r="HK49" s="58">
        <v>0.38800000000000001</v>
      </c>
      <c r="HL49" s="58">
        <v>1.177</v>
      </c>
      <c r="HM49" s="58">
        <v>0.78900000000000003</v>
      </c>
      <c r="HN49" s="58">
        <v>0.38800000000000001</v>
      </c>
      <c r="HO49" s="58">
        <v>1.77</v>
      </c>
      <c r="HP49" s="58">
        <v>1.77</v>
      </c>
      <c r="HQ49" s="58">
        <v>0</v>
      </c>
      <c r="HR49" s="58">
        <v>11.512</v>
      </c>
      <c r="HS49" s="58">
        <v>8.3190000000000008</v>
      </c>
      <c r="HT49" s="58">
        <v>3.1930000000000001</v>
      </c>
      <c r="HU49" s="58">
        <v>25.824000000000002</v>
      </c>
      <c r="HV49" s="58">
        <v>18.571999999999999</v>
      </c>
      <c r="HW49" s="58">
        <v>7.2519999999999998</v>
      </c>
      <c r="HX49" s="58">
        <v>6.109</v>
      </c>
      <c r="HY49" s="58">
        <v>4.4279999999999999</v>
      </c>
      <c r="HZ49" s="58">
        <v>1.681</v>
      </c>
      <c r="IA49" s="58">
        <v>19.715</v>
      </c>
      <c r="IB49" s="58">
        <v>14.144</v>
      </c>
      <c r="IC49" s="58">
        <v>5.5709999999999997</v>
      </c>
      <c r="ID49" s="58">
        <v>9.0559999999999992</v>
      </c>
      <c r="IE49" s="58">
        <v>6.9870000000000001</v>
      </c>
      <c r="IF49" s="58">
        <v>2.069</v>
      </c>
      <c r="IG49" s="58">
        <v>28.119</v>
      </c>
      <c r="IH49" s="58">
        <v>20.763000000000002</v>
      </c>
      <c r="II49" s="58">
        <v>7.3559999999999999</v>
      </c>
      <c r="IJ49" s="58">
        <v>20.891999999999999</v>
      </c>
      <c r="IK49" s="58">
        <v>14.933</v>
      </c>
      <c r="IL49" s="58">
        <v>5.9589999999999996</v>
      </c>
      <c r="IM49" s="58">
        <v>3912.74</v>
      </c>
      <c r="IN49" s="58">
        <v>2085.4760000000001</v>
      </c>
      <c r="IO49" s="58">
        <v>1827.2639999999999</v>
      </c>
      <c r="IP49" s="58">
        <v>2733.4270000000001</v>
      </c>
      <c r="IQ49" s="58">
        <v>1716.6489999999999</v>
      </c>
    </row>
    <row r="50" spans="1:251">
      <c r="A50" s="5">
        <v>43009</v>
      </c>
      <c r="B50" s="58">
        <v>16.077000000000002</v>
      </c>
      <c r="C50" s="58">
        <v>12.598000000000001</v>
      </c>
      <c r="D50" s="58">
        <v>356.97500000000002</v>
      </c>
      <c r="E50" s="58">
        <v>214.946</v>
      </c>
      <c r="F50" s="58">
        <v>142.029</v>
      </c>
      <c r="G50" s="58">
        <v>169.96</v>
      </c>
      <c r="H50" s="58">
        <v>135.16800000000001</v>
      </c>
      <c r="I50" s="58">
        <v>34.792000000000002</v>
      </c>
      <c r="J50" s="58">
        <v>187.01499999999999</v>
      </c>
      <c r="K50" s="58">
        <v>79.778000000000006</v>
      </c>
      <c r="L50" s="58">
        <v>107.23699999999999</v>
      </c>
      <c r="M50" s="58">
        <v>186.57599999999999</v>
      </c>
      <c r="N50" s="58">
        <v>148.703</v>
      </c>
      <c r="O50" s="58">
        <v>37.872999999999998</v>
      </c>
      <c r="P50" s="58">
        <v>198.80799999999999</v>
      </c>
      <c r="Q50" s="58">
        <v>85.662999999999997</v>
      </c>
      <c r="R50" s="58">
        <v>113.146</v>
      </c>
      <c r="S50" s="58">
        <v>198.114</v>
      </c>
      <c r="T50" s="58">
        <v>88.828999999999994</v>
      </c>
      <c r="U50" s="58">
        <v>109.285</v>
      </c>
      <c r="V50" s="58">
        <v>2679.8710000000001</v>
      </c>
      <c r="W50" s="58">
        <v>1440.65</v>
      </c>
      <c r="X50" s="58">
        <v>1239.221</v>
      </c>
      <c r="Y50" s="58">
        <v>1976.0340000000001</v>
      </c>
      <c r="Z50" s="58">
        <v>1308.5250000000001</v>
      </c>
      <c r="AA50" s="58">
        <v>667.50900000000001</v>
      </c>
      <c r="AB50" s="58">
        <v>703.83699999999999</v>
      </c>
      <c r="AC50" s="58">
        <v>132.125</v>
      </c>
      <c r="AD50" s="58">
        <v>571.71100000000001</v>
      </c>
      <c r="AE50" s="58">
        <v>321.72300000000001</v>
      </c>
      <c r="AF50" s="58">
        <v>155.09</v>
      </c>
      <c r="AG50" s="58">
        <v>166.63300000000001</v>
      </c>
      <c r="AH50" s="58">
        <v>49.466999999999999</v>
      </c>
      <c r="AI50" s="58">
        <v>23.928999999999998</v>
      </c>
      <c r="AJ50" s="58">
        <v>25.538</v>
      </c>
      <c r="AK50" s="58">
        <v>18.925000000000001</v>
      </c>
      <c r="AL50" s="58">
        <v>15.502000000000001</v>
      </c>
      <c r="AM50" s="58">
        <v>3.4220000000000002</v>
      </c>
      <c r="AN50" s="58">
        <v>11.048999999999999</v>
      </c>
      <c r="AO50" s="58">
        <v>8.6910000000000007</v>
      </c>
      <c r="AP50" s="58">
        <v>2.3580000000000001</v>
      </c>
      <c r="AQ50" s="58">
        <v>7.875</v>
      </c>
      <c r="AR50" s="58">
        <v>6.8109999999999999</v>
      </c>
      <c r="AS50" s="58">
        <v>1.0640000000000001</v>
      </c>
      <c r="AT50" s="58">
        <v>30.542000000000002</v>
      </c>
      <c r="AU50" s="58">
        <v>8.4269999999999996</v>
      </c>
      <c r="AV50" s="58">
        <v>22.114999999999998</v>
      </c>
      <c r="AW50" s="58">
        <v>293.82299999999998</v>
      </c>
      <c r="AX50" s="58">
        <v>140.50399999999999</v>
      </c>
      <c r="AY50" s="58">
        <v>153.31899999999999</v>
      </c>
      <c r="AZ50" s="58">
        <v>123.321</v>
      </c>
      <c r="BA50" s="58">
        <v>89.893000000000001</v>
      </c>
      <c r="BB50" s="58">
        <v>33.427999999999997</v>
      </c>
      <c r="BC50" s="58">
        <v>170.50200000000001</v>
      </c>
      <c r="BD50" s="58">
        <v>50.612000000000002</v>
      </c>
      <c r="BE50" s="58">
        <v>119.89100000000001</v>
      </c>
      <c r="BF50" s="58">
        <v>139.03</v>
      </c>
      <c r="BG50" s="58">
        <v>102.791</v>
      </c>
      <c r="BH50" s="58">
        <v>36.238999999999997</v>
      </c>
      <c r="BI50" s="58">
        <v>182.69300000000001</v>
      </c>
      <c r="BJ50" s="58">
        <v>52.298999999999999</v>
      </c>
      <c r="BK50" s="58">
        <v>130.39400000000001</v>
      </c>
      <c r="BL50" s="58">
        <v>181.55199999999999</v>
      </c>
      <c r="BM50" s="58">
        <v>59.302999999999997</v>
      </c>
      <c r="BN50" s="58">
        <v>122.249</v>
      </c>
      <c r="BO50" s="58">
        <v>2569.7060000000001</v>
      </c>
      <c r="BP50" s="58">
        <v>1321.568</v>
      </c>
      <c r="BQ50" s="58">
        <v>1248.1379999999999</v>
      </c>
      <c r="BR50" s="58">
        <v>1914.2560000000001</v>
      </c>
      <c r="BS50" s="58">
        <v>1195.742</v>
      </c>
      <c r="BT50" s="58">
        <v>718.51300000000003</v>
      </c>
      <c r="BU50" s="58">
        <v>655.45</v>
      </c>
      <c r="BV50" s="58">
        <v>125.825</v>
      </c>
      <c r="BW50" s="58">
        <v>529.625</v>
      </c>
      <c r="BX50" s="58">
        <v>305.28500000000003</v>
      </c>
      <c r="BY50" s="58">
        <v>135.608</v>
      </c>
      <c r="BZ50" s="58">
        <v>169.67699999999999</v>
      </c>
      <c r="CA50" s="58">
        <v>53.671999999999997</v>
      </c>
      <c r="CB50" s="58">
        <v>30.335000000000001</v>
      </c>
      <c r="CC50" s="58">
        <v>23.337</v>
      </c>
      <c r="CD50" s="58">
        <v>24.381</v>
      </c>
      <c r="CE50" s="58">
        <v>18.010000000000002</v>
      </c>
      <c r="CF50" s="58">
        <v>6.3710000000000004</v>
      </c>
      <c r="CG50" s="58">
        <v>8.8949999999999996</v>
      </c>
      <c r="CH50" s="58">
        <v>7.3810000000000002</v>
      </c>
      <c r="CI50" s="58">
        <v>1.514</v>
      </c>
      <c r="CJ50" s="58">
        <v>15.486000000000001</v>
      </c>
      <c r="CK50" s="58">
        <v>10.629</v>
      </c>
      <c r="CL50" s="58">
        <v>4.8570000000000002</v>
      </c>
      <c r="CM50" s="58">
        <v>29.291</v>
      </c>
      <c r="CN50" s="58">
        <v>12.324999999999999</v>
      </c>
      <c r="CO50" s="58">
        <v>16.966000000000001</v>
      </c>
      <c r="CP50" s="58">
        <v>272.98700000000002</v>
      </c>
      <c r="CQ50" s="58">
        <v>119.70399999999999</v>
      </c>
      <c r="CR50" s="58">
        <v>153.28299999999999</v>
      </c>
      <c r="CS50" s="58">
        <v>104.15</v>
      </c>
      <c r="CT50" s="58">
        <v>69.5</v>
      </c>
      <c r="CU50" s="58">
        <v>34.65</v>
      </c>
      <c r="CV50" s="58">
        <v>168.83799999999999</v>
      </c>
      <c r="CW50" s="58">
        <v>50.204999999999998</v>
      </c>
      <c r="CX50" s="58">
        <v>118.633</v>
      </c>
      <c r="CY50" s="58">
        <v>123.041</v>
      </c>
      <c r="CZ50" s="58">
        <v>82.823999999999998</v>
      </c>
      <c r="DA50" s="58">
        <v>40.216999999999999</v>
      </c>
      <c r="DB50" s="58">
        <v>182.244</v>
      </c>
      <c r="DC50" s="58">
        <v>52.783999999999999</v>
      </c>
      <c r="DD50" s="58">
        <v>129.459</v>
      </c>
      <c r="DE50" s="58">
        <v>177.733</v>
      </c>
      <c r="DF50" s="58">
        <v>57.585999999999999</v>
      </c>
      <c r="DG50" s="58">
        <v>120.14700000000001</v>
      </c>
      <c r="DH50" s="58">
        <v>2320.6689999999999</v>
      </c>
      <c r="DI50" s="58">
        <v>1283.0219999999999</v>
      </c>
      <c r="DJ50" s="58">
        <v>1037.6469999999999</v>
      </c>
      <c r="DK50" s="58">
        <v>1476.7239999999999</v>
      </c>
      <c r="DL50" s="58">
        <v>987.75900000000001</v>
      </c>
      <c r="DM50" s="58">
        <v>488.96499999999997</v>
      </c>
      <c r="DN50" s="58">
        <v>843.94500000000005</v>
      </c>
      <c r="DO50" s="58">
        <v>295.26299999999998</v>
      </c>
      <c r="DP50" s="58">
        <v>548.68200000000002</v>
      </c>
      <c r="DQ50" s="58">
        <v>246.10300000000001</v>
      </c>
      <c r="DR50" s="58">
        <v>130.851</v>
      </c>
      <c r="DS50" s="58">
        <v>115.252</v>
      </c>
      <c r="DT50" s="58">
        <v>72.313999999999993</v>
      </c>
      <c r="DU50" s="58">
        <v>42.456000000000003</v>
      </c>
      <c r="DV50" s="58">
        <v>29.858000000000001</v>
      </c>
      <c r="DW50" s="58">
        <v>21.998999999999999</v>
      </c>
      <c r="DX50" s="58">
        <v>18.798999999999999</v>
      </c>
      <c r="DY50" s="58">
        <v>3.2010000000000001</v>
      </c>
      <c r="DZ50" s="58">
        <v>13.96</v>
      </c>
      <c r="EA50" s="58">
        <v>12.676</v>
      </c>
      <c r="EB50" s="58">
        <v>1.284</v>
      </c>
      <c r="EC50" s="58">
        <v>8.0389999999999997</v>
      </c>
      <c r="ED50" s="58">
        <v>6.1230000000000002</v>
      </c>
      <c r="EE50" s="58">
        <v>1.9159999999999999</v>
      </c>
      <c r="EF50" s="58">
        <v>50.314999999999998</v>
      </c>
      <c r="EG50" s="58">
        <v>23.658000000000001</v>
      </c>
      <c r="EH50" s="58">
        <v>26.657</v>
      </c>
      <c r="EI50" s="58">
        <v>201.42099999999999</v>
      </c>
      <c r="EJ50" s="58">
        <v>105.938</v>
      </c>
      <c r="EK50" s="58">
        <v>95.483999999999995</v>
      </c>
      <c r="EL50" s="58">
        <v>68.122</v>
      </c>
      <c r="EM50" s="58">
        <v>49.874000000000002</v>
      </c>
      <c r="EN50" s="58">
        <v>18.248000000000001</v>
      </c>
      <c r="EO50" s="58">
        <v>133.30000000000001</v>
      </c>
      <c r="EP50" s="58">
        <v>56.064</v>
      </c>
      <c r="EQ50" s="58">
        <v>77.236000000000004</v>
      </c>
      <c r="ER50" s="58">
        <v>83.918999999999997</v>
      </c>
      <c r="ES50" s="58">
        <v>62.47</v>
      </c>
      <c r="ET50" s="58">
        <v>21.449000000000002</v>
      </c>
      <c r="EU50" s="58">
        <v>162.184</v>
      </c>
      <c r="EV50" s="58">
        <v>68.381</v>
      </c>
      <c r="EW50" s="58">
        <v>93.802999999999997</v>
      </c>
      <c r="EX50" s="58">
        <v>147.26</v>
      </c>
      <c r="EY50" s="58">
        <v>68.739999999999995</v>
      </c>
      <c r="EZ50" s="58">
        <v>78.52</v>
      </c>
      <c r="FA50" s="58">
        <v>1822.721</v>
      </c>
      <c r="FB50" s="58">
        <v>978.54300000000001</v>
      </c>
      <c r="FC50" s="58">
        <v>844.178</v>
      </c>
      <c r="FD50" s="58">
        <v>1244.2560000000001</v>
      </c>
      <c r="FE50" s="58">
        <v>812.88599999999997</v>
      </c>
      <c r="FF50" s="58">
        <v>431.37</v>
      </c>
      <c r="FG50" s="58">
        <v>578.46600000000001</v>
      </c>
      <c r="FH50" s="58">
        <v>165.65700000000001</v>
      </c>
      <c r="FI50" s="58">
        <v>412.80900000000003</v>
      </c>
      <c r="FJ50" s="58">
        <v>202.64400000000001</v>
      </c>
      <c r="FK50" s="58">
        <v>101.613</v>
      </c>
      <c r="FL50" s="58">
        <v>101.03100000000001</v>
      </c>
      <c r="FM50" s="58">
        <v>54.259</v>
      </c>
      <c r="FN50" s="58">
        <v>29.763000000000002</v>
      </c>
      <c r="FO50" s="58">
        <v>24.495999999999999</v>
      </c>
      <c r="FP50" s="58">
        <v>17.626999999999999</v>
      </c>
      <c r="FQ50" s="58">
        <v>14.845000000000001</v>
      </c>
      <c r="FR50" s="58">
        <v>2.7829999999999999</v>
      </c>
      <c r="FS50" s="58">
        <v>12.163</v>
      </c>
      <c r="FT50" s="58">
        <v>11.297000000000001</v>
      </c>
      <c r="FU50" s="58">
        <v>0.86599999999999999</v>
      </c>
      <c r="FV50" s="58">
        <v>5.4649999999999999</v>
      </c>
      <c r="FW50" s="58">
        <v>3.548</v>
      </c>
      <c r="FX50" s="58">
        <v>1.9159999999999999</v>
      </c>
      <c r="FY50" s="58">
        <v>36.631</v>
      </c>
      <c r="FZ50" s="58">
        <v>14.917999999999999</v>
      </c>
      <c r="GA50" s="58">
        <v>21.713000000000001</v>
      </c>
      <c r="GB50" s="58">
        <v>170.39500000000001</v>
      </c>
      <c r="GC50" s="58">
        <v>84.941000000000003</v>
      </c>
      <c r="GD50" s="58">
        <v>85.454999999999998</v>
      </c>
      <c r="GE50" s="58">
        <v>58.21</v>
      </c>
      <c r="GF50" s="58">
        <v>41.094000000000001</v>
      </c>
      <c r="GG50" s="58">
        <v>17.116</v>
      </c>
      <c r="GH50" s="58">
        <v>112.185</v>
      </c>
      <c r="GI50" s="58">
        <v>43.847000000000001</v>
      </c>
      <c r="GJ50" s="58">
        <v>68.337999999999994</v>
      </c>
      <c r="GK50" s="58">
        <v>70.991</v>
      </c>
      <c r="GL50" s="58">
        <v>51.093000000000004</v>
      </c>
      <c r="GM50" s="58">
        <v>19.899000000000001</v>
      </c>
      <c r="GN50" s="58">
        <v>131.65299999999999</v>
      </c>
      <c r="GO50" s="58">
        <v>50.52</v>
      </c>
      <c r="GP50" s="58">
        <v>81.132999999999996</v>
      </c>
      <c r="GQ50" s="58">
        <v>124.348</v>
      </c>
      <c r="GR50" s="58">
        <v>55.143000000000001</v>
      </c>
      <c r="GS50" s="58">
        <v>69.204999999999998</v>
      </c>
      <c r="GT50" s="58">
        <v>497.947</v>
      </c>
      <c r="GU50" s="58">
        <v>304.47899999999998</v>
      </c>
      <c r="GV50" s="58">
        <v>193.46799999999999</v>
      </c>
      <c r="GW50" s="58">
        <v>232.46799999999999</v>
      </c>
      <c r="GX50" s="58">
        <v>174.87299999999999</v>
      </c>
      <c r="GY50" s="58">
        <v>57.594999999999999</v>
      </c>
      <c r="GZ50" s="58">
        <v>265.47899999999998</v>
      </c>
      <c r="HA50" s="58">
        <v>129.60599999999999</v>
      </c>
      <c r="HB50" s="58">
        <v>135.87299999999999</v>
      </c>
      <c r="HC50" s="58">
        <v>43.459000000000003</v>
      </c>
      <c r="HD50" s="58">
        <v>29.238</v>
      </c>
      <c r="HE50" s="58">
        <v>14.221</v>
      </c>
      <c r="HF50" s="58">
        <v>18.055</v>
      </c>
      <c r="HG50" s="58">
        <v>12.693</v>
      </c>
      <c r="HH50" s="58">
        <v>5.3620000000000001</v>
      </c>
      <c r="HI50" s="58">
        <v>4.3719999999999999</v>
      </c>
      <c r="HJ50" s="58">
        <v>3.9540000000000002</v>
      </c>
      <c r="HK50" s="58">
        <v>0.41799999999999998</v>
      </c>
      <c r="HL50" s="58">
        <v>1.798</v>
      </c>
      <c r="HM50" s="58">
        <v>1.379</v>
      </c>
      <c r="HN50" s="58">
        <v>0.41799999999999998</v>
      </c>
      <c r="HO50" s="58">
        <v>2.5739999999999998</v>
      </c>
      <c r="HP50" s="58">
        <v>2.5739999999999998</v>
      </c>
      <c r="HQ50" s="58">
        <v>0</v>
      </c>
      <c r="HR50" s="58">
        <v>13.683</v>
      </c>
      <c r="HS50" s="58">
        <v>8.74</v>
      </c>
      <c r="HT50" s="58">
        <v>4.944</v>
      </c>
      <c r="HU50" s="58">
        <v>31.026</v>
      </c>
      <c r="HV50" s="58">
        <v>20.997</v>
      </c>
      <c r="HW50" s="58">
        <v>10.029</v>
      </c>
      <c r="HX50" s="58">
        <v>9.9120000000000008</v>
      </c>
      <c r="HY50" s="58">
        <v>8.7799999999999994</v>
      </c>
      <c r="HZ50" s="58">
        <v>1.1319999999999999</v>
      </c>
      <c r="IA50" s="58">
        <v>21.114000000000001</v>
      </c>
      <c r="IB50" s="58">
        <v>12.217000000000001</v>
      </c>
      <c r="IC50" s="58">
        <v>8.8970000000000002</v>
      </c>
      <c r="ID50" s="58">
        <v>12.927</v>
      </c>
      <c r="IE50" s="58">
        <v>11.377000000000001</v>
      </c>
      <c r="IF50" s="58">
        <v>1.55</v>
      </c>
      <c r="IG50" s="58">
        <v>30.530999999999999</v>
      </c>
      <c r="IH50" s="58">
        <v>17.861000000000001</v>
      </c>
      <c r="II50" s="58">
        <v>12.670999999999999</v>
      </c>
      <c r="IJ50" s="58">
        <v>22.911999999999999</v>
      </c>
      <c r="IK50" s="58">
        <v>13.597</v>
      </c>
      <c r="IL50" s="58">
        <v>9.3149999999999995</v>
      </c>
      <c r="IM50" s="58">
        <v>3905.9059999999999</v>
      </c>
      <c r="IN50" s="58">
        <v>2081.2809999999999</v>
      </c>
      <c r="IO50" s="58">
        <v>1824.625</v>
      </c>
      <c r="IP50" s="58">
        <v>2743.3829999999998</v>
      </c>
      <c r="IQ50" s="58">
        <v>1713.383</v>
      </c>
    </row>
    <row r="51" spans="1:251">
      <c r="A51" s="5">
        <v>43040</v>
      </c>
      <c r="B51" s="58">
        <v>10.869</v>
      </c>
      <c r="C51" s="58">
        <v>14.65</v>
      </c>
      <c r="D51" s="58">
        <v>375.154</v>
      </c>
      <c r="E51" s="58">
        <v>217.364</v>
      </c>
      <c r="F51" s="58">
        <v>157.79</v>
      </c>
      <c r="G51" s="58">
        <v>182.155</v>
      </c>
      <c r="H51" s="58">
        <v>135.797</v>
      </c>
      <c r="I51" s="58">
        <v>46.357999999999997</v>
      </c>
      <c r="J51" s="58">
        <v>192.999</v>
      </c>
      <c r="K51" s="58">
        <v>81.566999999999993</v>
      </c>
      <c r="L51" s="58">
        <v>111.432</v>
      </c>
      <c r="M51" s="58">
        <v>200.69800000000001</v>
      </c>
      <c r="N51" s="58">
        <v>150.47</v>
      </c>
      <c r="O51" s="58">
        <v>50.228999999999999</v>
      </c>
      <c r="P51" s="58">
        <v>202.14699999999999</v>
      </c>
      <c r="Q51" s="58">
        <v>84.912000000000006</v>
      </c>
      <c r="R51" s="58">
        <v>117.235</v>
      </c>
      <c r="S51" s="58">
        <v>203.91399999999999</v>
      </c>
      <c r="T51" s="58">
        <v>89.765000000000001</v>
      </c>
      <c r="U51" s="58">
        <v>114.149</v>
      </c>
      <c r="V51" s="58">
        <v>2702.5349999999999</v>
      </c>
      <c r="W51" s="58">
        <v>1450.92</v>
      </c>
      <c r="X51" s="58">
        <v>1251.615</v>
      </c>
      <c r="Y51" s="58">
        <v>2001.396</v>
      </c>
      <c r="Z51" s="58">
        <v>1317.5340000000001</v>
      </c>
      <c r="AA51" s="58">
        <v>683.86199999999997</v>
      </c>
      <c r="AB51" s="58">
        <v>701.13900000000001</v>
      </c>
      <c r="AC51" s="58">
        <v>133.386</v>
      </c>
      <c r="AD51" s="58">
        <v>567.75300000000004</v>
      </c>
      <c r="AE51" s="58">
        <v>320.18200000000002</v>
      </c>
      <c r="AF51" s="58">
        <v>171.43299999999999</v>
      </c>
      <c r="AG51" s="58">
        <v>148.749</v>
      </c>
      <c r="AH51" s="58">
        <v>54.037999999999997</v>
      </c>
      <c r="AI51" s="58">
        <v>32.776000000000003</v>
      </c>
      <c r="AJ51" s="58">
        <v>21.262</v>
      </c>
      <c r="AK51" s="58">
        <v>26.986000000000001</v>
      </c>
      <c r="AL51" s="58">
        <v>22.100999999999999</v>
      </c>
      <c r="AM51" s="58">
        <v>4.8849999999999998</v>
      </c>
      <c r="AN51" s="58">
        <v>11.645</v>
      </c>
      <c r="AO51" s="58">
        <v>9.4190000000000005</v>
      </c>
      <c r="AP51" s="58">
        <v>2.226</v>
      </c>
      <c r="AQ51" s="58">
        <v>15.340999999999999</v>
      </c>
      <c r="AR51" s="58">
        <v>12.680999999999999</v>
      </c>
      <c r="AS51" s="58">
        <v>2.6589999999999998</v>
      </c>
      <c r="AT51" s="58">
        <v>27.052</v>
      </c>
      <c r="AU51" s="58">
        <v>10.675000000000001</v>
      </c>
      <c r="AV51" s="58">
        <v>16.376000000000001</v>
      </c>
      <c r="AW51" s="58">
        <v>286.63099999999997</v>
      </c>
      <c r="AX51" s="58">
        <v>150.61000000000001</v>
      </c>
      <c r="AY51" s="58">
        <v>136.02099999999999</v>
      </c>
      <c r="AZ51" s="58">
        <v>125.131</v>
      </c>
      <c r="BA51" s="58">
        <v>98.712000000000003</v>
      </c>
      <c r="BB51" s="58">
        <v>26.419</v>
      </c>
      <c r="BC51" s="58">
        <v>161.499</v>
      </c>
      <c r="BD51" s="58">
        <v>51.898000000000003</v>
      </c>
      <c r="BE51" s="58">
        <v>109.601</v>
      </c>
      <c r="BF51" s="58">
        <v>147.14099999999999</v>
      </c>
      <c r="BG51" s="58">
        <v>116.711</v>
      </c>
      <c r="BH51" s="58">
        <v>30.428999999999998</v>
      </c>
      <c r="BI51" s="58">
        <v>173.041</v>
      </c>
      <c r="BJ51" s="58">
        <v>54.722000000000001</v>
      </c>
      <c r="BK51" s="58">
        <v>118.319</v>
      </c>
      <c r="BL51" s="58">
        <v>173.14400000000001</v>
      </c>
      <c r="BM51" s="58">
        <v>61.317</v>
      </c>
      <c r="BN51" s="58">
        <v>111.827</v>
      </c>
      <c r="BO51" s="58">
        <v>2574.4160000000002</v>
      </c>
      <c r="BP51" s="58">
        <v>1320.92</v>
      </c>
      <c r="BQ51" s="58">
        <v>1253.4960000000001</v>
      </c>
      <c r="BR51" s="58">
        <v>1920.211</v>
      </c>
      <c r="BS51" s="58">
        <v>1195.386</v>
      </c>
      <c r="BT51" s="58">
        <v>724.82600000000002</v>
      </c>
      <c r="BU51" s="58">
        <v>654.20399999999995</v>
      </c>
      <c r="BV51" s="58">
        <v>125.53400000000001</v>
      </c>
      <c r="BW51" s="58">
        <v>528.66999999999996</v>
      </c>
      <c r="BX51" s="58">
        <v>326.416</v>
      </c>
      <c r="BY51" s="58">
        <v>146.71100000000001</v>
      </c>
      <c r="BZ51" s="58">
        <v>179.70400000000001</v>
      </c>
      <c r="CA51" s="58">
        <v>62.253999999999998</v>
      </c>
      <c r="CB51" s="58">
        <v>30.8</v>
      </c>
      <c r="CC51" s="58">
        <v>31.454000000000001</v>
      </c>
      <c r="CD51" s="58">
        <v>25.231999999999999</v>
      </c>
      <c r="CE51" s="58">
        <v>19.082999999999998</v>
      </c>
      <c r="CF51" s="58">
        <v>6.149</v>
      </c>
      <c r="CG51" s="58">
        <v>11.867000000000001</v>
      </c>
      <c r="CH51" s="58">
        <v>8.1869999999999994</v>
      </c>
      <c r="CI51" s="58">
        <v>3.68</v>
      </c>
      <c r="CJ51" s="58">
        <v>13.365</v>
      </c>
      <c r="CK51" s="58">
        <v>10.897</v>
      </c>
      <c r="CL51" s="58">
        <v>2.468</v>
      </c>
      <c r="CM51" s="58">
        <v>37.021999999999998</v>
      </c>
      <c r="CN51" s="58">
        <v>11.717000000000001</v>
      </c>
      <c r="CO51" s="58">
        <v>25.305</v>
      </c>
      <c r="CP51" s="58">
        <v>296.57400000000001</v>
      </c>
      <c r="CQ51" s="58">
        <v>129.25200000000001</v>
      </c>
      <c r="CR51" s="58">
        <v>167.322</v>
      </c>
      <c r="CS51" s="58">
        <v>111.866</v>
      </c>
      <c r="CT51" s="58">
        <v>78.816000000000003</v>
      </c>
      <c r="CU51" s="58">
        <v>33.049999999999997</v>
      </c>
      <c r="CV51" s="58">
        <v>184.708</v>
      </c>
      <c r="CW51" s="58">
        <v>50.436</v>
      </c>
      <c r="CX51" s="58">
        <v>134.27199999999999</v>
      </c>
      <c r="CY51" s="58">
        <v>129.12700000000001</v>
      </c>
      <c r="CZ51" s="58">
        <v>92.831999999999994</v>
      </c>
      <c r="DA51" s="58">
        <v>36.293999999999997</v>
      </c>
      <c r="DB51" s="58">
        <v>197.28899999999999</v>
      </c>
      <c r="DC51" s="58">
        <v>53.878999999999998</v>
      </c>
      <c r="DD51" s="58">
        <v>143.41</v>
      </c>
      <c r="DE51" s="58">
        <v>196.57499999999999</v>
      </c>
      <c r="DF51" s="58">
        <v>58.622</v>
      </c>
      <c r="DG51" s="58">
        <v>137.953</v>
      </c>
      <c r="DH51" s="58">
        <v>2351.9749999999999</v>
      </c>
      <c r="DI51" s="58">
        <v>1300.0409999999999</v>
      </c>
      <c r="DJ51" s="58">
        <v>1051.934</v>
      </c>
      <c r="DK51" s="58">
        <v>1501.367</v>
      </c>
      <c r="DL51" s="58">
        <v>995.673</v>
      </c>
      <c r="DM51" s="58">
        <v>505.69499999999999</v>
      </c>
      <c r="DN51" s="58">
        <v>850.60699999999997</v>
      </c>
      <c r="DO51" s="58">
        <v>304.36799999999999</v>
      </c>
      <c r="DP51" s="58">
        <v>546.23900000000003</v>
      </c>
      <c r="DQ51" s="58">
        <v>230.429</v>
      </c>
      <c r="DR51" s="58">
        <v>128.042</v>
      </c>
      <c r="DS51" s="58">
        <v>102.387</v>
      </c>
      <c r="DT51" s="58">
        <v>68.590999999999994</v>
      </c>
      <c r="DU51" s="58">
        <v>42.463999999999999</v>
      </c>
      <c r="DV51" s="58">
        <v>26.126999999999999</v>
      </c>
      <c r="DW51" s="58">
        <v>24.521999999999998</v>
      </c>
      <c r="DX51" s="58">
        <v>21.547000000000001</v>
      </c>
      <c r="DY51" s="58">
        <v>2.9750000000000001</v>
      </c>
      <c r="DZ51" s="58">
        <v>14.077999999999999</v>
      </c>
      <c r="EA51" s="58">
        <v>11.28</v>
      </c>
      <c r="EB51" s="58">
        <v>2.798</v>
      </c>
      <c r="EC51" s="58">
        <v>10.444000000000001</v>
      </c>
      <c r="ED51" s="58">
        <v>10.266</v>
      </c>
      <c r="EE51" s="58">
        <v>0.17699999999999999</v>
      </c>
      <c r="EF51" s="58">
        <v>44.069000000000003</v>
      </c>
      <c r="EG51" s="58">
        <v>20.917000000000002</v>
      </c>
      <c r="EH51" s="58">
        <v>23.152000000000001</v>
      </c>
      <c r="EI51" s="58">
        <v>182.83699999999999</v>
      </c>
      <c r="EJ51" s="58">
        <v>98.352999999999994</v>
      </c>
      <c r="EK51" s="58">
        <v>84.483999999999995</v>
      </c>
      <c r="EL51" s="58">
        <v>59.307000000000002</v>
      </c>
      <c r="EM51" s="58">
        <v>41.423000000000002</v>
      </c>
      <c r="EN51" s="58">
        <v>17.884</v>
      </c>
      <c r="EO51" s="58">
        <v>123.53</v>
      </c>
      <c r="EP51" s="58">
        <v>56.93</v>
      </c>
      <c r="EQ51" s="58">
        <v>66.599999999999994</v>
      </c>
      <c r="ER51" s="58">
        <v>78.629000000000005</v>
      </c>
      <c r="ES51" s="58">
        <v>58.947000000000003</v>
      </c>
      <c r="ET51" s="58">
        <v>19.681999999999999</v>
      </c>
      <c r="EU51" s="58">
        <v>151.80000000000001</v>
      </c>
      <c r="EV51" s="58">
        <v>69.094999999999999</v>
      </c>
      <c r="EW51" s="58">
        <v>82.704999999999998</v>
      </c>
      <c r="EX51" s="58">
        <v>137.60900000000001</v>
      </c>
      <c r="EY51" s="58">
        <v>68.210999999999999</v>
      </c>
      <c r="EZ51" s="58">
        <v>69.397999999999996</v>
      </c>
      <c r="FA51" s="58">
        <v>1844.768</v>
      </c>
      <c r="FB51" s="58">
        <v>992.33600000000001</v>
      </c>
      <c r="FC51" s="58">
        <v>852.43299999999999</v>
      </c>
      <c r="FD51" s="58">
        <v>1272.097</v>
      </c>
      <c r="FE51" s="58">
        <v>823.68499999999995</v>
      </c>
      <c r="FF51" s="58">
        <v>448.41199999999998</v>
      </c>
      <c r="FG51" s="58">
        <v>572.67100000000005</v>
      </c>
      <c r="FH51" s="58">
        <v>168.65100000000001</v>
      </c>
      <c r="FI51" s="58">
        <v>404.02100000000002</v>
      </c>
      <c r="FJ51" s="58">
        <v>195.76900000000001</v>
      </c>
      <c r="FK51" s="58">
        <v>104.59399999999999</v>
      </c>
      <c r="FL51" s="58">
        <v>91.174000000000007</v>
      </c>
      <c r="FM51" s="58">
        <v>52.661000000000001</v>
      </c>
      <c r="FN51" s="58">
        <v>32.26</v>
      </c>
      <c r="FO51" s="58">
        <v>20.399999999999999</v>
      </c>
      <c r="FP51" s="58">
        <v>22.529</v>
      </c>
      <c r="FQ51" s="58">
        <v>19.731000000000002</v>
      </c>
      <c r="FR51" s="58">
        <v>2.798</v>
      </c>
      <c r="FS51" s="58">
        <v>12.778</v>
      </c>
      <c r="FT51" s="58">
        <v>9.98</v>
      </c>
      <c r="FU51" s="58">
        <v>2.798</v>
      </c>
      <c r="FV51" s="58">
        <v>9.7509999999999994</v>
      </c>
      <c r="FW51" s="58">
        <v>9.7509999999999994</v>
      </c>
      <c r="FX51" s="58">
        <v>0</v>
      </c>
      <c r="FY51" s="58">
        <v>30.132000000000001</v>
      </c>
      <c r="FZ51" s="58">
        <v>12.53</v>
      </c>
      <c r="GA51" s="58">
        <v>17.603000000000002</v>
      </c>
      <c r="GB51" s="58">
        <v>160.846</v>
      </c>
      <c r="GC51" s="58">
        <v>83.376999999999995</v>
      </c>
      <c r="GD51" s="58">
        <v>77.468999999999994</v>
      </c>
      <c r="GE51" s="58">
        <v>53.648000000000003</v>
      </c>
      <c r="GF51" s="58">
        <v>36.947000000000003</v>
      </c>
      <c r="GG51" s="58">
        <v>16.701000000000001</v>
      </c>
      <c r="GH51" s="58">
        <v>107.19799999999999</v>
      </c>
      <c r="GI51" s="58">
        <v>46.43</v>
      </c>
      <c r="GJ51" s="58">
        <v>60.767000000000003</v>
      </c>
      <c r="GK51" s="58">
        <v>70.977000000000004</v>
      </c>
      <c r="GL51" s="58">
        <v>52.654000000000003</v>
      </c>
      <c r="GM51" s="58">
        <v>18.321999999999999</v>
      </c>
      <c r="GN51" s="58">
        <v>124.792</v>
      </c>
      <c r="GO51" s="58">
        <v>51.94</v>
      </c>
      <c r="GP51" s="58">
        <v>72.852000000000004</v>
      </c>
      <c r="GQ51" s="58">
        <v>119.97499999999999</v>
      </c>
      <c r="GR51" s="58">
        <v>56.41</v>
      </c>
      <c r="GS51" s="58">
        <v>63.564999999999998</v>
      </c>
      <c r="GT51" s="58">
        <v>507.20699999999999</v>
      </c>
      <c r="GU51" s="58">
        <v>307.70499999999998</v>
      </c>
      <c r="GV51" s="58">
        <v>199.501</v>
      </c>
      <c r="GW51" s="58">
        <v>229.27099999999999</v>
      </c>
      <c r="GX51" s="58">
        <v>171.988</v>
      </c>
      <c r="GY51" s="58">
        <v>57.283000000000001</v>
      </c>
      <c r="GZ51" s="58">
        <v>277.93599999999998</v>
      </c>
      <c r="HA51" s="58">
        <v>135.71799999999999</v>
      </c>
      <c r="HB51" s="58">
        <v>142.21899999999999</v>
      </c>
      <c r="HC51" s="58">
        <v>34.659999999999997</v>
      </c>
      <c r="HD51" s="58">
        <v>23.448</v>
      </c>
      <c r="HE51" s="58">
        <v>11.212</v>
      </c>
      <c r="HF51" s="58">
        <v>15.93</v>
      </c>
      <c r="HG51" s="58">
        <v>10.204000000000001</v>
      </c>
      <c r="HH51" s="58">
        <v>5.7270000000000003</v>
      </c>
      <c r="HI51" s="58">
        <v>1.9930000000000001</v>
      </c>
      <c r="HJ51" s="58">
        <v>1.8160000000000001</v>
      </c>
      <c r="HK51" s="58">
        <v>0.17699999999999999</v>
      </c>
      <c r="HL51" s="58">
        <v>1.3009999999999999</v>
      </c>
      <c r="HM51" s="58">
        <v>1.3009999999999999</v>
      </c>
      <c r="HN51" s="58">
        <v>0</v>
      </c>
      <c r="HO51" s="58">
        <v>0.69199999999999995</v>
      </c>
      <c r="HP51" s="58">
        <v>0.51500000000000001</v>
      </c>
      <c r="HQ51" s="58">
        <v>0.17699999999999999</v>
      </c>
      <c r="HR51" s="58">
        <v>13.936999999999999</v>
      </c>
      <c r="HS51" s="58">
        <v>8.3879999999999999</v>
      </c>
      <c r="HT51" s="58">
        <v>5.5490000000000004</v>
      </c>
      <c r="HU51" s="58">
        <v>21.992000000000001</v>
      </c>
      <c r="HV51" s="58">
        <v>14.977</v>
      </c>
      <c r="HW51" s="58">
        <v>7.0149999999999997</v>
      </c>
      <c r="HX51" s="58">
        <v>5.6589999999999998</v>
      </c>
      <c r="HY51" s="58">
        <v>4.4770000000000003</v>
      </c>
      <c r="HZ51" s="58">
        <v>1.1819999999999999</v>
      </c>
      <c r="IA51" s="58">
        <v>16.332999999999998</v>
      </c>
      <c r="IB51" s="58">
        <v>10.5</v>
      </c>
      <c r="IC51" s="58">
        <v>5.8330000000000002</v>
      </c>
      <c r="ID51" s="58">
        <v>7.6520000000000001</v>
      </c>
      <c r="IE51" s="58">
        <v>6.2930000000000001</v>
      </c>
      <c r="IF51" s="58">
        <v>1.359</v>
      </c>
      <c r="IG51" s="58">
        <v>27.007999999999999</v>
      </c>
      <c r="IH51" s="58">
        <v>17.155000000000001</v>
      </c>
      <c r="II51" s="58">
        <v>9.8529999999999998</v>
      </c>
      <c r="IJ51" s="58">
        <v>17.634</v>
      </c>
      <c r="IK51" s="58">
        <v>11.801</v>
      </c>
      <c r="IL51" s="58">
        <v>5.8330000000000002</v>
      </c>
      <c r="IM51" s="58">
        <v>3948.922</v>
      </c>
      <c r="IN51" s="58">
        <v>2100.2860000000001</v>
      </c>
      <c r="IO51" s="58">
        <v>1848.636</v>
      </c>
      <c r="IP51" s="58">
        <v>2769.701</v>
      </c>
      <c r="IQ51" s="58">
        <v>1732.1</v>
      </c>
    </row>
    <row r="52" spans="1:251">
      <c r="A52" s="5">
        <v>43070</v>
      </c>
      <c r="B52" s="58">
        <v>13.019</v>
      </c>
      <c r="C52" s="58">
        <v>19.710999999999999</v>
      </c>
      <c r="D52" s="58">
        <v>390.43700000000001</v>
      </c>
      <c r="E52" s="58">
        <v>214.31200000000001</v>
      </c>
      <c r="F52" s="58">
        <v>176.124</v>
      </c>
      <c r="G52" s="58">
        <v>179.66900000000001</v>
      </c>
      <c r="H52" s="58">
        <v>134.678</v>
      </c>
      <c r="I52" s="58">
        <v>44.991</v>
      </c>
      <c r="J52" s="58">
        <v>210.768</v>
      </c>
      <c r="K52" s="58">
        <v>79.634</v>
      </c>
      <c r="L52" s="58">
        <v>131.13300000000001</v>
      </c>
      <c r="M52" s="58">
        <v>205.755</v>
      </c>
      <c r="N52" s="58">
        <v>152.92400000000001</v>
      </c>
      <c r="O52" s="58">
        <v>52.831000000000003</v>
      </c>
      <c r="P52" s="58">
        <v>223.30799999999999</v>
      </c>
      <c r="Q52" s="58">
        <v>84.236999999999995</v>
      </c>
      <c r="R52" s="58">
        <v>139.071</v>
      </c>
      <c r="S52" s="58">
        <v>224.60599999999999</v>
      </c>
      <c r="T52" s="58">
        <v>89.846999999999994</v>
      </c>
      <c r="U52" s="58">
        <v>134.75899999999999</v>
      </c>
      <c r="V52" s="58">
        <v>2688.1390000000001</v>
      </c>
      <c r="W52" s="58">
        <v>1437.5160000000001</v>
      </c>
      <c r="X52" s="58">
        <v>1250.623</v>
      </c>
      <c r="Y52" s="58">
        <v>2014.9870000000001</v>
      </c>
      <c r="Z52" s="58">
        <v>1312.5350000000001</v>
      </c>
      <c r="AA52" s="58">
        <v>702.452</v>
      </c>
      <c r="AB52" s="58">
        <v>673.15200000000004</v>
      </c>
      <c r="AC52" s="58">
        <v>124.98099999999999</v>
      </c>
      <c r="AD52" s="58">
        <v>548.17100000000005</v>
      </c>
      <c r="AE52" s="58">
        <v>325.58600000000001</v>
      </c>
      <c r="AF52" s="58">
        <v>165.804</v>
      </c>
      <c r="AG52" s="58">
        <v>159.78200000000001</v>
      </c>
      <c r="AH52" s="58">
        <v>52.756999999999998</v>
      </c>
      <c r="AI52" s="58">
        <v>29.22</v>
      </c>
      <c r="AJ52" s="58">
        <v>23.536999999999999</v>
      </c>
      <c r="AK52" s="58">
        <v>25.155999999999999</v>
      </c>
      <c r="AL52" s="58">
        <v>20.010000000000002</v>
      </c>
      <c r="AM52" s="58">
        <v>5.1459999999999999</v>
      </c>
      <c r="AN52" s="58">
        <v>13.211</v>
      </c>
      <c r="AO52" s="58">
        <v>11.223000000000001</v>
      </c>
      <c r="AP52" s="58">
        <v>1.988</v>
      </c>
      <c r="AQ52" s="58">
        <v>11.945</v>
      </c>
      <c r="AR52" s="58">
        <v>8.7870000000000008</v>
      </c>
      <c r="AS52" s="58">
        <v>3.1579999999999999</v>
      </c>
      <c r="AT52" s="58">
        <v>27.600999999999999</v>
      </c>
      <c r="AU52" s="58">
        <v>9.2100000000000009</v>
      </c>
      <c r="AV52" s="58">
        <v>18.390999999999998</v>
      </c>
      <c r="AW52" s="58">
        <v>294.50700000000001</v>
      </c>
      <c r="AX52" s="58">
        <v>148.05099999999999</v>
      </c>
      <c r="AY52" s="58">
        <v>146.45599999999999</v>
      </c>
      <c r="AZ52" s="58">
        <v>128.459</v>
      </c>
      <c r="BA52" s="58">
        <v>97.906000000000006</v>
      </c>
      <c r="BB52" s="58">
        <v>30.553000000000001</v>
      </c>
      <c r="BC52" s="58">
        <v>166.048</v>
      </c>
      <c r="BD52" s="58">
        <v>50.145000000000003</v>
      </c>
      <c r="BE52" s="58">
        <v>115.902</v>
      </c>
      <c r="BF52" s="58">
        <v>150.018</v>
      </c>
      <c r="BG52" s="58">
        <v>114.318</v>
      </c>
      <c r="BH52" s="58">
        <v>35.698999999999998</v>
      </c>
      <c r="BI52" s="58">
        <v>175.56899999999999</v>
      </c>
      <c r="BJ52" s="58">
        <v>51.485999999999997</v>
      </c>
      <c r="BK52" s="58">
        <v>124.083</v>
      </c>
      <c r="BL52" s="58">
        <v>179.25800000000001</v>
      </c>
      <c r="BM52" s="58">
        <v>61.368000000000002</v>
      </c>
      <c r="BN52" s="58">
        <v>117.89</v>
      </c>
      <c r="BO52" s="58">
        <v>2587.7449999999999</v>
      </c>
      <c r="BP52" s="58">
        <v>1331.2539999999999</v>
      </c>
      <c r="BQ52" s="58">
        <v>1256.491</v>
      </c>
      <c r="BR52" s="58">
        <v>1932.6690000000001</v>
      </c>
      <c r="BS52" s="58">
        <v>1204.0329999999999</v>
      </c>
      <c r="BT52" s="58">
        <v>728.63699999999994</v>
      </c>
      <c r="BU52" s="58">
        <v>655.07500000000005</v>
      </c>
      <c r="BV52" s="58">
        <v>127.221</v>
      </c>
      <c r="BW52" s="58">
        <v>527.85400000000004</v>
      </c>
      <c r="BX52" s="58">
        <v>311.25099999999998</v>
      </c>
      <c r="BY52" s="58">
        <v>136.37799999999999</v>
      </c>
      <c r="BZ52" s="58">
        <v>174.87299999999999</v>
      </c>
      <c r="CA52" s="58">
        <v>62.595999999999997</v>
      </c>
      <c r="CB52" s="58">
        <v>32.686999999999998</v>
      </c>
      <c r="CC52" s="58">
        <v>29.908999999999999</v>
      </c>
      <c r="CD52" s="58">
        <v>25.387</v>
      </c>
      <c r="CE52" s="58">
        <v>19</v>
      </c>
      <c r="CF52" s="58">
        <v>6.3869999999999996</v>
      </c>
      <c r="CG52" s="58">
        <v>14.477</v>
      </c>
      <c r="CH52" s="58">
        <v>10.654999999999999</v>
      </c>
      <c r="CI52" s="58">
        <v>3.8220000000000001</v>
      </c>
      <c r="CJ52" s="58">
        <v>10.91</v>
      </c>
      <c r="CK52" s="58">
        <v>8.3450000000000006</v>
      </c>
      <c r="CL52" s="58">
        <v>2.5649999999999999</v>
      </c>
      <c r="CM52" s="58">
        <v>37.209000000000003</v>
      </c>
      <c r="CN52" s="58">
        <v>13.686999999999999</v>
      </c>
      <c r="CO52" s="58">
        <v>23.521999999999998</v>
      </c>
      <c r="CP52" s="58">
        <v>275.94200000000001</v>
      </c>
      <c r="CQ52" s="58">
        <v>116.93600000000001</v>
      </c>
      <c r="CR52" s="58">
        <v>159.006</v>
      </c>
      <c r="CS52" s="58">
        <v>103.07599999999999</v>
      </c>
      <c r="CT52" s="58">
        <v>71.712999999999994</v>
      </c>
      <c r="CU52" s="58">
        <v>31.363</v>
      </c>
      <c r="CV52" s="58">
        <v>172.86500000000001</v>
      </c>
      <c r="CW52" s="58">
        <v>45.222999999999999</v>
      </c>
      <c r="CX52" s="58">
        <v>127.643</v>
      </c>
      <c r="CY52" s="58">
        <v>123.91200000000001</v>
      </c>
      <c r="CZ52" s="58">
        <v>87.016000000000005</v>
      </c>
      <c r="DA52" s="58">
        <v>36.896000000000001</v>
      </c>
      <c r="DB52" s="58">
        <v>187.34</v>
      </c>
      <c r="DC52" s="58">
        <v>49.362000000000002</v>
      </c>
      <c r="DD52" s="58">
        <v>137.977</v>
      </c>
      <c r="DE52" s="58">
        <v>187.34200000000001</v>
      </c>
      <c r="DF52" s="58">
        <v>55.878</v>
      </c>
      <c r="DG52" s="58">
        <v>131.464</v>
      </c>
      <c r="DH52" s="58">
        <v>2350.6709999999998</v>
      </c>
      <c r="DI52" s="58">
        <v>1300.721</v>
      </c>
      <c r="DJ52" s="58">
        <v>1049.95</v>
      </c>
      <c r="DK52" s="58">
        <v>1499.47</v>
      </c>
      <c r="DL52" s="58">
        <v>996.95</v>
      </c>
      <c r="DM52" s="58">
        <v>502.52</v>
      </c>
      <c r="DN52" s="58">
        <v>851.20100000000002</v>
      </c>
      <c r="DO52" s="58">
        <v>303.77100000000002</v>
      </c>
      <c r="DP52" s="58">
        <v>547.42999999999995</v>
      </c>
      <c r="DQ52" s="58">
        <v>247.72499999999999</v>
      </c>
      <c r="DR52" s="58">
        <v>139.91300000000001</v>
      </c>
      <c r="DS52" s="58">
        <v>107.812</v>
      </c>
      <c r="DT52" s="58">
        <v>74.231999999999999</v>
      </c>
      <c r="DU52" s="58">
        <v>48.540999999999997</v>
      </c>
      <c r="DV52" s="58">
        <v>25.690999999999999</v>
      </c>
      <c r="DW52" s="58">
        <v>24.335999999999999</v>
      </c>
      <c r="DX52" s="58">
        <v>20.826000000000001</v>
      </c>
      <c r="DY52" s="58">
        <v>3.5089999999999999</v>
      </c>
      <c r="DZ52" s="58">
        <v>14.714</v>
      </c>
      <c r="EA52" s="58">
        <v>12.686999999999999</v>
      </c>
      <c r="EB52" s="58">
        <v>2.028</v>
      </c>
      <c r="EC52" s="58">
        <v>9.6210000000000004</v>
      </c>
      <c r="ED52" s="58">
        <v>8.14</v>
      </c>
      <c r="EE52" s="58">
        <v>1.482</v>
      </c>
      <c r="EF52" s="58">
        <v>49.896999999999998</v>
      </c>
      <c r="EG52" s="58">
        <v>27.713999999999999</v>
      </c>
      <c r="EH52" s="58">
        <v>22.181999999999999</v>
      </c>
      <c r="EI52" s="58">
        <v>193.42400000000001</v>
      </c>
      <c r="EJ52" s="58">
        <v>105.404</v>
      </c>
      <c r="EK52" s="58">
        <v>88.02</v>
      </c>
      <c r="EL52" s="58">
        <v>76.605000000000004</v>
      </c>
      <c r="EM52" s="58">
        <v>54.908999999999999</v>
      </c>
      <c r="EN52" s="58">
        <v>21.696000000000002</v>
      </c>
      <c r="EO52" s="58">
        <v>116.819</v>
      </c>
      <c r="EP52" s="58">
        <v>50.494</v>
      </c>
      <c r="EQ52" s="58">
        <v>66.323999999999998</v>
      </c>
      <c r="ER52" s="58">
        <v>95.692999999999998</v>
      </c>
      <c r="ES52" s="58">
        <v>70.488</v>
      </c>
      <c r="ET52" s="58">
        <v>25.204999999999998</v>
      </c>
      <c r="EU52" s="58">
        <v>152.03200000000001</v>
      </c>
      <c r="EV52" s="58">
        <v>69.424999999999997</v>
      </c>
      <c r="EW52" s="58">
        <v>82.606999999999999</v>
      </c>
      <c r="EX52" s="58">
        <v>131.53299999999999</v>
      </c>
      <c r="EY52" s="58">
        <v>63.180999999999997</v>
      </c>
      <c r="EZ52" s="58">
        <v>68.352000000000004</v>
      </c>
      <c r="FA52" s="58">
        <v>1830.681</v>
      </c>
      <c r="FB52" s="58">
        <v>989.43399999999997</v>
      </c>
      <c r="FC52" s="58">
        <v>841.24699999999996</v>
      </c>
      <c r="FD52" s="58">
        <v>1258.451</v>
      </c>
      <c r="FE52" s="58">
        <v>822.70500000000004</v>
      </c>
      <c r="FF52" s="58">
        <v>435.74700000000001</v>
      </c>
      <c r="FG52" s="58">
        <v>572.22900000000004</v>
      </c>
      <c r="FH52" s="58">
        <v>166.72900000000001</v>
      </c>
      <c r="FI52" s="58">
        <v>405.5</v>
      </c>
      <c r="FJ52" s="58">
        <v>206.72800000000001</v>
      </c>
      <c r="FK52" s="58">
        <v>112.343</v>
      </c>
      <c r="FL52" s="58">
        <v>94.385000000000005</v>
      </c>
      <c r="FM52" s="58">
        <v>56.110999999999997</v>
      </c>
      <c r="FN52" s="58">
        <v>34.698999999999998</v>
      </c>
      <c r="FO52" s="58">
        <v>21.411000000000001</v>
      </c>
      <c r="FP52" s="58">
        <v>20.071000000000002</v>
      </c>
      <c r="FQ52" s="58">
        <v>16.827000000000002</v>
      </c>
      <c r="FR52" s="58">
        <v>3.2440000000000002</v>
      </c>
      <c r="FS52" s="58">
        <v>11.558</v>
      </c>
      <c r="FT52" s="58">
        <v>9.7949999999999999</v>
      </c>
      <c r="FU52" s="58">
        <v>1.7629999999999999</v>
      </c>
      <c r="FV52" s="58">
        <v>8.5129999999999999</v>
      </c>
      <c r="FW52" s="58">
        <v>7.032</v>
      </c>
      <c r="FX52" s="58">
        <v>1.482</v>
      </c>
      <c r="FY52" s="58">
        <v>36.039000000000001</v>
      </c>
      <c r="FZ52" s="58">
        <v>17.873000000000001</v>
      </c>
      <c r="GA52" s="58">
        <v>18.167000000000002</v>
      </c>
      <c r="GB52" s="58">
        <v>167.143</v>
      </c>
      <c r="GC52" s="58">
        <v>89.085999999999999</v>
      </c>
      <c r="GD52" s="58">
        <v>78.055999999999997</v>
      </c>
      <c r="GE52" s="58">
        <v>66.790000000000006</v>
      </c>
      <c r="GF52" s="58">
        <v>48.366999999999997</v>
      </c>
      <c r="GG52" s="58">
        <v>18.422000000000001</v>
      </c>
      <c r="GH52" s="58">
        <v>100.35299999999999</v>
      </c>
      <c r="GI52" s="58">
        <v>40.719000000000001</v>
      </c>
      <c r="GJ52" s="58">
        <v>59.634</v>
      </c>
      <c r="GK52" s="58">
        <v>82.241</v>
      </c>
      <c r="GL52" s="58">
        <v>60.573999999999998</v>
      </c>
      <c r="GM52" s="58">
        <v>21.667000000000002</v>
      </c>
      <c r="GN52" s="58">
        <v>124.48699999999999</v>
      </c>
      <c r="GO52" s="58">
        <v>51.768999999999998</v>
      </c>
      <c r="GP52" s="58">
        <v>72.718000000000004</v>
      </c>
      <c r="GQ52" s="58">
        <v>111.911</v>
      </c>
      <c r="GR52" s="58">
        <v>50.514000000000003</v>
      </c>
      <c r="GS52" s="58">
        <v>61.396999999999998</v>
      </c>
      <c r="GT52" s="58">
        <v>519.99099999999999</v>
      </c>
      <c r="GU52" s="58">
        <v>311.28699999999998</v>
      </c>
      <c r="GV52" s="58">
        <v>208.703</v>
      </c>
      <c r="GW52" s="58">
        <v>241.01900000000001</v>
      </c>
      <c r="GX52" s="58">
        <v>174.24600000000001</v>
      </c>
      <c r="GY52" s="58">
        <v>66.772999999999996</v>
      </c>
      <c r="GZ52" s="58">
        <v>278.97199999999998</v>
      </c>
      <c r="HA52" s="58">
        <v>137.042</v>
      </c>
      <c r="HB52" s="58">
        <v>141.93</v>
      </c>
      <c r="HC52" s="58">
        <v>40.997</v>
      </c>
      <c r="HD52" s="58">
        <v>27.57</v>
      </c>
      <c r="HE52" s="58">
        <v>13.428000000000001</v>
      </c>
      <c r="HF52" s="58">
        <v>18.122</v>
      </c>
      <c r="HG52" s="58">
        <v>13.840999999999999</v>
      </c>
      <c r="HH52" s="58">
        <v>4.28</v>
      </c>
      <c r="HI52" s="58">
        <v>4.2640000000000002</v>
      </c>
      <c r="HJ52" s="58">
        <v>3.9990000000000001</v>
      </c>
      <c r="HK52" s="58">
        <v>0.26500000000000001</v>
      </c>
      <c r="HL52" s="58">
        <v>3.1560000000000001</v>
      </c>
      <c r="HM52" s="58">
        <v>2.891</v>
      </c>
      <c r="HN52" s="58">
        <v>0.26500000000000001</v>
      </c>
      <c r="HO52" s="58">
        <v>1.1080000000000001</v>
      </c>
      <c r="HP52" s="58">
        <v>1.1080000000000001</v>
      </c>
      <c r="HQ52" s="58">
        <v>0</v>
      </c>
      <c r="HR52" s="58">
        <v>13.856999999999999</v>
      </c>
      <c r="HS52" s="58">
        <v>9.8420000000000005</v>
      </c>
      <c r="HT52" s="58">
        <v>4.0149999999999997</v>
      </c>
      <c r="HU52" s="58">
        <v>26.280999999999999</v>
      </c>
      <c r="HV52" s="58">
        <v>16.317</v>
      </c>
      <c r="HW52" s="58">
        <v>9.9640000000000004</v>
      </c>
      <c r="HX52" s="58">
        <v>9.8149999999999995</v>
      </c>
      <c r="HY52" s="58">
        <v>6.5419999999999998</v>
      </c>
      <c r="HZ52" s="58">
        <v>3.274</v>
      </c>
      <c r="IA52" s="58">
        <v>16.466000000000001</v>
      </c>
      <c r="IB52" s="58">
        <v>9.7759999999999998</v>
      </c>
      <c r="IC52" s="58">
        <v>6.69</v>
      </c>
      <c r="ID52" s="58">
        <v>13.452</v>
      </c>
      <c r="IE52" s="58">
        <v>9.9130000000000003</v>
      </c>
      <c r="IF52" s="58">
        <v>3.5390000000000001</v>
      </c>
      <c r="IG52" s="58">
        <v>27.545000000000002</v>
      </c>
      <c r="IH52" s="58">
        <v>17.655999999999999</v>
      </c>
      <c r="II52" s="58">
        <v>9.8889999999999993</v>
      </c>
      <c r="IJ52" s="58">
        <v>19.622</v>
      </c>
      <c r="IK52" s="58">
        <v>12.667</v>
      </c>
      <c r="IL52" s="58">
        <v>6.9550000000000001</v>
      </c>
      <c r="IM52" s="58">
        <v>3994.768</v>
      </c>
      <c r="IN52" s="58">
        <v>2111.5329999999999</v>
      </c>
      <c r="IO52" s="58">
        <v>1883.2360000000001</v>
      </c>
      <c r="IP52" s="58">
        <v>2809.7429999999999</v>
      </c>
      <c r="IQ52" s="58">
        <v>1745.9349999999999</v>
      </c>
    </row>
    <row r="53" spans="1:251">
      <c r="A53" s="5">
        <v>43101</v>
      </c>
      <c r="B53" s="58">
        <v>13.215</v>
      </c>
      <c r="C53" s="58">
        <v>18.756</v>
      </c>
      <c r="D53" s="58">
        <v>408.13499999999999</v>
      </c>
      <c r="E53" s="58">
        <v>226.262</v>
      </c>
      <c r="F53" s="58">
        <v>181.87299999999999</v>
      </c>
      <c r="G53" s="58">
        <v>199.42699999999999</v>
      </c>
      <c r="H53" s="58">
        <v>148.87899999999999</v>
      </c>
      <c r="I53" s="58">
        <v>50.548000000000002</v>
      </c>
      <c r="J53" s="58">
        <v>208.708</v>
      </c>
      <c r="K53" s="58">
        <v>77.382999999999996</v>
      </c>
      <c r="L53" s="58">
        <v>131.32400000000001</v>
      </c>
      <c r="M53" s="58">
        <v>223.447</v>
      </c>
      <c r="N53" s="58">
        <v>164.601</v>
      </c>
      <c r="O53" s="58">
        <v>58.845999999999997</v>
      </c>
      <c r="P53" s="58">
        <v>222.00800000000001</v>
      </c>
      <c r="Q53" s="58">
        <v>82.262</v>
      </c>
      <c r="R53" s="58">
        <v>139.74700000000001</v>
      </c>
      <c r="S53" s="58">
        <v>227.90600000000001</v>
      </c>
      <c r="T53" s="58">
        <v>90.716999999999999</v>
      </c>
      <c r="U53" s="58">
        <v>137.18799999999999</v>
      </c>
      <c r="V53" s="58">
        <v>2635.49</v>
      </c>
      <c r="W53" s="58">
        <v>1424.876</v>
      </c>
      <c r="X53" s="58">
        <v>1210.614</v>
      </c>
      <c r="Y53" s="58">
        <v>1953.548</v>
      </c>
      <c r="Z53" s="58">
        <v>1289.511</v>
      </c>
      <c r="AA53" s="58">
        <v>664.03700000000003</v>
      </c>
      <c r="AB53" s="58">
        <v>681.94200000000001</v>
      </c>
      <c r="AC53" s="58">
        <v>135.36600000000001</v>
      </c>
      <c r="AD53" s="58">
        <v>546.577</v>
      </c>
      <c r="AE53" s="58">
        <v>330.83300000000003</v>
      </c>
      <c r="AF53" s="58">
        <v>176.07300000000001</v>
      </c>
      <c r="AG53" s="58">
        <v>154.76</v>
      </c>
      <c r="AH53" s="58">
        <v>66.128</v>
      </c>
      <c r="AI53" s="58">
        <v>40.767000000000003</v>
      </c>
      <c r="AJ53" s="58">
        <v>25.361000000000001</v>
      </c>
      <c r="AK53" s="58">
        <v>34.603999999999999</v>
      </c>
      <c r="AL53" s="58">
        <v>26.530999999999999</v>
      </c>
      <c r="AM53" s="58">
        <v>8.0730000000000004</v>
      </c>
      <c r="AN53" s="58">
        <v>19.957999999999998</v>
      </c>
      <c r="AO53" s="58">
        <v>15.811</v>
      </c>
      <c r="AP53" s="58">
        <v>4.1470000000000002</v>
      </c>
      <c r="AQ53" s="58">
        <v>14.646000000000001</v>
      </c>
      <c r="AR53" s="58">
        <v>10.72</v>
      </c>
      <c r="AS53" s="58">
        <v>3.9260000000000002</v>
      </c>
      <c r="AT53" s="58">
        <v>31.524000000000001</v>
      </c>
      <c r="AU53" s="58">
        <v>14.236000000000001</v>
      </c>
      <c r="AV53" s="58">
        <v>17.288</v>
      </c>
      <c r="AW53" s="58">
        <v>287.55500000000001</v>
      </c>
      <c r="AX53" s="58">
        <v>148.084</v>
      </c>
      <c r="AY53" s="58">
        <v>139.471</v>
      </c>
      <c r="AZ53" s="58">
        <v>129.999</v>
      </c>
      <c r="BA53" s="58">
        <v>97.814999999999998</v>
      </c>
      <c r="BB53" s="58">
        <v>32.183999999999997</v>
      </c>
      <c r="BC53" s="58">
        <v>157.55600000000001</v>
      </c>
      <c r="BD53" s="58">
        <v>50.268999999999998</v>
      </c>
      <c r="BE53" s="58">
        <v>107.28700000000001</v>
      </c>
      <c r="BF53" s="58">
        <v>158.64500000000001</v>
      </c>
      <c r="BG53" s="58">
        <v>119.879</v>
      </c>
      <c r="BH53" s="58">
        <v>38.765999999999998</v>
      </c>
      <c r="BI53" s="58">
        <v>172.18799999999999</v>
      </c>
      <c r="BJ53" s="58">
        <v>56.194000000000003</v>
      </c>
      <c r="BK53" s="58">
        <v>115.994</v>
      </c>
      <c r="BL53" s="58">
        <v>177.51499999999999</v>
      </c>
      <c r="BM53" s="58">
        <v>66.081000000000003</v>
      </c>
      <c r="BN53" s="58">
        <v>111.434</v>
      </c>
      <c r="BO53" s="58">
        <v>2531.2750000000001</v>
      </c>
      <c r="BP53" s="58">
        <v>1308.971</v>
      </c>
      <c r="BQ53" s="58">
        <v>1222.3040000000001</v>
      </c>
      <c r="BR53" s="58">
        <v>1870.9010000000001</v>
      </c>
      <c r="BS53" s="58">
        <v>1170.905</v>
      </c>
      <c r="BT53" s="58">
        <v>699.995</v>
      </c>
      <c r="BU53" s="58">
        <v>660.37400000000002</v>
      </c>
      <c r="BV53" s="58">
        <v>138.065</v>
      </c>
      <c r="BW53" s="58">
        <v>522.30899999999997</v>
      </c>
      <c r="BX53" s="58">
        <v>327.68299999999999</v>
      </c>
      <c r="BY53" s="58">
        <v>149.99299999999999</v>
      </c>
      <c r="BZ53" s="58">
        <v>177.691</v>
      </c>
      <c r="CA53" s="58">
        <v>71.183000000000007</v>
      </c>
      <c r="CB53" s="58">
        <v>39.390999999999998</v>
      </c>
      <c r="CC53" s="58">
        <v>31.791</v>
      </c>
      <c r="CD53" s="58">
        <v>35.773000000000003</v>
      </c>
      <c r="CE53" s="58">
        <v>26.689</v>
      </c>
      <c r="CF53" s="58">
        <v>9.0850000000000009</v>
      </c>
      <c r="CG53" s="58">
        <v>20.033000000000001</v>
      </c>
      <c r="CH53" s="58">
        <v>15.321</v>
      </c>
      <c r="CI53" s="58">
        <v>4.7110000000000003</v>
      </c>
      <c r="CJ53" s="58">
        <v>15.741</v>
      </c>
      <c r="CK53" s="58">
        <v>11.367000000000001</v>
      </c>
      <c r="CL53" s="58">
        <v>4.3730000000000002</v>
      </c>
      <c r="CM53" s="58">
        <v>35.408999999999999</v>
      </c>
      <c r="CN53" s="58">
        <v>12.702999999999999</v>
      </c>
      <c r="CO53" s="58">
        <v>22.707000000000001</v>
      </c>
      <c r="CP53" s="58">
        <v>282.798</v>
      </c>
      <c r="CQ53" s="58">
        <v>123.806</v>
      </c>
      <c r="CR53" s="58">
        <v>158.99199999999999</v>
      </c>
      <c r="CS53" s="58">
        <v>103.241</v>
      </c>
      <c r="CT53" s="58">
        <v>72.228999999999999</v>
      </c>
      <c r="CU53" s="58">
        <v>31.012</v>
      </c>
      <c r="CV53" s="58">
        <v>179.55699999999999</v>
      </c>
      <c r="CW53" s="58">
        <v>51.576000000000001</v>
      </c>
      <c r="CX53" s="58">
        <v>127.98</v>
      </c>
      <c r="CY53" s="58">
        <v>134.798</v>
      </c>
      <c r="CZ53" s="58">
        <v>95.135999999999996</v>
      </c>
      <c r="DA53" s="58">
        <v>39.661999999999999</v>
      </c>
      <c r="DB53" s="58">
        <v>192.88499999999999</v>
      </c>
      <c r="DC53" s="58">
        <v>54.856000000000002</v>
      </c>
      <c r="DD53" s="58">
        <v>138.029</v>
      </c>
      <c r="DE53" s="58">
        <v>199.589</v>
      </c>
      <c r="DF53" s="58">
        <v>66.897999999999996</v>
      </c>
      <c r="DG53" s="58">
        <v>132.691</v>
      </c>
      <c r="DH53" s="58">
        <v>2285.5210000000002</v>
      </c>
      <c r="DI53" s="58">
        <v>1278.47</v>
      </c>
      <c r="DJ53" s="58">
        <v>1007.051</v>
      </c>
      <c r="DK53" s="58">
        <v>1441.067</v>
      </c>
      <c r="DL53" s="58">
        <v>958.9</v>
      </c>
      <c r="DM53" s="58">
        <v>482.16699999999997</v>
      </c>
      <c r="DN53" s="58">
        <v>844.45399999999995</v>
      </c>
      <c r="DO53" s="58">
        <v>319.56900000000002</v>
      </c>
      <c r="DP53" s="58">
        <v>524.88499999999999</v>
      </c>
      <c r="DQ53" s="58">
        <v>232.65199999999999</v>
      </c>
      <c r="DR53" s="58">
        <v>129.35</v>
      </c>
      <c r="DS53" s="58">
        <v>103.30200000000001</v>
      </c>
      <c r="DT53" s="58">
        <v>65.447000000000003</v>
      </c>
      <c r="DU53" s="58">
        <v>36.542999999999999</v>
      </c>
      <c r="DV53" s="58">
        <v>28.902999999999999</v>
      </c>
      <c r="DW53" s="58">
        <v>21.059000000000001</v>
      </c>
      <c r="DX53" s="58">
        <v>14.438000000000001</v>
      </c>
      <c r="DY53" s="58">
        <v>6.62</v>
      </c>
      <c r="DZ53" s="58">
        <v>13.6</v>
      </c>
      <c r="EA53" s="58">
        <v>8.6509999999999998</v>
      </c>
      <c r="EB53" s="58">
        <v>4.9489999999999998</v>
      </c>
      <c r="EC53" s="58">
        <v>7.4589999999999996</v>
      </c>
      <c r="ED53" s="58">
        <v>5.7869999999999999</v>
      </c>
      <c r="EE53" s="58">
        <v>1.6719999999999999</v>
      </c>
      <c r="EF53" s="58">
        <v>44.387999999999998</v>
      </c>
      <c r="EG53" s="58">
        <v>22.105</v>
      </c>
      <c r="EH53" s="58">
        <v>22.283000000000001</v>
      </c>
      <c r="EI53" s="58">
        <v>185.309</v>
      </c>
      <c r="EJ53" s="58">
        <v>102.962</v>
      </c>
      <c r="EK53" s="58">
        <v>82.347999999999999</v>
      </c>
      <c r="EL53" s="58">
        <v>57.454999999999998</v>
      </c>
      <c r="EM53" s="58">
        <v>44.183</v>
      </c>
      <c r="EN53" s="58">
        <v>13.272</v>
      </c>
      <c r="EO53" s="58">
        <v>127.854</v>
      </c>
      <c r="EP53" s="58">
        <v>58.777999999999999</v>
      </c>
      <c r="EQ53" s="58">
        <v>69.075999999999993</v>
      </c>
      <c r="ER53" s="58">
        <v>76.346000000000004</v>
      </c>
      <c r="ES53" s="58">
        <v>56.899000000000001</v>
      </c>
      <c r="ET53" s="58">
        <v>19.446999999999999</v>
      </c>
      <c r="EU53" s="58">
        <v>156.30600000000001</v>
      </c>
      <c r="EV53" s="58">
        <v>72.450999999999993</v>
      </c>
      <c r="EW53" s="58">
        <v>83.855000000000004</v>
      </c>
      <c r="EX53" s="58">
        <v>141.45400000000001</v>
      </c>
      <c r="EY53" s="58">
        <v>67.429000000000002</v>
      </c>
      <c r="EZ53" s="58">
        <v>74.024000000000001</v>
      </c>
      <c r="FA53" s="58">
        <v>1789.896</v>
      </c>
      <c r="FB53" s="58">
        <v>977.02099999999996</v>
      </c>
      <c r="FC53" s="58">
        <v>812.875</v>
      </c>
      <c r="FD53" s="58">
        <v>1220.2280000000001</v>
      </c>
      <c r="FE53" s="58">
        <v>796.36900000000003</v>
      </c>
      <c r="FF53" s="58">
        <v>423.85899999999998</v>
      </c>
      <c r="FG53" s="58">
        <v>569.66899999999998</v>
      </c>
      <c r="FH53" s="58">
        <v>180.65199999999999</v>
      </c>
      <c r="FI53" s="58">
        <v>389.01600000000002</v>
      </c>
      <c r="FJ53" s="58">
        <v>190.39500000000001</v>
      </c>
      <c r="FK53" s="58">
        <v>102.97499999999999</v>
      </c>
      <c r="FL53" s="58">
        <v>87.42</v>
      </c>
      <c r="FM53" s="58">
        <v>46.012</v>
      </c>
      <c r="FN53" s="58">
        <v>24.359000000000002</v>
      </c>
      <c r="FO53" s="58">
        <v>21.652999999999999</v>
      </c>
      <c r="FP53" s="58">
        <v>14.946999999999999</v>
      </c>
      <c r="FQ53" s="58">
        <v>9.6630000000000003</v>
      </c>
      <c r="FR53" s="58">
        <v>5.2839999999999998</v>
      </c>
      <c r="FS53" s="58">
        <v>10.62</v>
      </c>
      <c r="FT53" s="58">
        <v>7.008</v>
      </c>
      <c r="FU53" s="58">
        <v>3.6120000000000001</v>
      </c>
      <c r="FV53" s="58">
        <v>4.327</v>
      </c>
      <c r="FW53" s="58">
        <v>2.6549999999999998</v>
      </c>
      <c r="FX53" s="58">
        <v>1.6719999999999999</v>
      </c>
      <c r="FY53" s="58">
        <v>31.065000000000001</v>
      </c>
      <c r="FZ53" s="58">
        <v>14.696</v>
      </c>
      <c r="GA53" s="58">
        <v>16.369</v>
      </c>
      <c r="GB53" s="58">
        <v>159.61600000000001</v>
      </c>
      <c r="GC53" s="58">
        <v>86.897000000000006</v>
      </c>
      <c r="GD53" s="58">
        <v>72.718999999999994</v>
      </c>
      <c r="GE53" s="58">
        <v>49.816000000000003</v>
      </c>
      <c r="GF53" s="58">
        <v>38.387</v>
      </c>
      <c r="GG53" s="58">
        <v>11.429</v>
      </c>
      <c r="GH53" s="58">
        <v>109.8</v>
      </c>
      <c r="GI53" s="58">
        <v>48.509</v>
      </c>
      <c r="GJ53" s="58">
        <v>61.29</v>
      </c>
      <c r="GK53" s="58">
        <v>62.594999999999999</v>
      </c>
      <c r="GL53" s="58">
        <v>46.328000000000003</v>
      </c>
      <c r="GM53" s="58">
        <v>16.266999999999999</v>
      </c>
      <c r="GN53" s="58">
        <v>127.8</v>
      </c>
      <c r="GO53" s="58">
        <v>56.648000000000003</v>
      </c>
      <c r="GP53" s="58">
        <v>71.153000000000006</v>
      </c>
      <c r="GQ53" s="58">
        <v>120.42</v>
      </c>
      <c r="GR53" s="58">
        <v>55.517000000000003</v>
      </c>
      <c r="GS53" s="58">
        <v>64.902000000000001</v>
      </c>
      <c r="GT53" s="58">
        <v>495.625</v>
      </c>
      <c r="GU53" s="58">
        <v>301.44900000000001</v>
      </c>
      <c r="GV53" s="58">
        <v>194.17599999999999</v>
      </c>
      <c r="GW53" s="58">
        <v>220.839</v>
      </c>
      <c r="GX53" s="58">
        <v>162.53100000000001</v>
      </c>
      <c r="GY53" s="58">
        <v>58.308</v>
      </c>
      <c r="GZ53" s="58">
        <v>274.786</v>
      </c>
      <c r="HA53" s="58">
        <v>138.917</v>
      </c>
      <c r="HB53" s="58">
        <v>135.86799999999999</v>
      </c>
      <c r="HC53" s="58">
        <v>42.256999999999998</v>
      </c>
      <c r="HD53" s="58">
        <v>26.373999999999999</v>
      </c>
      <c r="HE53" s="58">
        <v>15.882</v>
      </c>
      <c r="HF53" s="58">
        <v>19.434999999999999</v>
      </c>
      <c r="HG53" s="58">
        <v>12.185</v>
      </c>
      <c r="HH53" s="58">
        <v>7.25</v>
      </c>
      <c r="HI53" s="58">
        <v>6.1120000000000001</v>
      </c>
      <c r="HJ53" s="58">
        <v>4.7750000000000004</v>
      </c>
      <c r="HK53" s="58">
        <v>1.3360000000000001</v>
      </c>
      <c r="HL53" s="58">
        <v>2.98</v>
      </c>
      <c r="HM53" s="58">
        <v>1.643</v>
      </c>
      <c r="HN53" s="58">
        <v>1.3360000000000001</v>
      </c>
      <c r="HO53" s="58">
        <v>3.1320000000000001</v>
      </c>
      <c r="HP53" s="58">
        <v>3.1320000000000001</v>
      </c>
      <c r="HQ53" s="58">
        <v>0</v>
      </c>
      <c r="HR53" s="58">
        <v>13.323</v>
      </c>
      <c r="HS53" s="58">
        <v>7.4089999999999998</v>
      </c>
      <c r="HT53" s="58">
        <v>5.9130000000000003</v>
      </c>
      <c r="HU53" s="58">
        <v>25.693999999999999</v>
      </c>
      <c r="HV53" s="58">
        <v>16.065000000000001</v>
      </c>
      <c r="HW53" s="58">
        <v>9.6289999999999996</v>
      </c>
      <c r="HX53" s="58">
        <v>7.6390000000000002</v>
      </c>
      <c r="HY53" s="58">
        <v>5.7960000000000003</v>
      </c>
      <c r="HZ53" s="58">
        <v>1.843</v>
      </c>
      <c r="IA53" s="58">
        <v>18.055</v>
      </c>
      <c r="IB53" s="58">
        <v>10.269</v>
      </c>
      <c r="IC53" s="58">
        <v>7.7859999999999996</v>
      </c>
      <c r="ID53" s="58">
        <v>13.750999999999999</v>
      </c>
      <c r="IE53" s="58">
        <v>10.571</v>
      </c>
      <c r="IF53" s="58">
        <v>3.18</v>
      </c>
      <c r="IG53" s="58">
        <v>28.506</v>
      </c>
      <c r="IH53" s="58">
        <v>15.803000000000001</v>
      </c>
      <c r="II53" s="58">
        <v>12.702999999999999</v>
      </c>
      <c r="IJ53" s="58">
        <v>21.033999999999999</v>
      </c>
      <c r="IK53" s="58">
        <v>11.912000000000001</v>
      </c>
      <c r="IL53" s="58">
        <v>9.1219999999999999</v>
      </c>
      <c r="IM53" s="58">
        <v>3882.2289999999998</v>
      </c>
      <c r="IN53" s="58">
        <v>2079.3440000000001</v>
      </c>
      <c r="IO53" s="58">
        <v>1802.885</v>
      </c>
      <c r="IP53" s="58">
        <v>2729.712</v>
      </c>
      <c r="IQ53" s="58">
        <v>1708.15</v>
      </c>
    </row>
    <row r="54" spans="1:251">
      <c r="A54" s="5">
        <v>43132</v>
      </c>
      <c r="B54" s="58">
        <v>11.42</v>
      </c>
      <c r="C54" s="58">
        <v>28.152000000000001</v>
      </c>
      <c r="D54" s="58">
        <v>385.45800000000003</v>
      </c>
      <c r="E54" s="58">
        <v>220.72499999999999</v>
      </c>
      <c r="F54" s="58">
        <v>164.733</v>
      </c>
      <c r="G54" s="58">
        <v>195.417</v>
      </c>
      <c r="H54" s="58">
        <v>146.38200000000001</v>
      </c>
      <c r="I54" s="58">
        <v>49.034999999999997</v>
      </c>
      <c r="J54" s="58">
        <v>190.041</v>
      </c>
      <c r="K54" s="58">
        <v>74.343000000000004</v>
      </c>
      <c r="L54" s="58">
        <v>115.69799999999999</v>
      </c>
      <c r="M54" s="58">
        <v>218.3</v>
      </c>
      <c r="N54" s="58">
        <v>163.88</v>
      </c>
      <c r="O54" s="58">
        <v>54.420999999999999</v>
      </c>
      <c r="P54" s="58">
        <v>204.36199999999999</v>
      </c>
      <c r="Q54" s="58">
        <v>78.093000000000004</v>
      </c>
      <c r="R54" s="58">
        <v>126.27</v>
      </c>
      <c r="S54" s="58">
        <v>208.65600000000001</v>
      </c>
      <c r="T54" s="58">
        <v>89.447000000000003</v>
      </c>
      <c r="U54" s="58">
        <v>119.208</v>
      </c>
      <c r="V54" s="58">
        <v>2688.625</v>
      </c>
      <c r="W54" s="58">
        <v>1441.306</v>
      </c>
      <c r="X54" s="58">
        <v>1247.318</v>
      </c>
      <c r="Y54" s="58">
        <v>1994.2619999999999</v>
      </c>
      <c r="Z54" s="58">
        <v>1304.6669999999999</v>
      </c>
      <c r="AA54" s="58">
        <v>689.59500000000003</v>
      </c>
      <c r="AB54" s="58">
        <v>694.36300000000006</v>
      </c>
      <c r="AC54" s="58">
        <v>136.63900000000001</v>
      </c>
      <c r="AD54" s="58">
        <v>557.72299999999996</v>
      </c>
      <c r="AE54" s="58">
        <v>330.63900000000001</v>
      </c>
      <c r="AF54" s="58">
        <v>168.833</v>
      </c>
      <c r="AG54" s="58">
        <v>161.80500000000001</v>
      </c>
      <c r="AH54" s="58">
        <v>77.248999999999995</v>
      </c>
      <c r="AI54" s="58">
        <v>42.406999999999996</v>
      </c>
      <c r="AJ54" s="58">
        <v>34.843000000000004</v>
      </c>
      <c r="AK54" s="58">
        <v>33.453000000000003</v>
      </c>
      <c r="AL54" s="58">
        <v>27.097999999999999</v>
      </c>
      <c r="AM54" s="58">
        <v>6.3540000000000001</v>
      </c>
      <c r="AN54" s="58">
        <v>18.663</v>
      </c>
      <c r="AO54" s="58">
        <v>16.407</v>
      </c>
      <c r="AP54" s="58">
        <v>2.2570000000000001</v>
      </c>
      <c r="AQ54" s="58">
        <v>14.789</v>
      </c>
      <c r="AR54" s="58">
        <v>10.692</v>
      </c>
      <c r="AS54" s="58">
        <v>4.0970000000000004</v>
      </c>
      <c r="AT54" s="58">
        <v>43.796999999999997</v>
      </c>
      <c r="AU54" s="58">
        <v>15.308</v>
      </c>
      <c r="AV54" s="58">
        <v>28.489000000000001</v>
      </c>
      <c r="AW54" s="58">
        <v>288.63600000000002</v>
      </c>
      <c r="AX54" s="58">
        <v>146.375</v>
      </c>
      <c r="AY54" s="58">
        <v>142.26</v>
      </c>
      <c r="AZ54" s="58">
        <v>122.114</v>
      </c>
      <c r="BA54" s="58">
        <v>93.013000000000005</v>
      </c>
      <c r="BB54" s="58">
        <v>29.1</v>
      </c>
      <c r="BC54" s="58">
        <v>166.52199999999999</v>
      </c>
      <c r="BD54" s="58">
        <v>53.362000000000002</v>
      </c>
      <c r="BE54" s="58">
        <v>113.16</v>
      </c>
      <c r="BF54" s="58">
        <v>148.012</v>
      </c>
      <c r="BG54" s="58">
        <v>112.557</v>
      </c>
      <c r="BH54" s="58">
        <v>35.454000000000001</v>
      </c>
      <c r="BI54" s="58">
        <v>182.62700000000001</v>
      </c>
      <c r="BJ54" s="58">
        <v>56.276000000000003</v>
      </c>
      <c r="BK54" s="58">
        <v>126.351</v>
      </c>
      <c r="BL54" s="58">
        <v>185.185</v>
      </c>
      <c r="BM54" s="58">
        <v>69.768000000000001</v>
      </c>
      <c r="BN54" s="58">
        <v>115.417</v>
      </c>
      <c r="BO54" s="58">
        <v>2575.7350000000001</v>
      </c>
      <c r="BP54" s="58">
        <v>1328.5309999999999</v>
      </c>
      <c r="BQ54" s="58">
        <v>1247.204</v>
      </c>
      <c r="BR54" s="58">
        <v>1917.3420000000001</v>
      </c>
      <c r="BS54" s="58">
        <v>1194.6199999999999</v>
      </c>
      <c r="BT54" s="58">
        <v>722.72199999999998</v>
      </c>
      <c r="BU54" s="58">
        <v>658.39300000000003</v>
      </c>
      <c r="BV54" s="58">
        <v>133.911</v>
      </c>
      <c r="BW54" s="58">
        <v>524.48199999999997</v>
      </c>
      <c r="BX54" s="58">
        <v>330.03899999999999</v>
      </c>
      <c r="BY54" s="58">
        <v>147.9</v>
      </c>
      <c r="BZ54" s="58">
        <v>182.13900000000001</v>
      </c>
      <c r="CA54" s="58">
        <v>74.962999999999994</v>
      </c>
      <c r="CB54" s="58">
        <v>42.472999999999999</v>
      </c>
      <c r="CC54" s="58">
        <v>32.49</v>
      </c>
      <c r="CD54" s="58">
        <v>34.020000000000003</v>
      </c>
      <c r="CE54" s="58">
        <v>26.021000000000001</v>
      </c>
      <c r="CF54" s="58">
        <v>8</v>
      </c>
      <c r="CG54" s="58">
        <v>17.027999999999999</v>
      </c>
      <c r="CH54" s="58">
        <v>12.807</v>
      </c>
      <c r="CI54" s="58">
        <v>4.2220000000000004</v>
      </c>
      <c r="CJ54" s="58">
        <v>16.992000000000001</v>
      </c>
      <c r="CK54" s="58">
        <v>13.214</v>
      </c>
      <c r="CL54" s="58">
        <v>3.778</v>
      </c>
      <c r="CM54" s="58">
        <v>40.942999999999998</v>
      </c>
      <c r="CN54" s="58">
        <v>16.452999999999999</v>
      </c>
      <c r="CO54" s="58">
        <v>24.49</v>
      </c>
      <c r="CP54" s="58">
        <v>281.88499999999999</v>
      </c>
      <c r="CQ54" s="58">
        <v>120.791</v>
      </c>
      <c r="CR54" s="58">
        <v>161.095</v>
      </c>
      <c r="CS54" s="58">
        <v>102.239</v>
      </c>
      <c r="CT54" s="58">
        <v>71.558999999999997</v>
      </c>
      <c r="CU54" s="58">
        <v>30.681000000000001</v>
      </c>
      <c r="CV54" s="58">
        <v>179.64599999999999</v>
      </c>
      <c r="CW54" s="58">
        <v>49.231999999999999</v>
      </c>
      <c r="CX54" s="58">
        <v>130.41399999999999</v>
      </c>
      <c r="CY54" s="58">
        <v>129.661</v>
      </c>
      <c r="CZ54" s="58">
        <v>91.980999999999995</v>
      </c>
      <c r="DA54" s="58">
        <v>37.680999999999997</v>
      </c>
      <c r="DB54" s="58">
        <v>200.37799999999999</v>
      </c>
      <c r="DC54" s="58">
        <v>55.918999999999997</v>
      </c>
      <c r="DD54" s="58">
        <v>144.459</v>
      </c>
      <c r="DE54" s="58">
        <v>196.67400000000001</v>
      </c>
      <c r="DF54" s="58">
        <v>62.039000000000001</v>
      </c>
      <c r="DG54" s="58">
        <v>134.636</v>
      </c>
      <c r="DH54" s="58">
        <v>2365.4639999999999</v>
      </c>
      <c r="DI54" s="58">
        <v>1307.7950000000001</v>
      </c>
      <c r="DJ54" s="58">
        <v>1057.6679999999999</v>
      </c>
      <c r="DK54" s="58">
        <v>1493.8389999999999</v>
      </c>
      <c r="DL54" s="58">
        <v>995.774</v>
      </c>
      <c r="DM54" s="58">
        <v>498.065</v>
      </c>
      <c r="DN54" s="58">
        <v>871.625</v>
      </c>
      <c r="DO54" s="58">
        <v>312.02199999999999</v>
      </c>
      <c r="DP54" s="58">
        <v>559.60299999999995</v>
      </c>
      <c r="DQ54" s="58">
        <v>249.035</v>
      </c>
      <c r="DR54" s="58">
        <v>145.57599999999999</v>
      </c>
      <c r="DS54" s="58">
        <v>103.459</v>
      </c>
      <c r="DT54" s="58">
        <v>86.384</v>
      </c>
      <c r="DU54" s="58">
        <v>55.179000000000002</v>
      </c>
      <c r="DV54" s="58">
        <v>31.204000000000001</v>
      </c>
      <c r="DW54" s="58">
        <v>31.245000000000001</v>
      </c>
      <c r="DX54" s="58">
        <v>24.474</v>
      </c>
      <c r="DY54" s="58">
        <v>6.7709999999999999</v>
      </c>
      <c r="DZ54" s="58">
        <v>18.218</v>
      </c>
      <c r="EA54" s="58">
        <v>14.159000000000001</v>
      </c>
      <c r="EB54" s="58">
        <v>4.0599999999999996</v>
      </c>
      <c r="EC54" s="58">
        <v>13.026999999999999</v>
      </c>
      <c r="ED54" s="58">
        <v>10.315</v>
      </c>
      <c r="EE54" s="58">
        <v>2.7120000000000002</v>
      </c>
      <c r="EF54" s="58">
        <v>55.137999999999998</v>
      </c>
      <c r="EG54" s="58">
        <v>30.704999999999998</v>
      </c>
      <c r="EH54" s="58">
        <v>24.433</v>
      </c>
      <c r="EI54" s="58">
        <v>186.37700000000001</v>
      </c>
      <c r="EJ54" s="58">
        <v>105.18600000000001</v>
      </c>
      <c r="EK54" s="58">
        <v>81.191000000000003</v>
      </c>
      <c r="EL54" s="58">
        <v>62.094999999999999</v>
      </c>
      <c r="EM54" s="58">
        <v>44.970999999999997</v>
      </c>
      <c r="EN54" s="58">
        <v>17.123999999999999</v>
      </c>
      <c r="EO54" s="58">
        <v>124.283</v>
      </c>
      <c r="EP54" s="58">
        <v>60.215000000000003</v>
      </c>
      <c r="EQ54" s="58">
        <v>64.066999999999993</v>
      </c>
      <c r="ER54" s="58">
        <v>89.328999999999994</v>
      </c>
      <c r="ES54" s="58">
        <v>66.099000000000004</v>
      </c>
      <c r="ET54" s="58">
        <v>23.228999999999999</v>
      </c>
      <c r="EU54" s="58">
        <v>159.70699999999999</v>
      </c>
      <c r="EV54" s="58">
        <v>79.477000000000004</v>
      </c>
      <c r="EW54" s="58">
        <v>80.23</v>
      </c>
      <c r="EX54" s="58">
        <v>142.501</v>
      </c>
      <c r="EY54" s="58">
        <v>74.373999999999995</v>
      </c>
      <c r="EZ54" s="58">
        <v>68.126999999999995</v>
      </c>
      <c r="FA54" s="58">
        <v>1838.2159999999999</v>
      </c>
      <c r="FB54" s="58">
        <v>988.50199999999995</v>
      </c>
      <c r="FC54" s="58">
        <v>849.71400000000006</v>
      </c>
      <c r="FD54" s="58">
        <v>1251.9559999999999</v>
      </c>
      <c r="FE54" s="58">
        <v>819.96699999999998</v>
      </c>
      <c r="FF54" s="58">
        <v>431.98899999999998</v>
      </c>
      <c r="FG54" s="58">
        <v>586.26</v>
      </c>
      <c r="FH54" s="58">
        <v>168.535</v>
      </c>
      <c r="FI54" s="58">
        <v>417.72500000000002</v>
      </c>
      <c r="FJ54" s="58">
        <v>197.17099999999999</v>
      </c>
      <c r="FK54" s="58">
        <v>109.14</v>
      </c>
      <c r="FL54" s="58">
        <v>88.031000000000006</v>
      </c>
      <c r="FM54" s="58">
        <v>58.228999999999999</v>
      </c>
      <c r="FN54" s="58">
        <v>34.676000000000002</v>
      </c>
      <c r="FO54" s="58">
        <v>23.553000000000001</v>
      </c>
      <c r="FP54" s="58">
        <v>23.402000000000001</v>
      </c>
      <c r="FQ54" s="58">
        <v>17.498999999999999</v>
      </c>
      <c r="FR54" s="58">
        <v>5.9029999999999996</v>
      </c>
      <c r="FS54" s="58">
        <v>13.488</v>
      </c>
      <c r="FT54" s="58">
        <v>10.297000000000001</v>
      </c>
      <c r="FU54" s="58">
        <v>3.1909999999999998</v>
      </c>
      <c r="FV54" s="58">
        <v>9.9139999999999997</v>
      </c>
      <c r="FW54" s="58">
        <v>7.202</v>
      </c>
      <c r="FX54" s="58">
        <v>2.7120000000000002</v>
      </c>
      <c r="FY54" s="58">
        <v>34.828000000000003</v>
      </c>
      <c r="FZ54" s="58">
        <v>17.177</v>
      </c>
      <c r="GA54" s="58">
        <v>17.649999999999999</v>
      </c>
      <c r="GB54" s="58">
        <v>157.03200000000001</v>
      </c>
      <c r="GC54" s="58">
        <v>84.766000000000005</v>
      </c>
      <c r="GD54" s="58">
        <v>72.266000000000005</v>
      </c>
      <c r="GE54" s="58">
        <v>55.095999999999997</v>
      </c>
      <c r="GF54" s="58">
        <v>39.295000000000002</v>
      </c>
      <c r="GG54" s="58">
        <v>15.801</v>
      </c>
      <c r="GH54" s="58">
        <v>101.93600000000001</v>
      </c>
      <c r="GI54" s="58">
        <v>45.470999999999997</v>
      </c>
      <c r="GJ54" s="58">
        <v>56.465000000000003</v>
      </c>
      <c r="GK54" s="58">
        <v>75.468999999999994</v>
      </c>
      <c r="GL54" s="58">
        <v>54.432000000000002</v>
      </c>
      <c r="GM54" s="58">
        <v>21.038</v>
      </c>
      <c r="GN54" s="58">
        <v>121.70099999999999</v>
      </c>
      <c r="GO54" s="58">
        <v>54.707999999999998</v>
      </c>
      <c r="GP54" s="58">
        <v>66.994</v>
      </c>
      <c r="GQ54" s="58">
        <v>115.423</v>
      </c>
      <c r="GR54" s="58">
        <v>55.768000000000001</v>
      </c>
      <c r="GS54" s="58">
        <v>59.655999999999999</v>
      </c>
      <c r="GT54" s="58">
        <v>527.24699999999996</v>
      </c>
      <c r="GU54" s="58">
        <v>319.29300000000001</v>
      </c>
      <c r="GV54" s="58">
        <v>207.95400000000001</v>
      </c>
      <c r="GW54" s="58">
        <v>241.88300000000001</v>
      </c>
      <c r="GX54" s="58">
        <v>175.80699999999999</v>
      </c>
      <c r="GY54" s="58">
        <v>66.075999999999993</v>
      </c>
      <c r="GZ54" s="58">
        <v>285.36399999999998</v>
      </c>
      <c r="HA54" s="58">
        <v>143.48699999999999</v>
      </c>
      <c r="HB54" s="58">
        <v>141.87799999999999</v>
      </c>
      <c r="HC54" s="58">
        <v>51.865000000000002</v>
      </c>
      <c r="HD54" s="58">
        <v>36.436999999999998</v>
      </c>
      <c r="HE54" s="58">
        <v>15.428000000000001</v>
      </c>
      <c r="HF54" s="58">
        <v>28.154</v>
      </c>
      <c r="HG54" s="58">
        <v>20.503</v>
      </c>
      <c r="HH54" s="58">
        <v>7.6509999999999998</v>
      </c>
      <c r="HI54" s="58">
        <v>7.8440000000000003</v>
      </c>
      <c r="HJ54" s="58">
        <v>6.9749999999999996</v>
      </c>
      <c r="HK54" s="58">
        <v>0.86899999999999999</v>
      </c>
      <c r="HL54" s="58">
        <v>4.7309999999999999</v>
      </c>
      <c r="HM54" s="58">
        <v>3.8620000000000001</v>
      </c>
      <c r="HN54" s="58">
        <v>0.86899999999999999</v>
      </c>
      <c r="HO54" s="58">
        <v>3.113</v>
      </c>
      <c r="HP54" s="58">
        <v>3.113</v>
      </c>
      <c r="HQ54" s="58">
        <v>0</v>
      </c>
      <c r="HR54" s="58">
        <v>20.309999999999999</v>
      </c>
      <c r="HS54" s="58">
        <v>13.528</v>
      </c>
      <c r="HT54" s="58">
        <v>6.782</v>
      </c>
      <c r="HU54" s="58">
        <v>29.346</v>
      </c>
      <c r="HV54" s="58">
        <v>20.420999999999999</v>
      </c>
      <c r="HW54" s="58">
        <v>8.9250000000000007</v>
      </c>
      <c r="HX54" s="58">
        <v>6.9989999999999997</v>
      </c>
      <c r="HY54" s="58">
        <v>5.6760000000000002</v>
      </c>
      <c r="HZ54" s="58">
        <v>1.323</v>
      </c>
      <c r="IA54" s="58">
        <v>22.347000000000001</v>
      </c>
      <c r="IB54" s="58">
        <v>14.744</v>
      </c>
      <c r="IC54" s="58">
        <v>7.6020000000000003</v>
      </c>
      <c r="ID54" s="58">
        <v>13.859</v>
      </c>
      <c r="IE54" s="58">
        <v>11.667999999999999</v>
      </c>
      <c r="IF54" s="58">
        <v>2.1920000000000002</v>
      </c>
      <c r="IG54" s="58">
        <v>38.005000000000003</v>
      </c>
      <c r="IH54" s="58">
        <v>24.768999999999998</v>
      </c>
      <c r="II54" s="58">
        <v>13.236000000000001</v>
      </c>
      <c r="IJ54" s="58">
        <v>27.077000000000002</v>
      </c>
      <c r="IK54" s="58">
        <v>18.606000000000002</v>
      </c>
      <c r="IL54" s="58">
        <v>8.4710000000000001</v>
      </c>
      <c r="IM54" s="58">
        <v>3976.0839999999998</v>
      </c>
      <c r="IN54" s="58">
        <v>2122.0450000000001</v>
      </c>
      <c r="IO54" s="58">
        <v>1854.039</v>
      </c>
      <c r="IP54" s="58">
        <v>2779.19</v>
      </c>
      <c r="IQ54" s="58">
        <v>1749.9490000000001</v>
      </c>
    </row>
    <row r="55" spans="1:251">
      <c r="A55" s="5">
        <v>43160</v>
      </c>
      <c r="B55" s="58">
        <v>15.881</v>
      </c>
      <c r="C55" s="58">
        <v>18.027000000000001</v>
      </c>
      <c r="D55" s="58">
        <v>394.69200000000001</v>
      </c>
      <c r="E55" s="58">
        <v>218.327</v>
      </c>
      <c r="F55" s="58">
        <v>176.36500000000001</v>
      </c>
      <c r="G55" s="58">
        <v>187.374</v>
      </c>
      <c r="H55" s="58">
        <v>133.624</v>
      </c>
      <c r="I55" s="58">
        <v>53.750999999999998</v>
      </c>
      <c r="J55" s="58">
        <v>207.31800000000001</v>
      </c>
      <c r="K55" s="58">
        <v>84.703999999999994</v>
      </c>
      <c r="L55" s="58">
        <v>122.614</v>
      </c>
      <c r="M55" s="58">
        <v>211.68</v>
      </c>
      <c r="N55" s="58">
        <v>150.90899999999999</v>
      </c>
      <c r="O55" s="58">
        <v>60.771000000000001</v>
      </c>
      <c r="P55" s="58">
        <v>220.941</v>
      </c>
      <c r="Q55" s="58">
        <v>89.159000000000006</v>
      </c>
      <c r="R55" s="58">
        <v>131.78200000000001</v>
      </c>
      <c r="S55" s="58">
        <v>223.959</v>
      </c>
      <c r="T55" s="58">
        <v>95.778999999999996</v>
      </c>
      <c r="U55" s="58">
        <v>128.179</v>
      </c>
      <c r="V55" s="58">
        <v>2692.7420000000002</v>
      </c>
      <c r="W55" s="58">
        <v>1450.0519999999999</v>
      </c>
      <c r="X55" s="58">
        <v>1242.69</v>
      </c>
      <c r="Y55" s="58">
        <v>2000.4</v>
      </c>
      <c r="Z55" s="58">
        <v>1312.644</v>
      </c>
      <c r="AA55" s="58">
        <v>687.75599999999997</v>
      </c>
      <c r="AB55" s="58">
        <v>692.34299999999996</v>
      </c>
      <c r="AC55" s="58">
        <v>137.40899999999999</v>
      </c>
      <c r="AD55" s="58">
        <v>554.93399999999997</v>
      </c>
      <c r="AE55" s="58">
        <v>321.83999999999997</v>
      </c>
      <c r="AF55" s="58">
        <v>163.56200000000001</v>
      </c>
      <c r="AG55" s="58">
        <v>158.27699999999999</v>
      </c>
      <c r="AH55" s="58">
        <v>57.69</v>
      </c>
      <c r="AI55" s="58">
        <v>31.245999999999999</v>
      </c>
      <c r="AJ55" s="58">
        <v>26.443999999999999</v>
      </c>
      <c r="AK55" s="58">
        <v>31.263999999999999</v>
      </c>
      <c r="AL55" s="58">
        <v>22.876999999999999</v>
      </c>
      <c r="AM55" s="58">
        <v>8.3870000000000005</v>
      </c>
      <c r="AN55" s="58">
        <v>17.623000000000001</v>
      </c>
      <c r="AO55" s="58">
        <v>11.467000000000001</v>
      </c>
      <c r="AP55" s="58">
        <v>6.1559999999999997</v>
      </c>
      <c r="AQ55" s="58">
        <v>13.64</v>
      </c>
      <c r="AR55" s="58">
        <v>11.41</v>
      </c>
      <c r="AS55" s="58">
        <v>2.23</v>
      </c>
      <c r="AT55" s="58">
        <v>26.425999999999998</v>
      </c>
      <c r="AU55" s="58">
        <v>8.3680000000000003</v>
      </c>
      <c r="AV55" s="58">
        <v>18.058</v>
      </c>
      <c r="AW55" s="58">
        <v>287.03100000000001</v>
      </c>
      <c r="AX55" s="58">
        <v>144.98099999999999</v>
      </c>
      <c r="AY55" s="58">
        <v>142.05000000000001</v>
      </c>
      <c r="AZ55" s="58">
        <v>126.756</v>
      </c>
      <c r="BA55" s="58">
        <v>96.933999999999997</v>
      </c>
      <c r="BB55" s="58">
        <v>29.821000000000002</v>
      </c>
      <c r="BC55" s="58">
        <v>160.27500000000001</v>
      </c>
      <c r="BD55" s="58">
        <v>48.046999999999997</v>
      </c>
      <c r="BE55" s="58">
        <v>112.229</v>
      </c>
      <c r="BF55" s="58">
        <v>149.48699999999999</v>
      </c>
      <c r="BG55" s="58">
        <v>113.08199999999999</v>
      </c>
      <c r="BH55" s="58">
        <v>36.405000000000001</v>
      </c>
      <c r="BI55" s="58">
        <v>172.35300000000001</v>
      </c>
      <c r="BJ55" s="58">
        <v>50.48</v>
      </c>
      <c r="BK55" s="58">
        <v>121.872</v>
      </c>
      <c r="BL55" s="58">
        <v>177.899</v>
      </c>
      <c r="BM55" s="58">
        <v>59.512999999999998</v>
      </c>
      <c r="BN55" s="58">
        <v>118.38500000000001</v>
      </c>
      <c r="BO55" s="58">
        <v>2573.23</v>
      </c>
      <c r="BP55" s="58">
        <v>1324.529</v>
      </c>
      <c r="BQ55" s="58">
        <v>1248.701</v>
      </c>
      <c r="BR55" s="58">
        <v>1903.86</v>
      </c>
      <c r="BS55" s="58">
        <v>1188.125</v>
      </c>
      <c r="BT55" s="58">
        <v>715.73500000000001</v>
      </c>
      <c r="BU55" s="58">
        <v>669.37</v>
      </c>
      <c r="BV55" s="58">
        <v>136.404</v>
      </c>
      <c r="BW55" s="58">
        <v>532.96600000000001</v>
      </c>
      <c r="BX55" s="58">
        <v>314.58100000000002</v>
      </c>
      <c r="BY55" s="58">
        <v>145.25800000000001</v>
      </c>
      <c r="BZ55" s="58">
        <v>169.32300000000001</v>
      </c>
      <c r="CA55" s="58">
        <v>59.494999999999997</v>
      </c>
      <c r="CB55" s="58">
        <v>33.688000000000002</v>
      </c>
      <c r="CC55" s="58">
        <v>25.806999999999999</v>
      </c>
      <c r="CD55" s="58">
        <v>31.184999999999999</v>
      </c>
      <c r="CE55" s="58">
        <v>24.504999999999999</v>
      </c>
      <c r="CF55" s="58">
        <v>6.68</v>
      </c>
      <c r="CG55" s="58">
        <v>19.977</v>
      </c>
      <c r="CH55" s="58">
        <v>15.271000000000001</v>
      </c>
      <c r="CI55" s="58">
        <v>4.7060000000000004</v>
      </c>
      <c r="CJ55" s="58">
        <v>11.208</v>
      </c>
      <c r="CK55" s="58">
        <v>9.234</v>
      </c>
      <c r="CL55" s="58">
        <v>1.974</v>
      </c>
      <c r="CM55" s="58">
        <v>28.31</v>
      </c>
      <c r="CN55" s="58">
        <v>9.1829999999999998</v>
      </c>
      <c r="CO55" s="58">
        <v>19.126999999999999</v>
      </c>
      <c r="CP55" s="58">
        <v>277.32299999999998</v>
      </c>
      <c r="CQ55" s="58">
        <v>122.572</v>
      </c>
      <c r="CR55" s="58">
        <v>154.751</v>
      </c>
      <c r="CS55" s="58">
        <v>95.51</v>
      </c>
      <c r="CT55" s="58">
        <v>70.634</v>
      </c>
      <c r="CU55" s="58">
        <v>24.876000000000001</v>
      </c>
      <c r="CV55" s="58">
        <v>181.81299999999999</v>
      </c>
      <c r="CW55" s="58">
        <v>51.936999999999998</v>
      </c>
      <c r="CX55" s="58">
        <v>129.875</v>
      </c>
      <c r="CY55" s="58">
        <v>120.678</v>
      </c>
      <c r="CZ55" s="58">
        <v>90.037000000000006</v>
      </c>
      <c r="DA55" s="58">
        <v>30.640999999999998</v>
      </c>
      <c r="DB55" s="58">
        <v>193.90299999999999</v>
      </c>
      <c r="DC55" s="58">
        <v>55.222000000000001</v>
      </c>
      <c r="DD55" s="58">
        <v>138.68100000000001</v>
      </c>
      <c r="DE55" s="58">
        <v>201.78899999999999</v>
      </c>
      <c r="DF55" s="58">
        <v>67.207999999999998</v>
      </c>
      <c r="DG55" s="58">
        <v>134.58099999999999</v>
      </c>
      <c r="DH55" s="58">
        <v>2345.8069999999998</v>
      </c>
      <c r="DI55" s="58">
        <v>1292.2380000000001</v>
      </c>
      <c r="DJ55" s="58">
        <v>1053.568</v>
      </c>
      <c r="DK55" s="58">
        <v>1462.223</v>
      </c>
      <c r="DL55" s="58">
        <v>974.572</v>
      </c>
      <c r="DM55" s="58">
        <v>487.65199999999999</v>
      </c>
      <c r="DN55" s="58">
        <v>883.58299999999997</v>
      </c>
      <c r="DO55" s="58">
        <v>317.66699999999997</v>
      </c>
      <c r="DP55" s="58">
        <v>565.91600000000005</v>
      </c>
      <c r="DQ55" s="58">
        <v>235.10400000000001</v>
      </c>
      <c r="DR55" s="58">
        <v>124.812</v>
      </c>
      <c r="DS55" s="58">
        <v>110.292</v>
      </c>
      <c r="DT55" s="58">
        <v>69.929000000000002</v>
      </c>
      <c r="DU55" s="58">
        <v>42.246000000000002</v>
      </c>
      <c r="DV55" s="58">
        <v>27.683</v>
      </c>
      <c r="DW55" s="58">
        <v>17.454999999999998</v>
      </c>
      <c r="DX55" s="58">
        <v>14.513</v>
      </c>
      <c r="DY55" s="58">
        <v>2.9420000000000002</v>
      </c>
      <c r="DZ55" s="58">
        <v>10.813000000000001</v>
      </c>
      <c r="EA55" s="58">
        <v>8.7240000000000002</v>
      </c>
      <c r="EB55" s="58">
        <v>2.09</v>
      </c>
      <c r="EC55" s="58">
        <v>6.641</v>
      </c>
      <c r="ED55" s="58">
        <v>5.7889999999999997</v>
      </c>
      <c r="EE55" s="58">
        <v>0.85299999999999998</v>
      </c>
      <c r="EF55" s="58">
        <v>52.473999999999997</v>
      </c>
      <c r="EG55" s="58">
        <v>27.734000000000002</v>
      </c>
      <c r="EH55" s="58">
        <v>24.741</v>
      </c>
      <c r="EI55" s="58">
        <v>187.09100000000001</v>
      </c>
      <c r="EJ55" s="58">
        <v>95.64</v>
      </c>
      <c r="EK55" s="58">
        <v>91.450999999999993</v>
      </c>
      <c r="EL55" s="58">
        <v>55.067</v>
      </c>
      <c r="EM55" s="58">
        <v>39.337000000000003</v>
      </c>
      <c r="EN55" s="58">
        <v>15.73</v>
      </c>
      <c r="EO55" s="58">
        <v>132.024</v>
      </c>
      <c r="EP55" s="58">
        <v>56.302999999999997</v>
      </c>
      <c r="EQ55" s="58">
        <v>75.721000000000004</v>
      </c>
      <c r="ER55" s="58">
        <v>71.378</v>
      </c>
      <c r="ES55" s="58">
        <v>52.704999999999998</v>
      </c>
      <c r="ET55" s="58">
        <v>18.672000000000001</v>
      </c>
      <c r="EU55" s="58">
        <v>163.726</v>
      </c>
      <c r="EV55" s="58">
        <v>72.106999999999999</v>
      </c>
      <c r="EW55" s="58">
        <v>91.619</v>
      </c>
      <c r="EX55" s="58">
        <v>142.83699999999999</v>
      </c>
      <c r="EY55" s="58">
        <v>65.027000000000001</v>
      </c>
      <c r="EZ55" s="58">
        <v>77.81</v>
      </c>
      <c r="FA55" s="58">
        <v>1822.0239999999999</v>
      </c>
      <c r="FB55" s="58">
        <v>978.41600000000005</v>
      </c>
      <c r="FC55" s="58">
        <v>843.60799999999995</v>
      </c>
      <c r="FD55" s="58">
        <v>1230.6400000000001</v>
      </c>
      <c r="FE55" s="58">
        <v>804.54600000000005</v>
      </c>
      <c r="FF55" s="58">
        <v>426.09399999999999</v>
      </c>
      <c r="FG55" s="58">
        <v>591.38400000000001</v>
      </c>
      <c r="FH55" s="58">
        <v>173.87</v>
      </c>
      <c r="FI55" s="58">
        <v>417.51400000000001</v>
      </c>
      <c r="FJ55" s="58">
        <v>185.47800000000001</v>
      </c>
      <c r="FK55" s="58">
        <v>96.983999999999995</v>
      </c>
      <c r="FL55" s="58">
        <v>88.494</v>
      </c>
      <c r="FM55" s="58">
        <v>51.058</v>
      </c>
      <c r="FN55" s="58">
        <v>30.684999999999999</v>
      </c>
      <c r="FO55" s="58">
        <v>20.373999999999999</v>
      </c>
      <c r="FP55" s="58">
        <v>14.831</v>
      </c>
      <c r="FQ55" s="58">
        <v>12.500999999999999</v>
      </c>
      <c r="FR55" s="58">
        <v>2.3290000000000002</v>
      </c>
      <c r="FS55" s="58">
        <v>9.5609999999999999</v>
      </c>
      <c r="FT55" s="58">
        <v>7.7489999999999997</v>
      </c>
      <c r="FU55" s="58">
        <v>1.8109999999999999</v>
      </c>
      <c r="FV55" s="58">
        <v>5.27</v>
      </c>
      <c r="FW55" s="58">
        <v>4.7519999999999998</v>
      </c>
      <c r="FX55" s="58">
        <v>0.51800000000000002</v>
      </c>
      <c r="FY55" s="58">
        <v>36.228000000000002</v>
      </c>
      <c r="FZ55" s="58">
        <v>18.183</v>
      </c>
      <c r="GA55" s="58">
        <v>18.045000000000002</v>
      </c>
      <c r="GB55" s="58">
        <v>152.07599999999999</v>
      </c>
      <c r="GC55" s="58">
        <v>76.239999999999995</v>
      </c>
      <c r="GD55" s="58">
        <v>75.835999999999999</v>
      </c>
      <c r="GE55" s="58">
        <v>48.26</v>
      </c>
      <c r="GF55" s="58">
        <v>34.479999999999997</v>
      </c>
      <c r="GG55" s="58">
        <v>13.78</v>
      </c>
      <c r="GH55" s="58">
        <v>103.816</v>
      </c>
      <c r="GI55" s="58">
        <v>41.76</v>
      </c>
      <c r="GJ55" s="58">
        <v>62.055999999999997</v>
      </c>
      <c r="GK55" s="58">
        <v>61.945999999999998</v>
      </c>
      <c r="GL55" s="58">
        <v>45.837000000000003</v>
      </c>
      <c r="GM55" s="58">
        <v>16.109000000000002</v>
      </c>
      <c r="GN55" s="58">
        <v>123.532</v>
      </c>
      <c r="GO55" s="58">
        <v>51.146999999999998</v>
      </c>
      <c r="GP55" s="58">
        <v>72.385000000000005</v>
      </c>
      <c r="GQ55" s="58">
        <v>113.377</v>
      </c>
      <c r="GR55" s="58">
        <v>49.51</v>
      </c>
      <c r="GS55" s="58">
        <v>63.866999999999997</v>
      </c>
      <c r="GT55" s="58">
        <v>523.78300000000002</v>
      </c>
      <c r="GU55" s="58">
        <v>313.822</v>
      </c>
      <c r="GV55" s="58">
        <v>209.96</v>
      </c>
      <c r="GW55" s="58">
        <v>231.584</v>
      </c>
      <c r="GX55" s="58">
        <v>170.02600000000001</v>
      </c>
      <c r="GY55" s="58">
        <v>61.558</v>
      </c>
      <c r="GZ55" s="58">
        <v>292.19900000000001</v>
      </c>
      <c r="HA55" s="58">
        <v>143.797</v>
      </c>
      <c r="HB55" s="58">
        <v>148.40199999999999</v>
      </c>
      <c r="HC55" s="58">
        <v>49.625999999999998</v>
      </c>
      <c r="HD55" s="58">
        <v>27.827999999999999</v>
      </c>
      <c r="HE55" s="58">
        <v>21.797999999999998</v>
      </c>
      <c r="HF55" s="58">
        <v>18.870999999999999</v>
      </c>
      <c r="HG55" s="58">
        <v>11.561999999999999</v>
      </c>
      <c r="HH55" s="58">
        <v>7.3090000000000002</v>
      </c>
      <c r="HI55" s="58">
        <v>2.6240000000000001</v>
      </c>
      <c r="HJ55" s="58">
        <v>2.0110000000000001</v>
      </c>
      <c r="HK55" s="58">
        <v>0.61299999999999999</v>
      </c>
      <c r="HL55" s="58">
        <v>1.2529999999999999</v>
      </c>
      <c r="HM55" s="58">
        <v>0.97499999999999998</v>
      </c>
      <c r="HN55" s="58">
        <v>0.27800000000000002</v>
      </c>
      <c r="HO55" s="58">
        <v>1.371</v>
      </c>
      <c r="HP55" s="58">
        <v>1.0369999999999999</v>
      </c>
      <c r="HQ55" s="58">
        <v>0.33500000000000002</v>
      </c>
      <c r="HR55" s="58">
        <v>16.247</v>
      </c>
      <c r="HS55" s="58">
        <v>9.5500000000000007</v>
      </c>
      <c r="HT55" s="58">
        <v>6.6959999999999997</v>
      </c>
      <c r="HU55" s="58">
        <v>35.015000000000001</v>
      </c>
      <c r="HV55" s="58">
        <v>19.399999999999999</v>
      </c>
      <c r="HW55" s="58">
        <v>15.616</v>
      </c>
      <c r="HX55" s="58">
        <v>6.8079999999999998</v>
      </c>
      <c r="HY55" s="58">
        <v>4.8570000000000002</v>
      </c>
      <c r="HZ55" s="58">
        <v>1.95</v>
      </c>
      <c r="IA55" s="58">
        <v>28.207999999999998</v>
      </c>
      <c r="IB55" s="58">
        <v>14.542</v>
      </c>
      <c r="IC55" s="58">
        <v>13.664999999999999</v>
      </c>
      <c r="ID55" s="58">
        <v>9.4320000000000004</v>
      </c>
      <c r="IE55" s="58">
        <v>6.8680000000000003</v>
      </c>
      <c r="IF55" s="58">
        <v>2.5630000000000002</v>
      </c>
      <c r="IG55" s="58">
        <v>40.194000000000003</v>
      </c>
      <c r="IH55" s="58">
        <v>20.96</v>
      </c>
      <c r="II55" s="58">
        <v>19.234000000000002</v>
      </c>
      <c r="IJ55" s="58">
        <v>29.46</v>
      </c>
      <c r="IK55" s="58">
        <v>15.516999999999999</v>
      </c>
      <c r="IL55" s="58">
        <v>13.943</v>
      </c>
      <c r="IM55" s="58">
        <v>3969.7579999999998</v>
      </c>
      <c r="IN55" s="58">
        <v>2111.9259999999999</v>
      </c>
      <c r="IO55" s="58">
        <v>1857.8320000000001</v>
      </c>
      <c r="IP55" s="58">
        <v>2750.0070000000001</v>
      </c>
      <c r="IQ55" s="58">
        <v>1731.1389999999999</v>
      </c>
    </row>
    <row r="56" spans="1:251">
      <c r="A56" s="5">
        <v>43191</v>
      </c>
      <c r="B56" s="58">
        <v>15.151</v>
      </c>
      <c r="C56" s="58">
        <v>19.013000000000002</v>
      </c>
      <c r="D56" s="58">
        <v>405.59399999999999</v>
      </c>
      <c r="E56" s="58">
        <v>233.446</v>
      </c>
      <c r="F56" s="58">
        <v>172.148</v>
      </c>
      <c r="G56" s="58">
        <v>194.751</v>
      </c>
      <c r="H56" s="58">
        <v>146.309</v>
      </c>
      <c r="I56" s="58">
        <v>48.442</v>
      </c>
      <c r="J56" s="58">
        <v>210.84299999999999</v>
      </c>
      <c r="K56" s="58">
        <v>87.138000000000005</v>
      </c>
      <c r="L56" s="58">
        <v>123.706</v>
      </c>
      <c r="M56" s="58">
        <v>208.92400000000001</v>
      </c>
      <c r="N56" s="58">
        <v>156.696</v>
      </c>
      <c r="O56" s="58">
        <v>52.228000000000002</v>
      </c>
      <c r="P56" s="58">
        <v>223.07400000000001</v>
      </c>
      <c r="Q56" s="58">
        <v>91.2</v>
      </c>
      <c r="R56" s="58">
        <v>131.874</v>
      </c>
      <c r="S56" s="58">
        <v>222.154</v>
      </c>
      <c r="T56" s="58">
        <v>94.201999999999998</v>
      </c>
      <c r="U56" s="58">
        <v>127.952</v>
      </c>
      <c r="V56" s="58">
        <v>2697.9340000000002</v>
      </c>
      <c r="W56" s="58">
        <v>1458.962</v>
      </c>
      <c r="X56" s="58">
        <v>1238.972</v>
      </c>
      <c r="Y56" s="58">
        <v>2003.1469999999999</v>
      </c>
      <c r="Z56" s="58">
        <v>1322.78</v>
      </c>
      <c r="AA56" s="58">
        <v>680.36699999999996</v>
      </c>
      <c r="AB56" s="58">
        <v>694.78700000000003</v>
      </c>
      <c r="AC56" s="58">
        <v>136.18199999999999</v>
      </c>
      <c r="AD56" s="58">
        <v>558.60500000000002</v>
      </c>
      <c r="AE56" s="58">
        <v>323.34800000000001</v>
      </c>
      <c r="AF56" s="58">
        <v>163.041</v>
      </c>
      <c r="AG56" s="58">
        <v>160.30600000000001</v>
      </c>
      <c r="AH56" s="58">
        <v>49.930999999999997</v>
      </c>
      <c r="AI56" s="58">
        <v>30.56</v>
      </c>
      <c r="AJ56" s="58">
        <v>19.370999999999999</v>
      </c>
      <c r="AK56" s="58">
        <v>21.18</v>
      </c>
      <c r="AL56" s="58">
        <v>18.082000000000001</v>
      </c>
      <c r="AM56" s="58">
        <v>3.0979999999999999</v>
      </c>
      <c r="AN56" s="58">
        <v>11.744999999999999</v>
      </c>
      <c r="AO56" s="58">
        <v>10.637</v>
      </c>
      <c r="AP56" s="58">
        <v>1.1080000000000001</v>
      </c>
      <c r="AQ56" s="58">
        <v>9.4350000000000005</v>
      </c>
      <c r="AR56" s="58">
        <v>7.4459999999999997</v>
      </c>
      <c r="AS56" s="58">
        <v>1.9890000000000001</v>
      </c>
      <c r="AT56" s="58">
        <v>28.751000000000001</v>
      </c>
      <c r="AU56" s="58">
        <v>12.477</v>
      </c>
      <c r="AV56" s="58">
        <v>16.274000000000001</v>
      </c>
      <c r="AW56" s="58">
        <v>298.61099999999999</v>
      </c>
      <c r="AX56" s="58">
        <v>147.22800000000001</v>
      </c>
      <c r="AY56" s="58">
        <v>151.38399999999999</v>
      </c>
      <c r="AZ56" s="58">
        <v>132.274</v>
      </c>
      <c r="BA56" s="58">
        <v>99.89</v>
      </c>
      <c r="BB56" s="58">
        <v>32.384</v>
      </c>
      <c r="BC56" s="58">
        <v>166.33699999999999</v>
      </c>
      <c r="BD56" s="58">
        <v>47.338000000000001</v>
      </c>
      <c r="BE56" s="58">
        <v>118.999</v>
      </c>
      <c r="BF56" s="58">
        <v>149.40199999999999</v>
      </c>
      <c r="BG56" s="58">
        <v>114.221</v>
      </c>
      <c r="BH56" s="58">
        <v>35.18</v>
      </c>
      <c r="BI56" s="58">
        <v>173.946</v>
      </c>
      <c r="BJ56" s="58">
        <v>48.82</v>
      </c>
      <c r="BK56" s="58">
        <v>125.126</v>
      </c>
      <c r="BL56" s="58">
        <v>178.083</v>
      </c>
      <c r="BM56" s="58">
        <v>57.975000000000001</v>
      </c>
      <c r="BN56" s="58">
        <v>120.108</v>
      </c>
      <c r="BO56" s="58">
        <v>2570.29</v>
      </c>
      <c r="BP56" s="58">
        <v>1318.471</v>
      </c>
      <c r="BQ56" s="58">
        <v>1251.819</v>
      </c>
      <c r="BR56" s="58">
        <v>1914.5309999999999</v>
      </c>
      <c r="BS56" s="58">
        <v>1181.4590000000001</v>
      </c>
      <c r="BT56" s="58">
        <v>733.072</v>
      </c>
      <c r="BU56" s="58">
        <v>655.76</v>
      </c>
      <c r="BV56" s="58">
        <v>137.01300000000001</v>
      </c>
      <c r="BW56" s="58">
        <v>518.74699999999996</v>
      </c>
      <c r="BX56" s="58">
        <v>300.19499999999999</v>
      </c>
      <c r="BY56" s="58">
        <v>133.54</v>
      </c>
      <c r="BZ56" s="58">
        <v>166.655</v>
      </c>
      <c r="CA56" s="58">
        <v>60.191000000000003</v>
      </c>
      <c r="CB56" s="58">
        <v>34.561</v>
      </c>
      <c r="CC56" s="58">
        <v>25.63</v>
      </c>
      <c r="CD56" s="58">
        <v>24.739000000000001</v>
      </c>
      <c r="CE56" s="58">
        <v>18.759</v>
      </c>
      <c r="CF56" s="58">
        <v>5.9809999999999999</v>
      </c>
      <c r="CG56" s="58">
        <v>15.438000000000001</v>
      </c>
      <c r="CH56" s="58">
        <v>11.971</v>
      </c>
      <c r="CI56" s="58">
        <v>3.4670000000000001</v>
      </c>
      <c r="CJ56" s="58">
        <v>9.3019999999999996</v>
      </c>
      <c r="CK56" s="58">
        <v>6.7880000000000003</v>
      </c>
      <c r="CL56" s="58">
        <v>2.5129999999999999</v>
      </c>
      <c r="CM56" s="58">
        <v>35.451999999999998</v>
      </c>
      <c r="CN56" s="58">
        <v>15.803000000000001</v>
      </c>
      <c r="CO56" s="58">
        <v>19.649000000000001</v>
      </c>
      <c r="CP56" s="58">
        <v>266.91800000000001</v>
      </c>
      <c r="CQ56" s="58">
        <v>113.536</v>
      </c>
      <c r="CR56" s="58">
        <v>153.38300000000001</v>
      </c>
      <c r="CS56" s="58">
        <v>99.253</v>
      </c>
      <c r="CT56" s="58">
        <v>71.619</v>
      </c>
      <c r="CU56" s="58">
        <v>27.634</v>
      </c>
      <c r="CV56" s="58">
        <v>167.666</v>
      </c>
      <c r="CW56" s="58">
        <v>41.917000000000002</v>
      </c>
      <c r="CX56" s="58">
        <v>125.749</v>
      </c>
      <c r="CY56" s="58">
        <v>118.17400000000001</v>
      </c>
      <c r="CZ56" s="58">
        <v>85.194999999999993</v>
      </c>
      <c r="DA56" s="58">
        <v>32.978999999999999</v>
      </c>
      <c r="DB56" s="58">
        <v>182.02099999999999</v>
      </c>
      <c r="DC56" s="58">
        <v>48.344999999999999</v>
      </c>
      <c r="DD56" s="58">
        <v>133.67599999999999</v>
      </c>
      <c r="DE56" s="58">
        <v>183.10300000000001</v>
      </c>
      <c r="DF56" s="58">
        <v>53.887999999999998</v>
      </c>
      <c r="DG56" s="58">
        <v>129.21600000000001</v>
      </c>
      <c r="DH56" s="58">
        <v>2343.0610000000001</v>
      </c>
      <c r="DI56" s="58">
        <v>1283.617</v>
      </c>
      <c r="DJ56" s="58">
        <v>1059.444</v>
      </c>
      <c r="DK56" s="58">
        <v>1466.002</v>
      </c>
      <c r="DL56" s="58">
        <v>966.87599999999998</v>
      </c>
      <c r="DM56" s="58">
        <v>499.12599999999998</v>
      </c>
      <c r="DN56" s="58">
        <v>877.05899999999997</v>
      </c>
      <c r="DO56" s="58">
        <v>316.74099999999999</v>
      </c>
      <c r="DP56" s="58">
        <v>560.31799999999998</v>
      </c>
      <c r="DQ56" s="58">
        <v>235.66499999999999</v>
      </c>
      <c r="DR56" s="58">
        <v>123.74</v>
      </c>
      <c r="DS56" s="58">
        <v>111.926</v>
      </c>
      <c r="DT56" s="58">
        <v>68.831000000000003</v>
      </c>
      <c r="DU56" s="58">
        <v>39.250999999999998</v>
      </c>
      <c r="DV56" s="58">
        <v>29.58</v>
      </c>
      <c r="DW56" s="58">
        <v>19.664000000000001</v>
      </c>
      <c r="DX56" s="58">
        <v>14.911</v>
      </c>
      <c r="DY56" s="58">
        <v>4.7530000000000001</v>
      </c>
      <c r="DZ56" s="58">
        <v>13.446</v>
      </c>
      <c r="EA56" s="58">
        <v>10.733000000000001</v>
      </c>
      <c r="EB56" s="58">
        <v>2.7130000000000001</v>
      </c>
      <c r="EC56" s="58">
        <v>6.218</v>
      </c>
      <c r="ED56" s="58">
        <v>4.1779999999999999</v>
      </c>
      <c r="EE56" s="58">
        <v>2.04</v>
      </c>
      <c r="EF56" s="58">
        <v>49.167000000000002</v>
      </c>
      <c r="EG56" s="58">
        <v>24.34</v>
      </c>
      <c r="EH56" s="58">
        <v>24.827000000000002</v>
      </c>
      <c r="EI56" s="58">
        <v>189.88399999999999</v>
      </c>
      <c r="EJ56" s="58">
        <v>98.308999999999997</v>
      </c>
      <c r="EK56" s="58">
        <v>91.575000000000003</v>
      </c>
      <c r="EL56" s="58">
        <v>54.601999999999997</v>
      </c>
      <c r="EM56" s="58">
        <v>40.786999999999999</v>
      </c>
      <c r="EN56" s="58">
        <v>13.816000000000001</v>
      </c>
      <c r="EO56" s="58">
        <v>135.28100000000001</v>
      </c>
      <c r="EP56" s="58">
        <v>57.523000000000003</v>
      </c>
      <c r="EQ56" s="58">
        <v>77.759</v>
      </c>
      <c r="ER56" s="58">
        <v>71.201999999999998</v>
      </c>
      <c r="ES56" s="58">
        <v>53.064</v>
      </c>
      <c r="ET56" s="58">
        <v>18.138000000000002</v>
      </c>
      <c r="EU56" s="58">
        <v>164.464</v>
      </c>
      <c r="EV56" s="58">
        <v>70.676000000000002</v>
      </c>
      <c r="EW56" s="58">
        <v>93.787999999999997</v>
      </c>
      <c r="EX56" s="58">
        <v>148.72800000000001</v>
      </c>
      <c r="EY56" s="58">
        <v>68.254999999999995</v>
      </c>
      <c r="EZ56" s="58">
        <v>80.471999999999994</v>
      </c>
      <c r="FA56" s="58">
        <v>1813.2059999999999</v>
      </c>
      <c r="FB56" s="58">
        <v>963.82500000000005</v>
      </c>
      <c r="FC56" s="58">
        <v>849.38</v>
      </c>
      <c r="FD56" s="58">
        <v>1231.0419999999999</v>
      </c>
      <c r="FE56" s="58">
        <v>794.17399999999998</v>
      </c>
      <c r="FF56" s="58">
        <v>436.86799999999999</v>
      </c>
      <c r="FG56" s="58">
        <v>582.16399999999999</v>
      </c>
      <c r="FH56" s="58">
        <v>169.65100000000001</v>
      </c>
      <c r="FI56" s="58">
        <v>412.51299999999998</v>
      </c>
      <c r="FJ56" s="58">
        <v>184.93</v>
      </c>
      <c r="FK56" s="58">
        <v>95.531000000000006</v>
      </c>
      <c r="FL56" s="58">
        <v>89.399000000000001</v>
      </c>
      <c r="FM56" s="58">
        <v>44.816000000000003</v>
      </c>
      <c r="FN56" s="58">
        <v>26.036000000000001</v>
      </c>
      <c r="FO56" s="58">
        <v>18.78</v>
      </c>
      <c r="FP56" s="58">
        <v>15.18</v>
      </c>
      <c r="FQ56" s="58">
        <v>11.895</v>
      </c>
      <c r="FR56" s="58">
        <v>3.2850000000000001</v>
      </c>
      <c r="FS56" s="58">
        <v>9.9960000000000004</v>
      </c>
      <c r="FT56" s="58">
        <v>8.7509999999999994</v>
      </c>
      <c r="FU56" s="58">
        <v>1.2450000000000001</v>
      </c>
      <c r="FV56" s="58">
        <v>5.1840000000000002</v>
      </c>
      <c r="FW56" s="58">
        <v>3.1440000000000001</v>
      </c>
      <c r="FX56" s="58">
        <v>2.04</v>
      </c>
      <c r="FY56" s="58">
        <v>29.635999999999999</v>
      </c>
      <c r="FZ56" s="58">
        <v>14.141</v>
      </c>
      <c r="GA56" s="58">
        <v>15.496</v>
      </c>
      <c r="GB56" s="58">
        <v>156.84</v>
      </c>
      <c r="GC56" s="58">
        <v>79.055999999999997</v>
      </c>
      <c r="GD56" s="58">
        <v>77.784000000000006</v>
      </c>
      <c r="GE56" s="58">
        <v>48.962000000000003</v>
      </c>
      <c r="GF56" s="58">
        <v>36.177999999999997</v>
      </c>
      <c r="GG56" s="58">
        <v>12.784000000000001</v>
      </c>
      <c r="GH56" s="58">
        <v>107.879</v>
      </c>
      <c r="GI56" s="58">
        <v>42.878</v>
      </c>
      <c r="GJ56" s="58">
        <v>65.001000000000005</v>
      </c>
      <c r="GK56" s="58">
        <v>61.103000000000002</v>
      </c>
      <c r="GL56" s="58">
        <v>45.465000000000003</v>
      </c>
      <c r="GM56" s="58">
        <v>15.637</v>
      </c>
      <c r="GN56" s="58">
        <v>123.827</v>
      </c>
      <c r="GO56" s="58">
        <v>50.066000000000003</v>
      </c>
      <c r="GP56" s="58">
        <v>73.760999999999996</v>
      </c>
      <c r="GQ56" s="58">
        <v>117.874</v>
      </c>
      <c r="GR56" s="58">
        <v>51.628999999999998</v>
      </c>
      <c r="GS56" s="58">
        <v>66.245999999999995</v>
      </c>
      <c r="GT56" s="58">
        <v>529.85500000000002</v>
      </c>
      <c r="GU56" s="58">
        <v>319.79199999999997</v>
      </c>
      <c r="GV56" s="58">
        <v>210.06399999999999</v>
      </c>
      <c r="GW56" s="58">
        <v>234.96</v>
      </c>
      <c r="GX56" s="58">
        <v>172.702</v>
      </c>
      <c r="GY56" s="58">
        <v>62.258000000000003</v>
      </c>
      <c r="GZ56" s="58">
        <v>294.89499999999998</v>
      </c>
      <c r="HA56" s="58">
        <v>147.09</v>
      </c>
      <c r="HB56" s="58">
        <v>147.80600000000001</v>
      </c>
      <c r="HC56" s="58">
        <v>50.735999999999997</v>
      </c>
      <c r="HD56" s="58">
        <v>28.209</v>
      </c>
      <c r="HE56" s="58">
        <v>22.527000000000001</v>
      </c>
      <c r="HF56" s="58">
        <v>24.015000000000001</v>
      </c>
      <c r="HG56" s="58">
        <v>13.215</v>
      </c>
      <c r="HH56" s="58">
        <v>10.8</v>
      </c>
      <c r="HI56" s="58">
        <v>4.484</v>
      </c>
      <c r="HJ56" s="58">
        <v>3.016</v>
      </c>
      <c r="HK56" s="58">
        <v>1.468</v>
      </c>
      <c r="HL56" s="58">
        <v>3.45</v>
      </c>
      <c r="HM56" s="58">
        <v>1.982</v>
      </c>
      <c r="HN56" s="58">
        <v>1.468</v>
      </c>
      <c r="HO56" s="58">
        <v>1.034</v>
      </c>
      <c r="HP56" s="58">
        <v>1.034</v>
      </c>
      <c r="HQ56" s="58">
        <v>0</v>
      </c>
      <c r="HR56" s="58">
        <v>19.530999999999999</v>
      </c>
      <c r="HS56" s="58">
        <v>10.199</v>
      </c>
      <c r="HT56" s="58">
        <v>9.3309999999999995</v>
      </c>
      <c r="HU56" s="58">
        <v>33.042999999999999</v>
      </c>
      <c r="HV56" s="58">
        <v>19.253</v>
      </c>
      <c r="HW56" s="58">
        <v>13.79</v>
      </c>
      <c r="HX56" s="58">
        <v>5.64</v>
      </c>
      <c r="HY56" s="58">
        <v>4.6079999999999997</v>
      </c>
      <c r="HZ56" s="58">
        <v>1.032</v>
      </c>
      <c r="IA56" s="58">
        <v>27.402999999999999</v>
      </c>
      <c r="IB56" s="58">
        <v>14.645</v>
      </c>
      <c r="IC56" s="58">
        <v>12.757999999999999</v>
      </c>
      <c r="ID56" s="58">
        <v>10.099</v>
      </c>
      <c r="IE56" s="58">
        <v>7.5990000000000002</v>
      </c>
      <c r="IF56" s="58">
        <v>2.5</v>
      </c>
      <c r="IG56" s="58">
        <v>40.637</v>
      </c>
      <c r="IH56" s="58">
        <v>20.61</v>
      </c>
      <c r="II56" s="58">
        <v>20.026</v>
      </c>
      <c r="IJ56" s="58">
        <v>30.853000000000002</v>
      </c>
      <c r="IK56" s="58">
        <v>16.626999999999999</v>
      </c>
      <c r="IL56" s="58">
        <v>14.226000000000001</v>
      </c>
      <c r="IM56" s="58">
        <v>4009.0250000000001</v>
      </c>
      <c r="IN56" s="58">
        <v>2128.7469999999998</v>
      </c>
      <c r="IO56" s="58">
        <v>1880.278</v>
      </c>
      <c r="IP56" s="58">
        <v>2772.89</v>
      </c>
      <c r="IQ56" s="58">
        <v>1728.3219999999999</v>
      </c>
    </row>
    <row r="57" spans="1:251">
      <c r="A57" s="5">
        <v>43221</v>
      </c>
      <c r="B57" s="58">
        <v>11.833</v>
      </c>
      <c r="C57" s="58">
        <v>17.576000000000001</v>
      </c>
      <c r="D57" s="58">
        <v>379.95600000000002</v>
      </c>
      <c r="E57" s="58">
        <v>211.834</v>
      </c>
      <c r="F57" s="58">
        <v>168.12200000000001</v>
      </c>
      <c r="G57" s="58">
        <v>173.874</v>
      </c>
      <c r="H57" s="58">
        <v>130.23599999999999</v>
      </c>
      <c r="I57" s="58">
        <v>43.637999999999998</v>
      </c>
      <c r="J57" s="58">
        <v>206.08199999999999</v>
      </c>
      <c r="K57" s="58">
        <v>81.597999999999999</v>
      </c>
      <c r="L57" s="58">
        <v>124.48399999999999</v>
      </c>
      <c r="M57" s="58">
        <v>193.87799999999999</v>
      </c>
      <c r="N57" s="58">
        <v>142.96299999999999</v>
      </c>
      <c r="O57" s="58">
        <v>50.914999999999999</v>
      </c>
      <c r="P57" s="58">
        <v>219.274</v>
      </c>
      <c r="Q57" s="58">
        <v>86.984999999999999</v>
      </c>
      <c r="R57" s="58">
        <v>132.28899999999999</v>
      </c>
      <c r="S57" s="58">
        <v>219.44499999999999</v>
      </c>
      <c r="T57" s="58">
        <v>92.046000000000006</v>
      </c>
      <c r="U57" s="58">
        <v>127.399</v>
      </c>
      <c r="V57" s="58">
        <v>2717.288</v>
      </c>
      <c r="W57" s="58">
        <v>1463.3430000000001</v>
      </c>
      <c r="X57" s="58">
        <v>1253.9449999999999</v>
      </c>
      <c r="Y57" s="58">
        <v>2019.2090000000001</v>
      </c>
      <c r="Z57" s="58">
        <v>1339.2439999999999</v>
      </c>
      <c r="AA57" s="58">
        <v>679.96500000000003</v>
      </c>
      <c r="AB57" s="58">
        <v>698.07899999999995</v>
      </c>
      <c r="AC57" s="58">
        <v>124.099</v>
      </c>
      <c r="AD57" s="58">
        <v>573.98</v>
      </c>
      <c r="AE57" s="58">
        <v>306.99200000000002</v>
      </c>
      <c r="AF57" s="58">
        <v>157.46700000000001</v>
      </c>
      <c r="AG57" s="58">
        <v>149.52500000000001</v>
      </c>
      <c r="AH57" s="58">
        <v>50.277999999999999</v>
      </c>
      <c r="AI57" s="58">
        <v>30.52</v>
      </c>
      <c r="AJ57" s="58">
        <v>19.757999999999999</v>
      </c>
      <c r="AK57" s="58">
        <v>25.4</v>
      </c>
      <c r="AL57" s="58">
        <v>19.741</v>
      </c>
      <c r="AM57" s="58">
        <v>5.6589999999999998</v>
      </c>
      <c r="AN57" s="58">
        <v>13.746</v>
      </c>
      <c r="AO57" s="58">
        <v>9.4920000000000009</v>
      </c>
      <c r="AP57" s="58">
        <v>4.2539999999999996</v>
      </c>
      <c r="AQ57" s="58">
        <v>11.654</v>
      </c>
      <c r="AR57" s="58">
        <v>10.249000000000001</v>
      </c>
      <c r="AS57" s="58">
        <v>1.405</v>
      </c>
      <c r="AT57" s="58">
        <v>24.878</v>
      </c>
      <c r="AU57" s="58">
        <v>10.78</v>
      </c>
      <c r="AV57" s="58">
        <v>14.099</v>
      </c>
      <c r="AW57" s="58">
        <v>274.09800000000001</v>
      </c>
      <c r="AX57" s="58">
        <v>138.29599999999999</v>
      </c>
      <c r="AY57" s="58">
        <v>135.80199999999999</v>
      </c>
      <c r="AZ57" s="58">
        <v>125.602</v>
      </c>
      <c r="BA57" s="58">
        <v>97.665999999999997</v>
      </c>
      <c r="BB57" s="58">
        <v>27.937000000000001</v>
      </c>
      <c r="BC57" s="58">
        <v>148.495</v>
      </c>
      <c r="BD57" s="58">
        <v>40.630000000000003</v>
      </c>
      <c r="BE57" s="58">
        <v>107.86499999999999</v>
      </c>
      <c r="BF57" s="58">
        <v>146.44399999999999</v>
      </c>
      <c r="BG57" s="58">
        <v>113.333</v>
      </c>
      <c r="BH57" s="58">
        <v>33.11</v>
      </c>
      <c r="BI57" s="58">
        <v>160.54900000000001</v>
      </c>
      <c r="BJ57" s="58">
        <v>44.134</v>
      </c>
      <c r="BK57" s="58">
        <v>116.41500000000001</v>
      </c>
      <c r="BL57" s="58">
        <v>162.24199999999999</v>
      </c>
      <c r="BM57" s="58">
        <v>50.122</v>
      </c>
      <c r="BN57" s="58">
        <v>112.119</v>
      </c>
      <c r="BO57" s="58">
        <v>2577.5520000000001</v>
      </c>
      <c r="BP57" s="58">
        <v>1319.0050000000001</v>
      </c>
      <c r="BQ57" s="58">
        <v>1258.547</v>
      </c>
      <c r="BR57" s="58">
        <v>1927.069</v>
      </c>
      <c r="BS57" s="58">
        <v>1181.1600000000001</v>
      </c>
      <c r="BT57" s="58">
        <v>745.90899999999999</v>
      </c>
      <c r="BU57" s="58">
        <v>650.48299999999995</v>
      </c>
      <c r="BV57" s="58">
        <v>137.84399999999999</v>
      </c>
      <c r="BW57" s="58">
        <v>512.63900000000001</v>
      </c>
      <c r="BX57" s="58">
        <v>307.17399999999998</v>
      </c>
      <c r="BY57" s="58">
        <v>144.42699999999999</v>
      </c>
      <c r="BZ57" s="58">
        <v>162.74700000000001</v>
      </c>
      <c r="CA57" s="58">
        <v>65.194999999999993</v>
      </c>
      <c r="CB57" s="58">
        <v>37.276000000000003</v>
      </c>
      <c r="CC57" s="58">
        <v>27.917999999999999</v>
      </c>
      <c r="CD57" s="58">
        <v>30.143000000000001</v>
      </c>
      <c r="CE57" s="58">
        <v>22.492000000000001</v>
      </c>
      <c r="CF57" s="58">
        <v>7.6509999999999998</v>
      </c>
      <c r="CG57" s="58">
        <v>15.031000000000001</v>
      </c>
      <c r="CH57" s="58">
        <v>11.548</v>
      </c>
      <c r="CI57" s="58">
        <v>3.4830000000000001</v>
      </c>
      <c r="CJ57" s="58">
        <v>15.112</v>
      </c>
      <c r="CK57" s="58">
        <v>10.944000000000001</v>
      </c>
      <c r="CL57" s="58">
        <v>4.1680000000000001</v>
      </c>
      <c r="CM57" s="58">
        <v>35.052</v>
      </c>
      <c r="CN57" s="58">
        <v>14.785</v>
      </c>
      <c r="CO57" s="58">
        <v>20.266999999999999</v>
      </c>
      <c r="CP57" s="58">
        <v>267.46300000000002</v>
      </c>
      <c r="CQ57" s="58">
        <v>120.73699999999999</v>
      </c>
      <c r="CR57" s="58">
        <v>146.726</v>
      </c>
      <c r="CS57" s="58">
        <v>97.781000000000006</v>
      </c>
      <c r="CT57" s="58">
        <v>69.631</v>
      </c>
      <c r="CU57" s="58">
        <v>28.15</v>
      </c>
      <c r="CV57" s="58">
        <v>169.68199999999999</v>
      </c>
      <c r="CW57" s="58">
        <v>51.106000000000002</v>
      </c>
      <c r="CX57" s="58">
        <v>118.57599999999999</v>
      </c>
      <c r="CY57" s="58">
        <v>121.824</v>
      </c>
      <c r="CZ57" s="58">
        <v>88.265000000000001</v>
      </c>
      <c r="DA57" s="58">
        <v>33.558999999999997</v>
      </c>
      <c r="DB57" s="58">
        <v>185.35</v>
      </c>
      <c r="DC57" s="58">
        <v>56.161000000000001</v>
      </c>
      <c r="DD57" s="58">
        <v>129.18899999999999</v>
      </c>
      <c r="DE57" s="58">
        <v>184.714</v>
      </c>
      <c r="DF57" s="58">
        <v>62.655000000000001</v>
      </c>
      <c r="DG57" s="58">
        <v>122.059</v>
      </c>
      <c r="DH57" s="58">
        <v>2368.355</v>
      </c>
      <c r="DI57" s="58">
        <v>1303.3510000000001</v>
      </c>
      <c r="DJ57" s="58">
        <v>1065.0039999999999</v>
      </c>
      <c r="DK57" s="58">
        <v>1485.2280000000001</v>
      </c>
      <c r="DL57" s="58">
        <v>979.08600000000001</v>
      </c>
      <c r="DM57" s="58">
        <v>506.142</v>
      </c>
      <c r="DN57" s="58">
        <v>883.12699999999995</v>
      </c>
      <c r="DO57" s="58">
        <v>324.26600000000002</v>
      </c>
      <c r="DP57" s="58">
        <v>558.86099999999999</v>
      </c>
      <c r="DQ57" s="58">
        <v>255.29400000000001</v>
      </c>
      <c r="DR57" s="58">
        <v>150.43199999999999</v>
      </c>
      <c r="DS57" s="58">
        <v>104.86199999999999</v>
      </c>
      <c r="DT57" s="58">
        <v>91.358999999999995</v>
      </c>
      <c r="DU57" s="58">
        <v>58.707000000000001</v>
      </c>
      <c r="DV57" s="58">
        <v>32.652000000000001</v>
      </c>
      <c r="DW57" s="58">
        <v>32.612000000000002</v>
      </c>
      <c r="DX57" s="58">
        <v>28.600999999999999</v>
      </c>
      <c r="DY57" s="58">
        <v>4.0110000000000001</v>
      </c>
      <c r="DZ57" s="58">
        <v>20.712</v>
      </c>
      <c r="EA57" s="58">
        <v>18.321999999999999</v>
      </c>
      <c r="EB57" s="58">
        <v>2.39</v>
      </c>
      <c r="EC57" s="58">
        <v>11.9</v>
      </c>
      <c r="ED57" s="58">
        <v>10.279</v>
      </c>
      <c r="EE57" s="58">
        <v>1.621</v>
      </c>
      <c r="EF57" s="58">
        <v>58.747</v>
      </c>
      <c r="EG57" s="58">
        <v>30.106000000000002</v>
      </c>
      <c r="EH57" s="58">
        <v>28.640999999999998</v>
      </c>
      <c r="EI57" s="58">
        <v>191.702</v>
      </c>
      <c r="EJ57" s="58">
        <v>111.545</v>
      </c>
      <c r="EK57" s="58">
        <v>80.158000000000001</v>
      </c>
      <c r="EL57" s="58">
        <v>57.213999999999999</v>
      </c>
      <c r="EM57" s="58">
        <v>47.262</v>
      </c>
      <c r="EN57" s="58">
        <v>9.952</v>
      </c>
      <c r="EO57" s="58">
        <v>134.488</v>
      </c>
      <c r="EP57" s="58">
        <v>64.281999999999996</v>
      </c>
      <c r="EQ57" s="58">
        <v>70.206000000000003</v>
      </c>
      <c r="ER57" s="58">
        <v>82.578999999999994</v>
      </c>
      <c r="ES57" s="58">
        <v>69.653000000000006</v>
      </c>
      <c r="ET57" s="58">
        <v>12.927</v>
      </c>
      <c r="EU57" s="58">
        <v>172.714</v>
      </c>
      <c r="EV57" s="58">
        <v>80.778999999999996</v>
      </c>
      <c r="EW57" s="58">
        <v>91.935000000000002</v>
      </c>
      <c r="EX57" s="58">
        <v>155.19999999999999</v>
      </c>
      <c r="EY57" s="58">
        <v>82.603999999999999</v>
      </c>
      <c r="EZ57" s="58">
        <v>72.596000000000004</v>
      </c>
      <c r="FA57" s="58">
        <v>1834.9849999999999</v>
      </c>
      <c r="FB57" s="58">
        <v>977.88499999999999</v>
      </c>
      <c r="FC57" s="58">
        <v>857.101</v>
      </c>
      <c r="FD57" s="58">
        <v>1247.5260000000001</v>
      </c>
      <c r="FE57" s="58">
        <v>806.226</v>
      </c>
      <c r="FF57" s="58">
        <v>441.30099999999999</v>
      </c>
      <c r="FG57" s="58">
        <v>587.45899999999995</v>
      </c>
      <c r="FH57" s="58">
        <v>171.65899999999999</v>
      </c>
      <c r="FI57" s="58">
        <v>415.8</v>
      </c>
      <c r="FJ57" s="58">
        <v>204.24799999999999</v>
      </c>
      <c r="FK57" s="58">
        <v>116.562</v>
      </c>
      <c r="FL57" s="58">
        <v>87.685000000000002</v>
      </c>
      <c r="FM57" s="58">
        <v>62.917000000000002</v>
      </c>
      <c r="FN57" s="58">
        <v>40.055</v>
      </c>
      <c r="FO57" s="58">
        <v>22.863</v>
      </c>
      <c r="FP57" s="58">
        <v>26.863</v>
      </c>
      <c r="FQ57" s="58">
        <v>23.434000000000001</v>
      </c>
      <c r="FR57" s="58">
        <v>3.43</v>
      </c>
      <c r="FS57" s="58">
        <v>16.134</v>
      </c>
      <c r="FT57" s="58">
        <v>14.324999999999999</v>
      </c>
      <c r="FU57" s="58">
        <v>1.8089999999999999</v>
      </c>
      <c r="FV57" s="58">
        <v>10.728999999999999</v>
      </c>
      <c r="FW57" s="58">
        <v>9.109</v>
      </c>
      <c r="FX57" s="58">
        <v>1.621</v>
      </c>
      <c r="FY57" s="58">
        <v>36.054000000000002</v>
      </c>
      <c r="FZ57" s="58">
        <v>16.620999999999999</v>
      </c>
      <c r="GA57" s="58">
        <v>19.433</v>
      </c>
      <c r="GB57" s="58">
        <v>163.83099999999999</v>
      </c>
      <c r="GC57" s="58">
        <v>92.269000000000005</v>
      </c>
      <c r="GD57" s="58">
        <v>71.563000000000002</v>
      </c>
      <c r="GE57" s="58">
        <v>53.142000000000003</v>
      </c>
      <c r="GF57" s="58">
        <v>43.237000000000002</v>
      </c>
      <c r="GG57" s="58">
        <v>9.9049999999999994</v>
      </c>
      <c r="GH57" s="58">
        <v>110.68899999999999</v>
      </c>
      <c r="GI57" s="58">
        <v>49.031999999999996</v>
      </c>
      <c r="GJ57" s="58">
        <v>61.658000000000001</v>
      </c>
      <c r="GK57" s="58">
        <v>72.759</v>
      </c>
      <c r="GL57" s="58">
        <v>60.46</v>
      </c>
      <c r="GM57" s="58">
        <v>12.298</v>
      </c>
      <c r="GN57" s="58">
        <v>131.489</v>
      </c>
      <c r="GO57" s="58">
        <v>56.101999999999997</v>
      </c>
      <c r="GP57" s="58">
        <v>75.387</v>
      </c>
      <c r="GQ57" s="58">
        <v>126.82299999999999</v>
      </c>
      <c r="GR57" s="58">
        <v>63.356999999999999</v>
      </c>
      <c r="GS57" s="58">
        <v>63.466000000000001</v>
      </c>
      <c r="GT57" s="58">
        <v>533.36900000000003</v>
      </c>
      <c r="GU57" s="58">
        <v>325.46600000000001</v>
      </c>
      <c r="GV57" s="58">
        <v>207.90299999999999</v>
      </c>
      <c r="GW57" s="58">
        <v>237.702</v>
      </c>
      <c r="GX57" s="58">
        <v>172.86</v>
      </c>
      <c r="GY57" s="58">
        <v>64.841999999999999</v>
      </c>
      <c r="GZ57" s="58">
        <v>295.66800000000001</v>
      </c>
      <c r="HA57" s="58">
        <v>152.607</v>
      </c>
      <c r="HB57" s="58">
        <v>143.06100000000001</v>
      </c>
      <c r="HC57" s="58">
        <v>51.045999999999999</v>
      </c>
      <c r="HD57" s="58">
        <v>33.869999999999997</v>
      </c>
      <c r="HE57" s="58">
        <v>17.177</v>
      </c>
      <c r="HF57" s="58">
        <v>28.440999999999999</v>
      </c>
      <c r="HG57" s="58">
        <v>18.652000000000001</v>
      </c>
      <c r="HH57" s="58">
        <v>9.7889999999999997</v>
      </c>
      <c r="HI57" s="58">
        <v>5.7489999999999997</v>
      </c>
      <c r="HJ57" s="58">
        <v>5.1669999999999998</v>
      </c>
      <c r="HK57" s="58">
        <v>0.58099999999999996</v>
      </c>
      <c r="HL57" s="58">
        <v>4.5780000000000003</v>
      </c>
      <c r="HM57" s="58">
        <v>3.9969999999999999</v>
      </c>
      <c r="HN57" s="58">
        <v>0.58099999999999996</v>
      </c>
      <c r="HO57" s="58">
        <v>1.171</v>
      </c>
      <c r="HP57" s="58">
        <v>1.171</v>
      </c>
      <c r="HQ57" s="58">
        <v>0</v>
      </c>
      <c r="HR57" s="58">
        <v>22.693000000000001</v>
      </c>
      <c r="HS57" s="58">
        <v>13.484999999999999</v>
      </c>
      <c r="HT57" s="58">
        <v>9.2080000000000002</v>
      </c>
      <c r="HU57" s="58">
        <v>27.870999999999999</v>
      </c>
      <c r="HV57" s="58">
        <v>19.276</v>
      </c>
      <c r="HW57" s="58">
        <v>8.5950000000000006</v>
      </c>
      <c r="HX57" s="58">
        <v>4.0720000000000001</v>
      </c>
      <c r="HY57" s="58">
        <v>4.0250000000000004</v>
      </c>
      <c r="HZ57" s="58">
        <v>4.7E-2</v>
      </c>
      <c r="IA57" s="58">
        <v>23.798999999999999</v>
      </c>
      <c r="IB57" s="58">
        <v>15.250999999999999</v>
      </c>
      <c r="IC57" s="58">
        <v>8.548</v>
      </c>
      <c r="ID57" s="58">
        <v>9.8209999999999997</v>
      </c>
      <c r="IE57" s="58">
        <v>9.1920000000000002</v>
      </c>
      <c r="IF57" s="58">
        <v>0.628</v>
      </c>
      <c r="IG57" s="58">
        <v>41.225000000000001</v>
      </c>
      <c r="IH57" s="58">
        <v>24.677</v>
      </c>
      <c r="II57" s="58">
        <v>16.547999999999998</v>
      </c>
      <c r="IJ57" s="58">
        <v>28.376999999999999</v>
      </c>
      <c r="IK57" s="58">
        <v>19.248000000000001</v>
      </c>
      <c r="IL57" s="58">
        <v>9.1300000000000008</v>
      </c>
      <c r="IM57" s="58">
        <v>3998.0419999999999</v>
      </c>
      <c r="IN57" s="58">
        <v>2119.1239999999998</v>
      </c>
      <c r="IO57" s="58">
        <v>1878.9179999999999</v>
      </c>
      <c r="IP57" s="58">
        <v>2758.6990000000001</v>
      </c>
      <c r="IQ57" s="58">
        <v>1727.357</v>
      </c>
    </row>
    <row r="58" spans="1:251">
      <c r="A58" s="5">
        <v>43252</v>
      </c>
      <c r="B58" s="58">
        <v>15.323</v>
      </c>
      <c r="C58" s="58">
        <v>19.053000000000001</v>
      </c>
      <c r="D58" s="58">
        <v>397.202</v>
      </c>
      <c r="E58" s="58">
        <v>220.53700000000001</v>
      </c>
      <c r="F58" s="58">
        <v>176.66399999999999</v>
      </c>
      <c r="G58" s="58">
        <v>187.56200000000001</v>
      </c>
      <c r="H58" s="58">
        <v>141.06399999999999</v>
      </c>
      <c r="I58" s="58">
        <v>46.497999999999998</v>
      </c>
      <c r="J58" s="58">
        <v>209.64</v>
      </c>
      <c r="K58" s="58">
        <v>79.474000000000004</v>
      </c>
      <c r="L58" s="58">
        <v>130.166</v>
      </c>
      <c r="M58" s="58">
        <v>205.708</v>
      </c>
      <c r="N58" s="58">
        <v>154.142</v>
      </c>
      <c r="O58" s="58">
        <v>51.564999999999998</v>
      </c>
      <c r="P58" s="58">
        <v>222.28800000000001</v>
      </c>
      <c r="Q58" s="58">
        <v>84.855999999999995</v>
      </c>
      <c r="R58" s="58">
        <v>137.43299999999999</v>
      </c>
      <c r="S58" s="58">
        <v>226.904</v>
      </c>
      <c r="T58" s="58">
        <v>91.45</v>
      </c>
      <c r="U58" s="58">
        <v>135.45400000000001</v>
      </c>
      <c r="V58" s="58">
        <v>2713.67</v>
      </c>
      <c r="W58" s="58">
        <v>1460.8209999999999</v>
      </c>
      <c r="X58" s="58">
        <v>1252.848</v>
      </c>
      <c r="Y58" s="58">
        <v>2016.829</v>
      </c>
      <c r="Z58" s="58">
        <v>1329.1010000000001</v>
      </c>
      <c r="AA58" s="58">
        <v>687.72699999999998</v>
      </c>
      <c r="AB58" s="58">
        <v>696.84100000000001</v>
      </c>
      <c r="AC58" s="58">
        <v>131.72</v>
      </c>
      <c r="AD58" s="58">
        <v>565.12099999999998</v>
      </c>
      <c r="AE58" s="58">
        <v>330.04599999999999</v>
      </c>
      <c r="AF58" s="58">
        <v>169.18</v>
      </c>
      <c r="AG58" s="58">
        <v>160.86600000000001</v>
      </c>
      <c r="AH58" s="58">
        <v>60.750999999999998</v>
      </c>
      <c r="AI58" s="58">
        <v>33.436999999999998</v>
      </c>
      <c r="AJ58" s="58">
        <v>27.314</v>
      </c>
      <c r="AK58" s="58">
        <v>27.306999999999999</v>
      </c>
      <c r="AL58" s="58">
        <v>22.172000000000001</v>
      </c>
      <c r="AM58" s="58">
        <v>5.1349999999999998</v>
      </c>
      <c r="AN58" s="58">
        <v>14.503</v>
      </c>
      <c r="AO58" s="58">
        <v>10.853999999999999</v>
      </c>
      <c r="AP58" s="58">
        <v>3.649</v>
      </c>
      <c r="AQ58" s="58">
        <v>12.804</v>
      </c>
      <c r="AR58" s="58">
        <v>11.318</v>
      </c>
      <c r="AS58" s="58">
        <v>1.486</v>
      </c>
      <c r="AT58" s="58">
        <v>33.444000000000003</v>
      </c>
      <c r="AU58" s="58">
        <v>11.265000000000001</v>
      </c>
      <c r="AV58" s="58">
        <v>22.178999999999998</v>
      </c>
      <c r="AW58" s="58">
        <v>295.66199999999998</v>
      </c>
      <c r="AX58" s="58">
        <v>151.50700000000001</v>
      </c>
      <c r="AY58" s="58">
        <v>144.155</v>
      </c>
      <c r="AZ58" s="58">
        <v>124.239</v>
      </c>
      <c r="BA58" s="58">
        <v>100.03700000000001</v>
      </c>
      <c r="BB58" s="58">
        <v>24.202000000000002</v>
      </c>
      <c r="BC58" s="58">
        <v>171.423</v>
      </c>
      <c r="BD58" s="58">
        <v>51.47</v>
      </c>
      <c r="BE58" s="58">
        <v>119.953</v>
      </c>
      <c r="BF58" s="58">
        <v>145.345</v>
      </c>
      <c r="BG58" s="58">
        <v>116.47199999999999</v>
      </c>
      <c r="BH58" s="58">
        <v>28.873000000000001</v>
      </c>
      <c r="BI58" s="58">
        <v>184.70099999999999</v>
      </c>
      <c r="BJ58" s="58">
        <v>52.707999999999998</v>
      </c>
      <c r="BK58" s="58">
        <v>131.99299999999999</v>
      </c>
      <c r="BL58" s="58">
        <v>185.92599999999999</v>
      </c>
      <c r="BM58" s="58">
        <v>62.323999999999998</v>
      </c>
      <c r="BN58" s="58">
        <v>123.602</v>
      </c>
      <c r="BO58" s="58">
        <v>2569.819</v>
      </c>
      <c r="BP58" s="58">
        <v>1321.9559999999999</v>
      </c>
      <c r="BQ58" s="58">
        <v>1247.8630000000001</v>
      </c>
      <c r="BR58" s="58">
        <v>1919.3820000000001</v>
      </c>
      <c r="BS58" s="58">
        <v>1182.5150000000001</v>
      </c>
      <c r="BT58" s="58">
        <v>736.86800000000005</v>
      </c>
      <c r="BU58" s="58">
        <v>650.43700000000001</v>
      </c>
      <c r="BV58" s="58">
        <v>139.441</v>
      </c>
      <c r="BW58" s="58">
        <v>510.99599999999998</v>
      </c>
      <c r="BX58" s="58">
        <v>297.166</v>
      </c>
      <c r="BY58" s="58">
        <v>135.232</v>
      </c>
      <c r="BZ58" s="58">
        <v>161.935</v>
      </c>
      <c r="CA58" s="58">
        <v>48.957000000000001</v>
      </c>
      <c r="CB58" s="58">
        <v>25.068000000000001</v>
      </c>
      <c r="CC58" s="58">
        <v>23.89</v>
      </c>
      <c r="CD58" s="58">
        <v>22.524000000000001</v>
      </c>
      <c r="CE58" s="58">
        <v>16.864999999999998</v>
      </c>
      <c r="CF58" s="58">
        <v>5.6580000000000004</v>
      </c>
      <c r="CG58" s="58">
        <v>12.516999999999999</v>
      </c>
      <c r="CH58" s="58">
        <v>9.0850000000000009</v>
      </c>
      <c r="CI58" s="58">
        <v>3.4329999999999998</v>
      </c>
      <c r="CJ58" s="58">
        <v>10.006</v>
      </c>
      <c r="CK58" s="58">
        <v>7.7809999999999997</v>
      </c>
      <c r="CL58" s="58">
        <v>2.2250000000000001</v>
      </c>
      <c r="CM58" s="58">
        <v>26.433</v>
      </c>
      <c r="CN58" s="58">
        <v>8.202</v>
      </c>
      <c r="CO58" s="58">
        <v>18.231000000000002</v>
      </c>
      <c r="CP58" s="58">
        <v>271.048</v>
      </c>
      <c r="CQ58" s="58">
        <v>119.82299999999999</v>
      </c>
      <c r="CR58" s="58">
        <v>151.22499999999999</v>
      </c>
      <c r="CS58" s="58">
        <v>103.047</v>
      </c>
      <c r="CT58" s="58">
        <v>73.019000000000005</v>
      </c>
      <c r="CU58" s="58">
        <v>30.027999999999999</v>
      </c>
      <c r="CV58" s="58">
        <v>168.001</v>
      </c>
      <c r="CW58" s="58">
        <v>46.805</v>
      </c>
      <c r="CX58" s="58">
        <v>121.197</v>
      </c>
      <c r="CY58" s="58">
        <v>121.331</v>
      </c>
      <c r="CZ58" s="58">
        <v>86.831999999999994</v>
      </c>
      <c r="DA58" s="58">
        <v>34.499000000000002</v>
      </c>
      <c r="DB58" s="58">
        <v>175.83500000000001</v>
      </c>
      <c r="DC58" s="58">
        <v>48.399000000000001</v>
      </c>
      <c r="DD58" s="58">
        <v>127.43600000000001</v>
      </c>
      <c r="DE58" s="58">
        <v>180.51900000000001</v>
      </c>
      <c r="DF58" s="58">
        <v>55.889000000000003</v>
      </c>
      <c r="DG58" s="58">
        <v>124.629</v>
      </c>
      <c r="DH58" s="58">
        <v>2387.674</v>
      </c>
      <c r="DI58" s="58">
        <v>1313.7239999999999</v>
      </c>
      <c r="DJ58" s="58">
        <v>1073.95</v>
      </c>
      <c r="DK58" s="58">
        <v>1502.364</v>
      </c>
      <c r="DL58" s="58">
        <v>999.07500000000005</v>
      </c>
      <c r="DM58" s="58">
        <v>503.28899999999999</v>
      </c>
      <c r="DN58" s="58">
        <v>885.31</v>
      </c>
      <c r="DO58" s="58">
        <v>314.649</v>
      </c>
      <c r="DP58" s="58">
        <v>570.66099999999994</v>
      </c>
      <c r="DQ58" s="58">
        <v>255.46600000000001</v>
      </c>
      <c r="DR58" s="58">
        <v>146.226</v>
      </c>
      <c r="DS58" s="58">
        <v>109.24</v>
      </c>
      <c r="DT58" s="58">
        <v>80.150000000000006</v>
      </c>
      <c r="DU58" s="58">
        <v>50.472000000000001</v>
      </c>
      <c r="DV58" s="58">
        <v>29.678000000000001</v>
      </c>
      <c r="DW58" s="58">
        <v>25.123999999999999</v>
      </c>
      <c r="DX58" s="58">
        <v>20.931000000000001</v>
      </c>
      <c r="DY58" s="58">
        <v>4.1929999999999996</v>
      </c>
      <c r="DZ58" s="58">
        <v>14.794</v>
      </c>
      <c r="EA58" s="58">
        <v>12.124000000000001</v>
      </c>
      <c r="EB58" s="58">
        <v>2.67</v>
      </c>
      <c r="EC58" s="58">
        <v>10.33</v>
      </c>
      <c r="ED58" s="58">
        <v>8.8070000000000004</v>
      </c>
      <c r="EE58" s="58">
        <v>1.5229999999999999</v>
      </c>
      <c r="EF58" s="58">
        <v>55.026000000000003</v>
      </c>
      <c r="EG58" s="58">
        <v>29.541</v>
      </c>
      <c r="EH58" s="58">
        <v>25.484999999999999</v>
      </c>
      <c r="EI58" s="58">
        <v>200.358</v>
      </c>
      <c r="EJ58" s="58">
        <v>111.874</v>
      </c>
      <c r="EK58" s="58">
        <v>88.483999999999995</v>
      </c>
      <c r="EL58" s="58">
        <v>56.658000000000001</v>
      </c>
      <c r="EM58" s="58">
        <v>44.719000000000001</v>
      </c>
      <c r="EN58" s="58">
        <v>11.939</v>
      </c>
      <c r="EO58" s="58">
        <v>143.69999999999999</v>
      </c>
      <c r="EP58" s="58">
        <v>67.155000000000001</v>
      </c>
      <c r="EQ58" s="58">
        <v>76.545000000000002</v>
      </c>
      <c r="ER58" s="58">
        <v>77.094999999999999</v>
      </c>
      <c r="ES58" s="58">
        <v>61.914999999999999</v>
      </c>
      <c r="ET58" s="58">
        <v>15.18</v>
      </c>
      <c r="EU58" s="58">
        <v>178.37100000000001</v>
      </c>
      <c r="EV58" s="58">
        <v>84.311000000000007</v>
      </c>
      <c r="EW58" s="58">
        <v>94.06</v>
      </c>
      <c r="EX58" s="58">
        <v>158.494</v>
      </c>
      <c r="EY58" s="58">
        <v>79.278999999999996</v>
      </c>
      <c r="EZ58" s="58">
        <v>79.215000000000003</v>
      </c>
      <c r="FA58" s="58">
        <v>1845.4110000000001</v>
      </c>
      <c r="FB58" s="58">
        <v>984.14099999999996</v>
      </c>
      <c r="FC58" s="58">
        <v>861.27</v>
      </c>
      <c r="FD58" s="58">
        <v>1255.5360000000001</v>
      </c>
      <c r="FE58" s="58">
        <v>818.36099999999999</v>
      </c>
      <c r="FF58" s="58">
        <v>437.17500000000001</v>
      </c>
      <c r="FG58" s="58">
        <v>589.875</v>
      </c>
      <c r="FH58" s="58">
        <v>165.78</v>
      </c>
      <c r="FI58" s="58">
        <v>424.096</v>
      </c>
      <c r="FJ58" s="58">
        <v>204.221</v>
      </c>
      <c r="FK58" s="58">
        <v>114.452</v>
      </c>
      <c r="FL58" s="58">
        <v>89.769000000000005</v>
      </c>
      <c r="FM58" s="58">
        <v>59.569000000000003</v>
      </c>
      <c r="FN58" s="58">
        <v>36.228000000000002</v>
      </c>
      <c r="FO58" s="58">
        <v>23.341999999999999</v>
      </c>
      <c r="FP58" s="58">
        <v>22.369</v>
      </c>
      <c r="FQ58" s="58">
        <v>18.175999999999998</v>
      </c>
      <c r="FR58" s="58">
        <v>4.1929999999999996</v>
      </c>
      <c r="FS58" s="58">
        <v>13.167</v>
      </c>
      <c r="FT58" s="58">
        <v>10.497</v>
      </c>
      <c r="FU58" s="58">
        <v>2.67</v>
      </c>
      <c r="FV58" s="58">
        <v>9.202</v>
      </c>
      <c r="FW58" s="58">
        <v>7.6790000000000003</v>
      </c>
      <c r="FX58" s="58">
        <v>1.5229999999999999</v>
      </c>
      <c r="FY58" s="58">
        <v>37.200000000000003</v>
      </c>
      <c r="FZ58" s="58">
        <v>18.052</v>
      </c>
      <c r="GA58" s="58">
        <v>19.149000000000001</v>
      </c>
      <c r="GB58" s="58">
        <v>164.26</v>
      </c>
      <c r="GC58" s="58">
        <v>90.441999999999993</v>
      </c>
      <c r="GD58" s="58">
        <v>73.817999999999998</v>
      </c>
      <c r="GE58" s="58">
        <v>50.963999999999999</v>
      </c>
      <c r="GF58" s="58">
        <v>39.569000000000003</v>
      </c>
      <c r="GG58" s="58">
        <v>11.395</v>
      </c>
      <c r="GH58" s="58">
        <v>113.29600000000001</v>
      </c>
      <c r="GI58" s="58">
        <v>50.872999999999998</v>
      </c>
      <c r="GJ58" s="58">
        <v>62.423000000000002</v>
      </c>
      <c r="GK58" s="58">
        <v>68.971999999999994</v>
      </c>
      <c r="GL58" s="58">
        <v>54.335999999999999</v>
      </c>
      <c r="GM58" s="58">
        <v>14.635999999999999</v>
      </c>
      <c r="GN58" s="58">
        <v>135.249</v>
      </c>
      <c r="GO58" s="58">
        <v>60.116</v>
      </c>
      <c r="GP58" s="58">
        <v>75.132999999999996</v>
      </c>
      <c r="GQ58" s="58">
        <v>126.46299999999999</v>
      </c>
      <c r="GR58" s="58">
        <v>61.37</v>
      </c>
      <c r="GS58" s="58">
        <v>65.093000000000004</v>
      </c>
      <c r="GT58" s="58">
        <v>542.26300000000003</v>
      </c>
      <c r="GU58" s="58">
        <v>329.58300000000003</v>
      </c>
      <c r="GV58" s="58">
        <v>212.68</v>
      </c>
      <c r="GW58" s="58">
        <v>246.828</v>
      </c>
      <c r="GX58" s="58">
        <v>180.714</v>
      </c>
      <c r="GY58" s="58">
        <v>66.114000000000004</v>
      </c>
      <c r="GZ58" s="58">
        <v>295.435</v>
      </c>
      <c r="HA58" s="58">
        <v>148.869</v>
      </c>
      <c r="HB58" s="58">
        <v>146.566</v>
      </c>
      <c r="HC58" s="58">
        <v>51.244</v>
      </c>
      <c r="HD58" s="58">
        <v>31.774000000000001</v>
      </c>
      <c r="HE58" s="58">
        <v>19.471</v>
      </c>
      <c r="HF58" s="58">
        <v>20.581</v>
      </c>
      <c r="HG58" s="58">
        <v>14.244</v>
      </c>
      <c r="HH58" s="58">
        <v>6.3360000000000003</v>
      </c>
      <c r="HI58" s="58">
        <v>2.7549999999999999</v>
      </c>
      <c r="HJ58" s="58">
        <v>2.7549999999999999</v>
      </c>
      <c r="HK58" s="58">
        <v>0</v>
      </c>
      <c r="HL58" s="58">
        <v>1.627</v>
      </c>
      <c r="HM58" s="58">
        <v>1.627</v>
      </c>
      <c r="HN58" s="58">
        <v>0</v>
      </c>
      <c r="HO58" s="58">
        <v>1.1279999999999999</v>
      </c>
      <c r="HP58" s="58">
        <v>1.1279999999999999</v>
      </c>
      <c r="HQ58" s="58">
        <v>0</v>
      </c>
      <c r="HR58" s="58">
        <v>17.826000000000001</v>
      </c>
      <c r="HS58" s="58">
        <v>11.489000000000001</v>
      </c>
      <c r="HT58" s="58">
        <v>6.3360000000000003</v>
      </c>
      <c r="HU58" s="58">
        <v>36.097999999999999</v>
      </c>
      <c r="HV58" s="58">
        <v>21.431999999999999</v>
      </c>
      <c r="HW58" s="58">
        <v>14.666</v>
      </c>
      <c r="HX58" s="58">
        <v>5.694</v>
      </c>
      <c r="HY58" s="58">
        <v>5.15</v>
      </c>
      <c r="HZ58" s="58">
        <v>0.54400000000000004</v>
      </c>
      <c r="IA58" s="58">
        <v>30.404</v>
      </c>
      <c r="IB58" s="58">
        <v>16.282</v>
      </c>
      <c r="IC58" s="58">
        <v>14.122</v>
      </c>
      <c r="ID58" s="58">
        <v>8.1229999999999993</v>
      </c>
      <c r="IE58" s="58">
        <v>7.5789999999999997</v>
      </c>
      <c r="IF58" s="58">
        <v>0.54400000000000004</v>
      </c>
      <c r="IG58" s="58">
        <v>43.121000000000002</v>
      </c>
      <c r="IH58" s="58">
        <v>24.195</v>
      </c>
      <c r="II58" s="58">
        <v>18.925999999999998</v>
      </c>
      <c r="IJ58" s="58">
        <v>32.030999999999999</v>
      </c>
      <c r="IK58" s="58">
        <v>17.908999999999999</v>
      </c>
      <c r="IL58" s="58">
        <v>14.122</v>
      </c>
      <c r="IM58" s="58">
        <v>4028.3389999999999</v>
      </c>
      <c r="IN58" s="58">
        <v>2132.826</v>
      </c>
      <c r="IO58" s="58">
        <v>1895.5129999999999</v>
      </c>
      <c r="IP58" s="58">
        <v>2768.259</v>
      </c>
      <c r="IQ58" s="58">
        <v>1731.182</v>
      </c>
    </row>
    <row r="59" spans="1:251">
      <c r="A59" s="5">
        <v>43282</v>
      </c>
      <c r="B59" s="58">
        <v>11.851000000000001</v>
      </c>
      <c r="C59" s="58">
        <v>22.193000000000001</v>
      </c>
      <c r="D59" s="58">
        <v>405.11900000000003</v>
      </c>
      <c r="E59" s="58">
        <v>232.108</v>
      </c>
      <c r="F59" s="58">
        <v>173.011</v>
      </c>
      <c r="G59" s="58">
        <v>207.77799999999999</v>
      </c>
      <c r="H59" s="58">
        <v>152.23699999999999</v>
      </c>
      <c r="I59" s="58">
        <v>55.540999999999997</v>
      </c>
      <c r="J59" s="58">
        <v>197.34100000000001</v>
      </c>
      <c r="K59" s="58">
        <v>79.870999999999995</v>
      </c>
      <c r="L59" s="58">
        <v>117.47</v>
      </c>
      <c r="M59" s="58">
        <v>234.37799999999999</v>
      </c>
      <c r="N59" s="58">
        <v>169.94399999999999</v>
      </c>
      <c r="O59" s="58">
        <v>64.433999999999997</v>
      </c>
      <c r="P59" s="58">
        <v>212.78700000000001</v>
      </c>
      <c r="Q59" s="58">
        <v>84.533000000000001</v>
      </c>
      <c r="R59" s="58">
        <v>128.25399999999999</v>
      </c>
      <c r="S59" s="58">
        <v>215.14400000000001</v>
      </c>
      <c r="T59" s="58">
        <v>93.165999999999997</v>
      </c>
      <c r="U59" s="58">
        <v>121.97799999999999</v>
      </c>
      <c r="V59" s="58">
        <v>2705.8530000000001</v>
      </c>
      <c r="W59" s="58">
        <v>1458.3030000000001</v>
      </c>
      <c r="X59" s="58">
        <v>1247.55</v>
      </c>
      <c r="Y59" s="58">
        <v>2017.97</v>
      </c>
      <c r="Z59" s="58">
        <v>1335.0509999999999</v>
      </c>
      <c r="AA59" s="58">
        <v>682.91899999999998</v>
      </c>
      <c r="AB59" s="58">
        <v>687.88300000000004</v>
      </c>
      <c r="AC59" s="58">
        <v>123.252</v>
      </c>
      <c r="AD59" s="58">
        <v>564.63099999999997</v>
      </c>
      <c r="AE59" s="58">
        <v>316.47300000000001</v>
      </c>
      <c r="AF59" s="58">
        <v>155.94</v>
      </c>
      <c r="AG59" s="58">
        <v>160.53299999999999</v>
      </c>
      <c r="AH59" s="58">
        <v>48.384</v>
      </c>
      <c r="AI59" s="58">
        <v>25.664999999999999</v>
      </c>
      <c r="AJ59" s="58">
        <v>22.72</v>
      </c>
      <c r="AK59" s="58">
        <v>23.283000000000001</v>
      </c>
      <c r="AL59" s="58">
        <v>19.335999999999999</v>
      </c>
      <c r="AM59" s="58">
        <v>3.948</v>
      </c>
      <c r="AN59" s="58">
        <v>13.013999999999999</v>
      </c>
      <c r="AO59" s="58">
        <v>9.7149999999999999</v>
      </c>
      <c r="AP59" s="58">
        <v>3.2989999999999999</v>
      </c>
      <c r="AQ59" s="58">
        <v>10.269</v>
      </c>
      <c r="AR59" s="58">
        <v>9.6199999999999992</v>
      </c>
      <c r="AS59" s="58">
        <v>0.64900000000000002</v>
      </c>
      <c r="AT59" s="58">
        <v>25.100999999999999</v>
      </c>
      <c r="AU59" s="58">
        <v>6.3289999999999997</v>
      </c>
      <c r="AV59" s="58">
        <v>18.771999999999998</v>
      </c>
      <c r="AW59" s="58">
        <v>290.19</v>
      </c>
      <c r="AX59" s="58">
        <v>139.92599999999999</v>
      </c>
      <c r="AY59" s="58">
        <v>150.26400000000001</v>
      </c>
      <c r="AZ59" s="58">
        <v>126.33499999999999</v>
      </c>
      <c r="BA59" s="58">
        <v>98.344999999999999</v>
      </c>
      <c r="BB59" s="58">
        <v>27.991</v>
      </c>
      <c r="BC59" s="58">
        <v>163.85499999999999</v>
      </c>
      <c r="BD59" s="58">
        <v>41.581000000000003</v>
      </c>
      <c r="BE59" s="58">
        <v>122.274</v>
      </c>
      <c r="BF59" s="58">
        <v>142.33000000000001</v>
      </c>
      <c r="BG59" s="58">
        <v>111.791</v>
      </c>
      <c r="BH59" s="58">
        <v>30.539000000000001</v>
      </c>
      <c r="BI59" s="58">
        <v>174.143</v>
      </c>
      <c r="BJ59" s="58">
        <v>44.149000000000001</v>
      </c>
      <c r="BK59" s="58">
        <v>129.994</v>
      </c>
      <c r="BL59" s="58">
        <v>176.869</v>
      </c>
      <c r="BM59" s="58">
        <v>51.296999999999997</v>
      </c>
      <c r="BN59" s="58">
        <v>125.57299999999999</v>
      </c>
      <c r="BO59" s="58">
        <v>2568.5970000000002</v>
      </c>
      <c r="BP59" s="58">
        <v>1320.7239999999999</v>
      </c>
      <c r="BQ59" s="58">
        <v>1247.873</v>
      </c>
      <c r="BR59" s="58">
        <v>1915.557</v>
      </c>
      <c r="BS59" s="58">
        <v>1187.702</v>
      </c>
      <c r="BT59" s="58">
        <v>727.85500000000002</v>
      </c>
      <c r="BU59" s="58">
        <v>653.04</v>
      </c>
      <c r="BV59" s="58">
        <v>133.02199999999999</v>
      </c>
      <c r="BW59" s="58">
        <v>520.01800000000003</v>
      </c>
      <c r="BX59" s="58">
        <v>312.988</v>
      </c>
      <c r="BY59" s="58">
        <v>140.97999999999999</v>
      </c>
      <c r="BZ59" s="58">
        <v>172.00800000000001</v>
      </c>
      <c r="CA59" s="58">
        <v>58.88</v>
      </c>
      <c r="CB59" s="58">
        <v>33.36</v>
      </c>
      <c r="CC59" s="58">
        <v>25.52</v>
      </c>
      <c r="CD59" s="58">
        <v>28.984000000000002</v>
      </c>
      <c r="CE59" s="58">
        <v>21.774000000000001</v>
      </c>
      <c r="CF59" s="58">
        <v>7.21</v>
      </c>
      <c r="CG59" s="58">
        <v>15.941000000000001</v>
      </c>
      <c r="CH59" s="58">
        <v>11.067</v>
      </c>
      <c r="CI59" s="58">
        <v>4.8739999999999997</v>
      </c>
      <c r="CJ59" s="58">
        <v>13.042999999999999</v>
      </c>
      <c r="CK59" s="58">
        <v>10.707000000000001</v>
      </c>
      <c r="CL59" s="58">
        <v>2.335</v>
      </c>
      <c r="CM59" s="58">
        <v>29.896000000000001</v>
      </c>
      <c r="CN59" s="58">
        <v>11.586</v>
      </c>
      <c r="CO59" s="58">
        <v>18.309999999999999</v>
      </c>
      <c r="CP59" s="58">
        <v>277.80900000000003</v>
      </c>
      <c r="CQ59" s="58">
        <v>120.82</v>
      </c>
      <c r="CR59" s="58">
        <v>156.989</v>
      </c>
      <c r="CS59" s="58">
        <v>113.562</v>
      </c>
      <c r="CT59" s="58">
        <v>73.872</v>
      </c>
      <c r="CU59" s="58">
        <v>39.691000000000003</v>
      </c>
      <c r="CV59" s="58">
        <v>164.24700000000001</v>
      </c>
      <c r="CW59" s="58">
        <v>46.948</v>
      </c>
      <c r="CX59" s="58">
        <v>117.29900000000001</v>
      </c>
      <c r="CY59" s="58">
        <v>136.05500000000001</v>
      </c>
      <c r="CZ59" s="58">
        <v>91.334000000000003</v>
      </c>
      <c r="DA59" s="58">
        <v>44.720999999999997</v>
      </c>
      <c r="DB59" s="58">
        <v>176.934</v>
      </c>
      <c r="DC59" s="58">
        <v>49.646999999999998</v>
      </c>
      <c r="DD59" s="58">
        <v>127.28700000000001</v>
      </c>
      <c r="DE59" s="58">
        <v>180.18799999999999</v>
      </c>
      <c r="DF59" s="58">
        <v>58.015000000000001</v>
      </c>
      <c r="DG59" s="58">
        <v>122.173</v>
      </c>
      <c r="DH59" s="58">
        <v>2382.252</v>
      </c>
      <c r="DI59" s="58">
        <v>1315.9469999999999</v>
      </c>
      <c r="DJ59" s="58">
        <v>1066.3050000000001</v>
      </c>
      <c r="DK59" s="58">
        <v>1500.0740000000001</v>
      </c>
      <c r="DL59" s="58">
        <v>988.58699999999999</v>
      </c>
      <c r="DM59" s="58">
        <v>511.48700000000002</v>
      </c>
      <c r="DN59" s="58">
        <v>882.178</v>
      </c>
      <c r="DO59" s="58">
        <v>327.36</v>
      </c>
      <c r="DP59" s="58">
        <v>554.81799999999998</v>
      </c>
      <c r="DQ59" s="58">
        <v>269.62700000000001</v>
      </c>
      <c r="DR59" s="58">
        <v>156.309</v>
      </c>
      <c r="DS59" s="58">
        <v>113.31699999999999</v>
      </c>
      <c r="DT59" s="58">
        <v>79.284999999999997</v>
      </c>
      <c r="DU59" s="58">
        <v>51.786999999999999</v>
      </c>
      <c r="DV59" s="58">
        <v>27.498000000000001</v>
      </c>
      <c r="DW59" s="58">
        <v>27.55</v>
      </c>
      <c r="DX59" s="58">
        <v>23.108000000000001</v>
      </c>
      <c r="DY59" s="58">
        <v>4.4420000000000002</v>
      </c>
      <c r="DZ59" s="58">
        <v>17.998000000000001</v>
      </c>
      <c r="EA59" s="58">
        <v>14.041</v>
      </c>
      <c r="EB59" s="58">
        <v>3.9580000000000002</v>
      </c>
      <c r="EC59" s="58">
        <v>9.5519999999999996</v>
      </c>
      <c r="ED59" s="58">
        <v>9.0670000000000002</v>
      </c>
      <c r="EE59" s="58">
        <v>0.48499999999999999</v>
      </c>
      <c r="EF59" s="58">
        <v>51.734999999999999</v>
      </c>
      <c r="EG59" s="58">
        <v>28.678999999999998</v>
      </c>
      <c r="EH59" s="58">
        <v>23.056000000000001</v>
      </c>
      <c r="EI59" s="58">
        <v>218.917</v>
      </c>
      <c r="EJ59" s="58">
        <v>122.749</v>
      </c>
      <c r="EK59" s="58">
        <v>96.168000000000006</v>
      </c>
      <c r="EL59" s="58">
        <v>74.058999999999997</v>
      </c>
      <c r="EM59" s="58">
        <v>56.305</v>
      </c>
      <c r="EN59" s="58">
        <v>17.754000000000001</v>
      </c>
      <c r="EO59" s="58">
        <v>144.858</v>
      </c>
      <c r="EP59" s="58">
        <v>66.444000000000003</v>
      </c>
      <c r="EQ59" s="58">
        <v>78.414000000000001</v>
      </c>
      <c r="ER59" s="58">
        <v>94.531000000000006</v>
      </c>
      <c r="ES59" s="58">
        <v>73.417000000000002</v>
      </c>
      <c r="ET59" s="58">
        <v>21.114999999999998</v>
      </c>
      <c r="EU59" s="58">
        <v>175.095</v>
      </c>
      <c r="EV59" s="58">
        <v>82.891999999999996</v>
      </c>
      <c r="EW59" s="58">
        <v>92.203000000000003</v>
      </c>
      <c r="EX59" s="58">
        <v>162.857</v>
      </c>
      <c r="EY59" s="58">
        <v>80.484999999999999</v>
      </c>
      <c r="EZ59" s="58">
        <v>82.372</v>
      </c>
      <c r="FA59" s="58">
        <v>1839.778</v>
      </c>
      <c r="FB59" s="58">
        <v>981.851</v>
      </c>
      <c r="FC59" s="58">
        <v>857.92700000000002</v>
      </c>
      <c r="FD59" s="58">
        <v>1248.538</v>
      </c>
      <c r="FE59" s="58">
        <v>801.37800000000004</v>
      </c>
      <c r="FF59" s="58">
        <v>447.16</v>
      </c>
      <c r="FG59" s="58">
        <v>591.24</v>
      </c>
      <c r="FH59" s="58">
        <v>180.47300000000001</v>
      </c>
      <c r="FI59" s="58">
        <v>410.767</v>
      </c>
      <c r="FJ59" s="58">
        <v>221.79400000000001</v>
      </c>
      <c r="FK59" s="58">
        <v>126.43</v>
      </c>
      <c r="FL59" s="58">
        <v>95.364000000000004</v>
      </c>
      <c r="FM59" s="58">
        <v>58.698999999999998</v>
      </c>
      <c r="FN59" s="58">
        <v>35.393000000000001</v>
      </c>
      <c r="FO59" s="58">
        <v>23.306000000000001</v>
      </c>
      <c r="FP59" s="58">
        <v>22.361999999999998</v>
      </c>
      <c r="FQ59" s="58">
        <v>17.919</v>
      </c>
      <c r="FR59" s="58">
        <v>4.4420000000000002</v>
      </c>
      <c r="FS59" s="58">
        <v>13.757999999999999</v>
      </c>
      <c r="FT59" s="58">
        <v>9.8000000000000007</v>
      </c>
      <c r="FU59" s="58">
        <v>3.9580000000000002</v>
      </c>
      <c r="FV59" s="58">
        <v>8.6039999999999992</v>
      </c>
      <c r="FW59" s="58">
        <v>8.1189999999999998</v>
      </c>
      <c r="FX59" s="58">
        <v>0.48499999999999999</v>
      </c>
      <c r="FY59" s="58">
        <v>36.337000000000003</v>
      </c>
      <c r="FZ59" s="58">
        <v>17.474</v>
      </c>
      <c r="GA59" s="58">
        <v>18.863</v>
      </c>
      <c r="GB59" s="58">
        <v>185.89699999999999</v>
      </c>
      <c r="GC59" s="58">
        <v>104.348</v>
      </c>
      <c r="GD59" s="58">
        <v>81.549000000000007</v>
      </c>
      <c r="GE59" s="58">
        <v>67.599000000000004</v>
      </c>
      <c r="GF59" s="58">
        <v>51.430999999999997</v>
      </c>
      <c r="GG59" s="58">
        <v>16.167999999999999</v>
      </c>
      <c r="GH59" s="58">
        <v>118.297</v>
      </c>
      <c r="GI59" s="58">
        <v>52.915999999999997</v>
      </c>
      <c r="GJ59" s="58">
        <v>65.381</v>
      </c>
      <c r="GK59" s="58">
        <v>84.71</v>
      </c>
      <c r="GL59" s="58">
        <v>65.182000000000002</v>
      </c>
      <c r="GM59" s="58">
        <v>19.529</v>
      </c>
      <c r="GN59" s="58">
        <v>137.084</v>
      </c>
      <c r="GO59" s="58">
        <v>61.247999999999998</v>
      </c>
      <c r="GP59" s="58">
        <v>75.835999999999999</v>
      </c>
      <c r="GQ59" s="58">
        <v>132.05500000000001</v>
      </c>
      <c r="GR59" s="58">
        <v>62.716000000000001</v>
      </c>
      <c r="GS59" s="58">
        <v>69.338999999999999</v>
      </c>
      <c r="GT59" s="58">
        <v>542.47400000000005</v>
      </c>
      <c r="GU59" s="58">
        <v>334.09699999999998</v>
      </c>
      <c r="GV59" s="58">
        <v>208.37700000000001</v>
      </c>
      <c r="GW59" s="58">
        <v>251.536</v>
      </c>
      <c r="GX59" s="58">
        <v>187.209</v>
      </c>
      <c r="GY59" s="58">
        <v>64.325999999999993</v>
      </c>
      <c r="GZ59" s="58">
        <v>290.93799999999999</v>
      </c>
      <c r="HA59" s="58">
        <v>146.88800000000001</v>
      </c>
      <c r="HB59" s="58">
        <v>144.05099999999999</v>
      </c>
      <c r="HC59" s="58">
        <v>47.832999999999998</v>
      </c>
      <c r="HD59" s="58">
        <v>29.88</v>
      </c>
      <c r="HE59" s="58">
        <v>17.952999999999999</v>
      </c>
      <c r="HF59" s="58">
        <v>20.587</v>
      </c>
      <c r="HG59" s="58">
        <v>16.393999999999998</v>
      </c>
      <c r="HH59" s="58">
        <v>4.1929999999999996</v>
      </c>
      <c r="HI59" s="58">
        <v>5.1890000000000001</v>
      </c>
      <c r="HJ59" s="58">
        <v>5.1890000000000001</v>
      </c>
      <c r="HK59" s="58">
        <v>0</v>
      </c>
      <c r="HL59" s="58">
        <v>4.2409999999999997</v>
      </c>
      <c r="HM59" s="58">
        <v>4.2409999999999997</v>
      </c>
      <c r="HN59" s="58">
        <v>0</v>
      </c>
      <c r="HO59" s="58">
        <v>0.94799999999999995</v>
      </c>
      <c r="HP59" s="58">
        <v>0.94799999999999995</v>
      </c>
      <c r="HQ59" s="58">
        <v>0</v>
      </c>
      <c r="HR59" s="58">
        <v>15.398</v>
      </c>
      <c r="HS59" s="58">
        <v>11.205</v>
      </c>
      <c r="HT59" s="58">
        <v>4.1929999999999996</v>
      </c>
      <c r="HU59" s="58">
        <v>33.021000000000001</v>
      </c>
      <c r="HV59" s="58">
        <v>18.402000000000001</v>
      </c>
      <c r="HW59" s="58">
        <v>14.619</v>
      </c>
      <c r="HX59" s="58">
        <v>6.46</v>
      </c>
      <c r="HY59" s="58">
        <v>4.8739999999999997</v>
      </c>
      <c r="HZ59" s="58">
        <v>1.5860000000000001</v>
      </c>
      <c r="IA59" s="58">
        <v>26.561</v>
      </c>
      <c r="IB59" s="58">
        <v>13.528</v>
      </c>
      <c r="IC59" s="58">
        <v>13.032999999999999</v>
      </c>
      <c r="ID59" s="58">
        <v>9.8209999999999997</v>
      </c>
      <c r="IE59" s="58">
        <v>8.2349999999999994</v>
      </c>
      <c r="IF59" s="58">
        <v>1.5860000000000001</v>
      </c>
      <c r="IG59" s="58">
        <v>38.012</v>
      </c>
      <c r="IH59" s="58">
        <v>21.643999999999998</v>
      </c>
      <c r="II59" s="58">
        <v>16.367000000000001</v>
      </c>
      <c r="IJ59" s="58">
        <v>30.800999999999998</v>
      </c>
      <c r="IK59" s="58">
        <v>17.768000000000001</v>
      </c>
      <c r="IL59" s="58">
        <v>13.032999999999999</v>
      </c>
      <c r="IM59" s="58">
        <v>3991.489</v>
      </c>
      <c r="IN59" s="58">
        <v>2121.8649999999998</v>
      </c>
      <c r="IO59" s="58">
        <v>1869.624</v>
      </c>
      <c r="IP59" s="58">
        <v>2796.4549999999999</v>
      </c>
      <c r="IQ59" s="58">
        <v>1738.7809999999999</v>
      </c>
    </row>
    <row r="60" spans="1:251">
      <c r="A60" s="5">
        <v>43313</v>
      </c>
      <c r="B60" s="58">
        <v>11.462999999999999</v>
      </c>
      <c r="C60" s="58">
        <v>13.074999999999999</v>
      </c>
      <c r="D60" s="58">
        <v>381.56900000000002</v>
      </c>
      <c r="E60" s="58">
        <v>218.291</v>
      </c>
      <c r="F60" s="58">
        <v>163.27799999999999</v>
      </c>
      <c r="G60" s="58">
        <v>197.47900000000001</v>
      </c>
      <c r="H60" s="58">
        <v>146.90700000000001</v>
      </c>
      <c r="I60" s="58">
        <v>50.572000000000003</v>
      </c>
      <c r="J60" s="58">
        <v>184.089</v>
      </c>
      <c r="K60" s="58">
        <v>71.382999999999996</v>
      </c>
      <c r="L60" s="58">
        <v>112.706</v>
      </c>
      <c r="M60" s="58">
        <v>217.19900000000001</v>
      </c>
      <c r="N60" s="58">
        <v>163.66800000000001</v>
      </c>
      <c r="O60" s="58">
        <v>53.530999999999999</v>
      </c>
      <c r="P60" s="58">
        <v>191.77600000000001</v>
      </c>
      <c r="Q60" s="58">
        <v>75.546000000000006</v>
      </c>
      <c r="R60" s="58">
        <v>116.23</v>
      </c>
      <c r="S60" s="58">
        <v>198.81700000000001</v>
      </c>
      <c r="T60" s="58">
        <v>84.096000000000004</v>
      </c>
      <c r="U60" s="58">
        <v>114.72</v>
      </c>
      <c r="V60" s="58">
        <v>2721.5790000000002</v>
      </c>
      <c r="W60" s="58">
        <v>1467.604</v>
      </c>
      <c r="X60" s="58">
        <v>1253.9749999999999</v>
      </c>
      <c r="Y60" s="58">
        <v>2027.384</v>
      </c>
      <c r="Z60" s="58">
        <v>1340.1369999999999</v>
      </c>
      <c r="AA60" s="58">
        <v>687.24699999999996</v>
      </c>
      <c r="AB60" s="58">
        <v>694.19600000000003</v>
      </c>
      <c r="AC60" s="58">
        <v>127.468</v>
      </c>
      <c r="AD60" s="58">
        <v>566.72799999999995</v>
      </c>
      <c r="AE60" s="58">
        <v>328.88200000000001</v>
      </c>
      <c r="AF60" s="58">
        <v>166.52600000000001</v>
      </c>
      <c r="AG60" s="58">
        <v>162.35599999999999</v>
      </c>
      <c r="AH60" s="58">
        <v>54.649000000000001</v>
      </c>
      <c r="AI60" s="58">
        <v>30.135999999999999</v>
      </c>
      <c r="AJ60" s="58">
        <v>24.513000000000002</v>
      </c>
      <c r="AK60" s="58">
        <v>26.742000000000001</v>
      </c>
      <c r="AL60" s="58">
        <v>19.783000000000001</v>
      </c>
      <c r="AM60" s="58">
        <v>6.9589999999999996</v>
      </c>
      <c r="AN60" s="58">
        <v>9.2230000000000008</v>
      </c>
      <c r="AO60" s="58">
        <v>5.407</v>
      </c>
      <c r="AP60" s="58">
        <v>3.8159999999999998</v>
      </c>
      <c r="AQ60" s="58">
        <v>17.518999999999998</v>
      </c>
      <c r="AR60" s="58">
        <v>14.375</v>
      </c>
      <c r="AS60" s="58">
        <v>3.1429999999999998</v>
      </c>
      <c r="AT60" s="58">
        <v>27.907</v>
      </c>
      <c r="AU60" s="58">
        <v>10.353</v>
      </c>
      <c r="AV60" s="58">
        <v>17.553999999999998</v>
      </c>
      <c r="AW60" s="58">
        <v>294.517</v>
      </c>
      <c r="AX60" s="58">
        <v>147.316</v>
      </c>
      <c r="AY60" s="58">
        <v>147.20099999999999</v>
      </c>
      <c r="AZ60" s="58">
        <v>130.78399999999999</v>
      </c>
      <c r="BA60" s="58">
        <v>103.93899999999999</v>
      </c>
      <c r="BB60" s="58">
        <v>26.844999999999999</v>
      </c>
      <c r="BC60" s="58">
        <v>163.732</v>
      </c>
      <c r="BD60" s="58">
        <v>43.377000000000002</v>
      </c>
      <c r="BE60" s="58">
        <v>120.35599999999999</v>
      </c>
      <c r="BF60" s="58">
        <v>151.42099999999999</v>
      </c>
      <c r="BG60" s="58">
        <v>119.36</v>
      </c>
      <c r="BH60" s="58">
        <v>32.061</v>
      </c>
      <c r="BI60" s="58">
        <v>177.46100000000001</v>
      </c>
      <c r="BJ60" s="58">
        <v>47.165999999999997</v>
      </c>
      <c r="BK60" s="58">
        <v>130.29499999999999</v>
      </c>
      <c r="BL60" s="58">
        <v>172.95599999999999</v>
      </c>
      <c r="BM60" s="58">
        <v>48.783999999999999</v>
      </c>
      <c r="BN60" s="58">
        <v>124.172</v>
      </c>
      <c r="BO60" s="58">
        <v>2569.011</v>
      </c>
      <c r="BP60" s="58">
        <v>1325.816</v>
      </c>
      <c r="BQ60" s="58">
        <v>1243.1959999999999</v>
      </c>
      <c r="BR60" s="58">
        <v>1929.086</v>
      </c>
      <c r="BS60" s="58">
        <v>1192.1369999999999</v>
      </c>
      <c r="BT60" s="58">
        <v>736.94899999999996</v>
      </c>
      <c r="BU60" s="58">
        <v>639.92499999999995</v>
      </c>
      <c r="BV60" s="58">
        <v>133.679</v>
      </c>
      <c r="BW60" s="58">
        <v>506.24599999999998</v>
      </c>
      <c r="BX60" s="58">
        <v>300.44099999999997</v>
      </c>
      <c r="BY60" s="58">
        <v>137.20400000000001</v>
      </c>
      <c r="BZ60" s="58">
        <v>163.23699999999999</v>
      </c>
      <c r="CA60" s="58">
        <v>60.389000000000003</v>
      </c>
      <c r="CB60" s="58">
        <v>29.113</v>
      </c>
      <c r="CC60" s="58">
        <v>31.276</v>
      </c>
      <c r="CD60" s="58">
        <v>30.661000000000001</v>
      </c>
      <c r="CE60" s="58">
        <v>20.925000000000001</v>
      </c>
      <c r="CF60" s="58">
        <v>9.7370000000000001</v>
      </c>
      <c r="CG60" s="58">
        <v>12.637</v>
      </c>
      <c r="CH60" s="58">
        <v>7.99</v>
      </c>
      <c r="CI60" s="58">
        <v>4.6470000000000002</v>
      </c>
      <c r="CJ60" s="58">
        <v>18.024999999999999</v>
      </c>
      <c r="CK60" s="58">
        <v>12.935</v>
      </c>
      <c r="CL60" s="58">
        <v>5.09</v>
      </c>
      <c r="CM60" s="58">
        <v>29.727</v>
      </c>
      <c r="CN60" s="58">
        <v>8.1880000000000006</v>
      </c>
      <c r="CO60" s="58">
        <v>21.539000000000001</v>
      </c>
      <c r="CP60" s="58">
        <v>266.25099999999998</v>
      </c>
      <c r="CQ60" s="58">
        <v>119.154</v>
      </c>
      <c r="CR60" s="58">
        <v>147.09700000000001</v>
      </c>
      <c r="CS60" s="58">
        <v>105.77500000000001</v>
      </c>
      <c r="CT60" s="58">
        <v>74.328999999999994</v>
      </c>
      <c r="CU60" s="58">
        <v>31.445</v>
      </c>
      <c r="CV60" s="58">
        <v>160.476</v>
      </c>
      <c r="CW60" s="58">
        <v>44.825000000000003</v>
      </c>
      <c r="CX60" s="58">
        <v>115.652</v>
      </c>
      <c r="CY60" s="58">
        <v>131.005</v>
      </c>
      <c r="CZ60" s="58">
        <v>90.686000000000007</v>
      </c>
      <c r="DA60" s="58">
        <v>40.317999999999998</v>
      </c>
      <c r="DB60" s="58">
        <v>169.43600000000001</v>
      </c>
      <c r="DC60" s="58">
        <v>46.517000000000003</v>
      </c>
      <c r="DD60" s="58">
        <v>122.919</v>
      </c>
      <c r="DE60" s="58">
        <v>173.113</v>
      </c>
      <c r="DF60" s="58">
        <v>52.814</v>
      </c>
      <c r="DG60" s="58">
        <v>120.29900000000001</v>
      </c>
      <c r="DH60" s="58">
        <v>2401.1219999999998</v>
      </c>
      <c r="DI60" s="58">
        <v>1326.058</v>
      </c>
      <c r="DJ60" s="58">
        <v>1075.0630000000001</v>
      </c>
      <c r="DK60" s="58">
        <v>1519.8150000000001</v>
      </c>
      <c r="DL60" s="58">
        <v>1001.51</v>
      </c>
      <c r="DM60" s="58">
        <v>518.30499999999995</v>
      </c>
      <c r="DN60" s="58">
        <v>881.30600000000004</v>
      </c>
      <c r="DO60" s="58">
        <v>324.548</v>
      </c>
      <c r="DP60" s="58">
        <v>556.75800000000004</v>
      </c>
      <c r="DQ60" s="58">
        <v>262.49200000000002</v>
      </c>
      <c r="DR60" s="58">
        <v>139.73099999999999</v>
      </c>
      <c r="DS60" s="58">
        <v>122.76</v>
      </c>
      <c r="DT60" s="58">
        <v>89.66</v>
      </c>
      <c r="DU60" s="58">
        <v>54.926000000000002</v>
      </c>
      <c r="DV60" s="58">
        <v>34.734000000000002</v>
      </c>
      <c r="DW60" s="58">
        <v>32.198</v>
      </c>
      <c r="DX60" s="58">
        <v>25.382000000000001</v>
      </c>
      <c r="DY60" s="58">
        <v>6.8170000000000002</v>
      </c>
      <c r="DZ60" s="58">
        <v>18.760000000000002</v>
      </c>
      <c r="EA60" s="58">
        <v>14.242000000000001</v>
      </c>
      <c r="EB60" s="58">
        <v>4.5179999999999998</v>
      </c>
      <c r="EC60" s="58">
        <v>13.438000000000001</v>
      </c>
      <c r="ED60" s="58">
        <v>11.14</v>
      </c>
      <c r="EE60" s="58">
        <v>2.298</v>
      </c>
      <c r="EF60" s="58">
        <v>57.462000000000003</v>
      </c>
      <c r="EG60" s="58">
        <v>29.544</v>
      </c>
      <c r="EH60" s="58">
        <v>27.917999999999999</v>
      </c>
      <c r="EI60" s="58">
        <v>204.87</v>
      </c>
      <c r="EJ60" s="58">
        <v>104.88200000000001</v>
      </c>
      <c r="EK60" s="58">
        <v>99.988</v>
      </c>
      <c r="EL60" s="58">
        <v>66.438000000000002</v>
      </c>
      <c r="EM60" s="58">
        <v>49.918999999999997</v>
      </c>
      <c r="EN60" s="58">
        <v>16.52</v>
      </c>
      <c r="EO60" s="58">
        <v>138.43100000000001</v>
      </c>
      <c r="EP60" s="58">
        <v>54.963000000000001</v>
      </c>
      <c r="EQ60" s="58">
        <v>83.468000000000004</v>
      </c>
      <c r="ER60" s="58">
        <v>91.061999999999998</v>
      </c>
      <c r="ES60" s="58">
        <v>68.206999999999994</v>
      </c>
      <c r="ET60" s="58">
        <v>22.855</v>
      </c>
      <c r="EU60" s="58">
        <v>171.429</v>
      </c>
      <c r="EV60" s="58">
        <v>71.524000000000001</v>
      </c>
      <c r="EW60" s="58">
        <v>99.905000000000001</v>
      </c>
      <c r="EX60" s="58">
        <v>157.19200000000001</v>
      </c>
      <c r="EY60" s="58">
        <v>69.204999999999998</v>
      </c>
      <c r="EZ60" s="58">
        <v>87.986000000000004</v>
      </c>
      <c r="FA60" s="58">
        <v>1856.4829999999999</v>
      </c>
      <c r="FB60" s="58">
        <v>985.51900000000001</v>
      </c>
      <c r="FC60" s="58">
        <v>870.96400000000006</v>
      </c>
      <c r="FD60" s="58">
        <v>1270.011</v>
      </c>
      <c r="FE60" s="58">
        <v>814.51199999999994</v>
      </c>
      <c r="FF60" s="58">
        <v>455.49900000000002</v>
      </c>
      <c r="FG60" s="58">
        <v>586.47199999999998</v>
      </c>
      <c r="FH60" s="58">
        <v>171.00700000000001</v>
      </c>
      <c r="FI60" s="58">
        <v>415.46499999999997</v>
      </c>
      <c r="FJ60" s="58">
        <v>206.75</v>
      </c>
      <c r="FK60" s="58">
        <v>105.38800000000001</v>
      </c>
      <c r="FL60" s="58">
        <v>101.36199999999999</v>
      </c>
      <c r="FM60" s="58">
        <v>64.028999999999996</v>
      </c>
      <c r="FN60" s="58">
        <v>37.686999999999998</v>
      </c>
      <c r="FO60" s="58">
        <v>26.341999999999999</v>
      </c>
      <c r="FP60" s="58">
        <v>26.344000000000001</v>
      </c>
      <c r="FQ60" s="58">
        <v>20.369</v>
      </c>
      <c r="FR60" s="58">
        <v>5.976</v>
      </c>
      <c r="FS60" s="58">
        <v>14.555</v>
      </c>
      <c r="FT60" s="58">
        <v>10.877000000000001</v>
      </c>
      <c r="FU60" s="58">
        <v>3.6779999999999999</v>
      </c>
      <c r="FV60" s="58">
        <v>11.789</v>
      </c>
      <c r="FW60" s="58">
        <v>9.4909999999999997</v>
      </c>
      <c r="FX60" s="58">
        <v>2.298</v>
      </c>
      <c r="FY60" s="58">
        <v>37.685000000000002</v>
      </c>
      <c r="FZ60" s="58">
        <v>17.318999999999999</v>
      </c>
      <c r="GA60" s="58">
        <v>20.366</v>
      </c>
      <c r="GB60" s="58">
        <v>168.16499999999999</v>
      </c>
      <c r="GC60" s="58">
        <v>83.415999999999997</v>
      </c>
      <c r="GD60" s="58">
        <v>84.748000000000005</v>
      </c>
      <c r="GE60" s="58">
        <v>58.55</v>
      </c>
      <c r="GF60" s="58">
        <v>43.210999999999999</v>
      </c>
      <c r="GG60" s="58">
        <v>15.337999999999999</v>
      </c>
      <c r="GH60" s="58">
        <v>109.61499999999999</v>
      </c>
      <c r="GI60" s="58">
        <v>40.204999999999998</v>
      </c>
      <c r="GJ60" s="58">
        <v>69.41</v>
      </c>
      <c r="GK60" s="58">
        <v>78.885000000000005</v>
      </c>
      <c r="GL60" s="58">
        <v>58.052</v>
      </c>
      <c r="GM60" s="58">
        <v>20.832999999999998</v>
      </c>
      <c r="GN60" s="58">
        <v>127.86499999999999</v>
      </c>
      <c r="GO60" s="58">
        <v>47.337000000000003</v>
      </c>
      <c r="GP60" s="58">
        <v>80.528000000000006</v>
      </c>
      <c r="GQ60" s="58">
        <v>124.17</v>
      </c>
      <c r="GR60" s="58">
        <v>51.082000000000001</v>
      </c>
      <c r="GS60" s="58">
        <v>73.087999999999994</v>
      </c>
      <c r="GT60" s="58">
        <v>544.63900000000001</v>
      </c>
      <c r="GU60" s="58">
        <v>340.54</v>
      </c>
      <c r="GV60" s="58">
        <v>204.09899999999999</v>
      </c>
      <c r="GW60" s="58">
        <v>249.804</v>
      </c>
      <c r="GX60" s="58">
        <v>186.99799999999999</v>
      </c>
      <c r="GY60" s="58">
        <v>62.805999999999997</v>
      </c>
      <c r="GZ60" s="58">
        <v>294.834</v>
      </c>
      <c r="HA60" s="58">
        <v>153.541</v>
      </c>
      <c r="HB60" s="58">
        <v>141.29300000000001</v>
      </c>
      <c r="HC60" s="58">
        <v>55.741999999999997</v>
      </c>
      <c r="HD60" s="58">
        <v>34.343000000000004</v>
      </c>
      <c r="HE60" s="58">
        <v>21.399000000000001</v>
      </c>
      <c r="HF60" s="58">
        <v>25.631</v>
      </c>
      <c r="HG60" s="58">
        <v>17.238</v>
      </c>
      <c r="HH60" s="58">
        <v>8.3919999999999995</v>
      </c>
      <c r="HI60" s="58">
        <v>5.8540000000000001</v>
      </c>
      <c r="HJ60" s="58">
        <v>5.0129999999999999</v>
      </c>
      <c r="HK60" s="58">
        <v>0.84099999999999997</v>
      </c>
      <c r="HL60" s="58">
        <v>4.2050000000000001</v>
      </c>
      <c r="HM60" s="58">
        <v>3.3650000000000002</v>
      </c>
      <c r="HN60" s="58">
        <v>0.84099999999999997</v>
      </c>
      <c r="HO60" s="58">
        <v>1.649</v>
      </c>
      <c r="HP60" s="58">
        <v>1.649</v>
      </c>
      <c r="HQ60" s="58">
        <v>0</v>
      </c>
      <c r="HR60" s="58">
        <v>19.777000000000001</v>
      </c>
      <c r="HS60" s="58">
        <v>12.225</v>
      </c>
      <c r="HT60" s="58">
        <v>7.5519999999999996</v>
      </c>
      <c r="HU60" s="58">
        <v>36.704999999999998</v>
      </c>
      <c r="HV60" s="58">
        <v>21.466000000000001</v>
      </c>
      <c r="HW60" s="58">
        <v>15.239000000000001</v>
      </c>
      <c r="HX60" s="58">
        <v>7.8890000000000002</v>
      </c>
      <c r="HY60" s="58">
        <v>6.7069999999999999</v>
      </c>
      <c r="HZ60" s="58">
        <v>1.1819999999999999</v>
      </c>
      <c r="IA60" s="58">
        <v>28.815999999999999</v>
      </c>
      <c r="IB60" s="58">
        <v>14.757999999999999</v>
      </c>
      <c r="IC60" s="58">
        <v>14.058</v>
      </c>
      <c r="ID60" s="58">
        <v>12.177</v>
      </c>
      <c r="IE60" s="58">
        <v>10.154999999999999</v>
      </c>
      <c r="IF60" s="58">
        <v>2.0219999999999998</v>
      </c>
      <c r="IG60" s="58">
        <v>43.564</v>
      </c>
      <c r="IH60" s="58">
        <v>24.187000000000001</v>
      </c>
      <c r="II60" s="58">
        <v>19.376999999999999</v>
      </c>
      <c r="IJ60" s="58">
        <v>33.021000000000001</v>
      </c>
      <c r="IK60" s="58">
        <v>18.123000000000001</v>
      </c>
      <c r="IL60" s="58">
        <v>14.898999999999999</v>
      </c>
      <c r="IM60" s="58">
        <v>4010.8090000000002</v>
      </c>
      <c r="IN60" s="58">
        <v>2127.585</v>
      </c>
      <c r="IO60" s="58">
        <v>1883.2239999999999</v>
      </c>
      <c r="IP60" s="58">
        <v>2778.82</v>
      </c>
      <c r="IQ60" s="58">
        <v>1731.9929999999999</v>
      </c>
    </row>
    <row r="61" spans="1:251">
      <c r="A61" s="5">
        <v>43344</v>
      </c>
      <c r="B61" s="58">
        <v>10.073</v>
      </c>
      <c r="C61" s="58">
        <v>16.157</v>
      </c>
      <c r="D61" s="58">
        <v>373.21100000000001</v>
      </c>
      <c r="E61" s="58">
        <v>206.61600000000001</v>
      </c>
      <c r="F61" s="58">
        <v>166.595</v>
      </c>
      <c r="G61" s="58">
        <v>183.88200000000001</v>
      </c>
      <c r="H61" s="58">
        <v>134.43899999999999</v>
      </c>
      <c r="I61" s="58">
        <v>49.442999999999998</v>
      </c>
      <c r="J61" s="58">
        <v>189.32900000000001</v>
      </c>
      <c r="K61" s="58">
        <v>72.177000000000007</v>
      </c>
      <c r="L61" s="58">
        <v>117.152</v>
      </c>
      <c r="M61" s="58">
        <v>203.75</v>
      </c>
      <c r="N61" s="58">
        <v>149.404</v>
      </c>
      <c r="O61" s="58">
        <v>54.345999999999997</v>
      </c>
      <c r="P61" s="58">
        <v>197.768</v>
      </c>
      <c r="Q61" s="58">
        <v>74.941000000000003</v>
      </c>
      <c r="R61" s="58">
        <v>122.827</v>
      </c>
      <c r="S61" s="58">
        <v>200.75800000000001</v>
      </c>
      <c r="T61" s="58">
        <v>79.691999999999993</v>
      </c>
      <c r="U61" s="58">
        <v>121.066</v>
      </c>
      <c r="V61" s="58">
        <v>2724.9490000000001</v>
      </c>
      <c r="W61" s="58">
        <v>1461.194</v>
      </c>
      <c r="X61" s="58">
        <v>1263.7550000000001</v>
      </c>
      <c r="Y61" s="58">
        <v>2034.335</v>
      </c>
      <c r="Z61" s="58">
        <v>1339.3620000000001</v>
      </c>
      <c r="AA61" s="58">
        <v>694.97299999999996</v>
      </c>
      <c r="AB61" s="58">
        <v>690.61400000000003</v>
      </c>
      <c r="AC61" s="58">
        <v>121.83199999999999</v>
      </c>
      <c r="AD61" s="58">
        <v>568.78099999999995</v>
      </c>
      <c r="AE61" s="58">
        <v>327.21600000000001</v>
      </c>
      <c r="AF61" s="58">
        <v>165.75800000000001</v>
      </c>
      <c r="AG61" s="58">
        <v>161.458</v>
      </c>
      <c r="AH61" s="58">
        <v>48.28</v>
      </c>
      <c r="AI61" s="58">
        <v>29.155000000000001</v>
      </c>
      <c r="AJ61" s="58">
        <v>19.125</v>
      </c>
      <c r="AK61" s="58">
        <v>23.158999999999999</v>
      </c>
      <c r="AL61" s="58">
        <v>20.145</v>
      </c>
      <c r="AM61" s="58">
        <v>3.0139999999999998</v>
      </c>
      <c r="AN61" s="58">
        <v>14.000999999999999</v>
      </c>
      <c r="AO61" s="58">
        <v>12.135</v>
      </c>
      <c r="AP61" s="58">
        <v>1.8660000000000001</v>
      </c>
      <c r="AQ61" s="58">
        <v>9.1579999999999995</v>
      </c>
      <c r="AR61" s="58">
        <v>8.01</v>
      </c>
      <c r="AS61" s="58">
        <v>1.1479999999999999</v>
      </c>
      <c r="AT61" s="58">
        <v>25.120999999999999</v>
      </c>
      <c r="AU61" s="58">
        <v>9.01</v>
      </c>
      <c r="AV61" s="58">
        <v>16.111000000000001</v>
      </c>
      <c r="AW61" s="58">
        <v>298.12400000000002</v>
      </c>
      <c r="AX61" s="58">
        <v>148.465</v>
      </c>
      <c r="AY61" s="58">
        <v>149.65899999999999</v>
      </c>
      <c r="AZ61" s="58">
        <v>131.81100000000001</v>
      </c>
      <c r="BA61" s="58">
        <v>101.13200000000001</v>
      </c>
      <c r="BB61" s="58">
        <v>30.68</v>
      </c>
      <c r="BC61" s="58">
        <v>166.31299999999999</v>
      </c>
      <c r="BD61" s="58">
        <v>47.334000000000003</v>
      </c>
      <c r="BE61" s="58">
        <v>118.979</v>
      </c>
      <c r="BF61" s="58">
        <v>147.977</v>
      </c>
      <c r="BG61" s="58">
        <v>115.178</v>
      </c>
      <c r="BH61" s="58">
        <v>32.798999999999999</v>
      </c>
      <c r="BI61" s="58">
        <v>179.238</v>
      </c>
      <c r="BJ61" s="58">
        <v>50.58</v>
      </c>
      <c r="BK61" s="58">
        <v>128.65799999999999</v>
      </c>
      <c r="BL61" s="58">
        <v>180.31399999999999</v>
      </c>
      <c r="BM61" s="58">
        <v>59.469000000000001</v>
      </c>
      <c r="BN61" s="58">
        <v>120.845</v>
      </c>
      <c r="BO61" s="58">
        <v>2559.433</v>
      </c>
      <c r="BP61" s="58">
        <v>1331.2190000000001</v>
      </c>
      <c r="BQ61" s="58">
        <v>1228.2139999999999</v>
      </c>
      <c r="BR61" s="58">
        <v>1918.5309999999999</v>
      </c>
      <c r="BS61" s="58">
        <v>1195.9469999999999</v>
      </c>
      <c r="BT61" s="58">
        <v>722.58399999999995</v>
      </c>
      <c r="BU61" s="58">
        <v>640.90200000000004</v>
      </c>
      <c r="BV61" s="58">
        <v>135.27199999999999</v>
      </c>
      <c r="BW61" s="58">
        <v>505.63</v>
      </c>
      <c r="BX61" s="58">
        <v>296.50599999999997</v>
      </c>
      <c r="BY61" s="58">
        <v>140.202</v>
      </c>
      <c r="BZ61" s="58">
        <v>156.304</v>
      </c>
      <c r="CA61" s="58">
        <v>55.393999999999998</v>
      </c>
      <c r="CB61" s="58">
        <v>30.222999999999999</v>
      </c>
      <c r="CC61" s="58">
        <v>25.170999999999999</v>
      </c>
      <c r="CD61" s="58">
        <v>30.893999999999998</v>
      </c>
      <c r="CE61" s="58">
        <v>23.521000000000001</v>
      </c>
      <c r="CF61" s="58">
        <v>7.3730000000000002</v>
      </c>
      <c r="CG61" s="58">
        <v>16.952999999999999</v>
      </c>
      <c r="CH61" s="58">
        <v>12.305</v>
      </c>
      <c r="CI61" s="58">
        <v>4.6479999999999997</v>
      </c>
      <c r="CJ61" s="58">
        <v>13.94</v>
      </c>
      <c r="CK61" s="58">
        <v>11.215</v>
      </c>
      <c r="CL61" s="58">
        <v>2.7250000000000001</v>
      </c>
      <c r="CM61" s="58">
        <v>24.5</v>
      </c>
      <c r="CN61" s="58">
        <v>6.702</v>
      </c>
      <c r="CO61" s="58">
        <v>17.797999999999998</v>
      </c>
      <c r="CP61" s="58">
        <v>260.45699999999999</v>
      </c>
      <c r="CQ61" s="58">
        <v>120.03400000000001</v>
      </c>
      <c r="CR61" s="58">
        <v>140.423</v>
      </c>
      <c r="CS61" s="58">
        <v>111.319</v>
      </c>
      <c r="CT61" s="58">
        <v>75.863</v>
      </c>
      <c r="CU61" s="58">
        <v>35.456000000000003</v>
      </c>
      <c r="CV61" s="58">
        <v>149.13800000000001</v>
      </c>
      <c r="CW61" s="58">
        <v>44.170999999999999</v>
      </c>
      <c r="CX61" s="58">
        <v>104.967</v>
      </c>
      <c r="CY61" s="58">
        <v>136.88999999999999</v>
      </c>
      <c r="CZ61" s="58">
        <v>94.39</v>
      </c>
      <c r="DA61" s="58">
        <v>42.5</v>
      </c>
      <c r="DB61" s="58">
        <v>159.61600000000001</v>
      </c>
      <c r="DC61" s="58">
        <v>45.811999999999998</v>
      </c>
      <c r="DD61" s="58">
        <v>113.804</v>
      </c>
      <c r="DE61" s="58">
        <v>166.09100000000001</v>
      </c>
      <c r="DF61" s="58">
        <v>56.475999999999999</v>
      </c>
      <c r="DG61" s="58">
        <v>109.61499999999999</v>
      </c>
      <c r="DH61" s="58">
        <v>2408.5050000000001</v>
      </c>
      <c r="DI61" s="58">
        <v>1323.0260000000001</v>
      </c>
      <c r="DJ61" s="58">
        <v>1085.479</v>
      </c>
      <c r="DK61" s="58">
        <v>1526.777</v>
      </c>
      <c r="DL61" s="58">
        <v>1000.8579999999999</v>
      </c>
      <c r="DM61" s="58">
        <v>525.91899999999998</v>
      </c>
      <c r="DN61" s="58">
        <v>881.72900000000004</v>
      </c>
      <c r="DO61" s="58">
        <v>322.16800000000001</v>
      </c>
      <c r="DP61" s="58">
        <v>559.55999999999995</v>
      </c>
      <c r="DQ61" s="58">
        <v>256.58999999999997</v>
      </c>
      <c r="DR61" s="58">
        <v>144.74199999999999</v>
      </c>
      <c r="DS61" s="58">
        <v>111.848</v>
      </c>
      <c r="DT61" s="58">
        <v>86.037999999999997</v>
      </c>
      <c r="DU61" s="58">
        <v>52.031999999999996</v>
      </c>
      <c r="DV61" s="58">
        <v>34.006</v>
      </c>
      <c r="DW61" s="58">
        <v>32.274999999999999</v>
      </c>
      <c r="DX61" s="58">
        <v>24.794</v>
      </c>
      <c r="DY61" s="58">
        <v>7.4809999999999999</v>
      </c>
      <c r="DZ61" s="58">
        <v>20.634</v>
      </c>
      <c r="EA61" s="58">
        <v>16.305</v>
      </c>
      <c r="EB61" s="58">
        <v>4.3280000000000003</v>
      </c>
      <c r="EC61" s="58">
        <v>11.641999999999999</v>
      </c>
      <c r="ED61" s="58">
        <v>8.4890000000000008</v>
      </c>
      <c r="EE61" s="58">
        <v>3.153</v>
      </c>
      <c r="EF61" s="58">
        <v>53.762999999999998</v>
      </c>
      <c r="EG61" s="58">
        <v>27.238</v>
      </c>
      <c r="EH61" s="58">
        <v>26.524999999999999</v>
      </c>
      <c r="EI61" s="58">
        <v>199.85900000000001</v>
      </c>
      <c r="EJ61" s="58">
        <v>110.024</v>
      </c>
      <c r="EK61" s="58">
        <v>89.834999999999994</v>
      </c>
      <c r="EL61" s="58">
        <v>63.661000000000001</v>
      </c>
      <c r="EM61" s="58">
        <v>50.064999999999998</v>
      </c>
      <c r="EN61" s="58">
        <v>13.597</v>
      </c>
      <c r="EO61" s="58">
        <v>136.19800000000001</v>
      </c>
      <c r="EP61" s="58">
        <v>59.96</v>
      </c>
      <c r="EQ61" s="58">
        <v>76.238</v>
      </c>
      <c r="ER61" s="58">
        <v>88.8</v>
      </c>
      <c r="ES61" s="58">
        <v>68.647000000000006</v>
      </c>
      <c r="ET61" s="58">
        <v>20.152999999999999</v>
      </c>
      <c r="EU61" s="58">
        <v>167.79</v>
      </c>
      <c r="EV61" s="58">
        <v>76.094999999999999</v>
      </c>
      <c r="EW61" s="58">
        <v>91.694999999999993</v>
      </c>
      <c r="EX61" s="58">
        <v>156.83099999999999</v>
      </c>
      <c r="EY61" s="58">
        <v>76.265000000000001</v>
      </c>
      <c r="EZ61" s="58">
        <v>80.566000000000003</v>
      </c>
      <c r="FA61" s="58">
        <v>1861.2829999999999</v>
      </c>
      <c r="FB61" s="58">
        <v>986.68799999999999</v>
      </c>
      <c r="FC61" s="58">
        <v>874.59500000000003</v>
      </c>
      <c r="FD61" s="58">
        <v>1279.971</v>
      </c>
      <c r="FE61" s="58">
        <v>819.51300000000003</v>
      </c>
      <c r="FF61" s="58">
        <v>460.45800000000003</v>
      </c>
      <c r="FG61" s="58">
        <v>581.31200000000001</v>
      </c>
      <c r="FH61" s="58">
        <v>167.17500000000001</v>
      </c>
      <c r="FI61" s="58">
        <v>414.137</v>
      </c>
      <c r="FJ61" s="58">
        <v>210.459</v>
      </c>
      <c r="FK61" s="58">
        <v>113.34099999999999</v>
      </c>
      <c r="FL61" s="58">
        <v>97.119</v>
      </c>
      <c r="FM61" s="58">
        <v>64.525000000000006</v>
      </c>
      <c r="FN61" s="58">
        <v>38.414000000000001</v>
      </c>
      <c r="FO61" s="58">
        <v>26.111000000000001</v>
      </c>
      <c r="FP61" s="58">
        <v>28.268999999999998</v>
      </c>
      <c r="FQ61" s="58">
        <v>21.561</v>
      </c>
      <c r="FR61" s="58">
        <v>6.7080000000000002</v>
      </c>
      <c r="FS61" s="58">
        <v>18.690999999999999</v>
      </c>
      <c r="FT61" s="58">
        <v>14.737</v>
      </c>
      <c r="FU61" s="58">
        <v>3.9540000000000002</v>
      </c>
      <c r="FV61" s="58">
        <v>9.5779999999999994</v>
      </c>
      <c r="FW61" s="58">
        <v>6.8230000000000004</v>
      </c>
      <c r="FX61" s="58">
        <v>2.754</v>
      </c>
      <c r="FY61" s="58">
        <v>36.256</v>
      </c>
      <c r="FZ61" s="58">
        <v>16.853000000000002</v>
      </c>
      <c r="GA61" s="58">
        <v>19.402999999999999</v>
      </c>
      <c r="GB61" s="58">
        <v>169.994</v>
      </c>
      <c r="GC61" s="58">
        <v>89.094999999999999</v>
      </c>
      <c r="GD61" s="58">
        <v>80.897999999999996</v>
      </c>
      <c r="GE61" s="58">
        <v>55.671999999999997</v>
      </c>
      <c r="GF61" s="58">
        <v>43.052999999999997</v>
      </c>
      <c r="GG61" s="58">
        <v>12.618</v>
      </c>
      <c r="GH61" s="58">
        <v>114.322</v>
      </c>
      <c r="GI61" s="58">
        <v>46.042000000000002</v>
      </c>
      <c r="GJ61" s="58">
        <v>68.28</v>
      </c>
      <c r="GK61" s="58">
        <v>78.468000000000004</v>
      </c>
      <c r="GL61" s="58">
        <v>59.667999999999999</v>
      </c>
      <c r="GM61" s="58">
        <v>18.8</v>
      </c>
      <c r="GN61" s="58">
        <v>131.99100000000001</v>
      </c>
      <c r="GO61" s="58">
        <v>53.671999999999997</v>
      </c>
      <c r="GP61" s="58">
        <v>78.319000000000003</v>
      </c>
      <c r="GQ61" s="58">
        <v>133.01300000000001</v>
      </c>
      <c r="GR61" s="58">
        <v>60.779000000000003</v>
      </c>
      <c r="GS61" s="58">
        <v>72.233999999999995</v>
      </c>
      <c r="GT61" s="58">
        <v>547.22199999999998</v>
      </c>
      <c r="GU61" s="58">
        <v>336.33800000000002</v>
      </c>
      <c r="GV61" s="58">
        <v>210.88399999999999</v>
      </c>
      <c r="GW61" s="58">
        <v>246.80600000000001</v>
      </c>
      <c r="GX61" s="58">
        <v>181.345</v>
      </c>
      <c r="GY61" s="58">
        <v>65.460999999999999</v>
      </c>
      <c r="GZ61" s="58">
        <v>300.416</v>
      </c>
      <c r="HA61" s="58">
        <v>154.99299999999999</v>
      </c>
      <c r="HB61" s="58">
        <v>145.423</v>
      </c>
      <c r="HC61" s="58">
        <v>46.13</v>
      </c>
      <c r="HD61" s="58">
        <v>31.401</v>
      </c>
      <c r="HE61" s="58">
        <v>14.728999999999999</v>
      </c>
      <c r="HF61" s="58">
        <v>21.513000000000002</v>
      </c>
      <c r="HG61" s="58">
        <v>13.618</v>
      </c>
      <c r="HH61" s="58">
        <v>7.8949999999999996</v>
      </c>
      <c r="HI61" s="58">
        <v>4.0060000000000002</v>
      </c>
      <c r="HJ61" s="58">
        <v>3.2330000000000001</v>
      </c>
      <c r="HK61" s="58">
        <v>0.77300000000000002</v>
      </c>
      <c r="HL61" s="58">
        <v>1.9419999999999999</v>
      </c>
      <c r="HM61" s="58">
        <v>1.5680000000000001</v>
      </c>
      <c r="HN61" s="58">
        <v>0.375</v>
      </c>
      <c r="HO61" s="58">
        <v>2.0640000000000001</v>
      </c>
      <c r="HP61" s="58">
        <v>1.665</v>
      </c>
      <c r="HQ61" s="58">
        <v>0.39900000000000002</v>
      </c>
      <c r="HR61" s="58">
        <v>17.507000000000001</v>
      </c>
      <c r="HS61" s="58">
        <v>10.385</v>
      </c>
      <c r="HT61" s="58">
        <v>7.1219999999999999</v>
      </c>
      <c r="HU61" s="58">
        <v>29.864999999999998</v>
      </c>
      <c r="HV61" s="58">
        <v>20.928999999999998</v>
      </c>
      <c r="HW61" s="58">
        <v>8.9359999999999999</v>
      </c>
      <c r="HX61" s="58">
        <v>7.9889999999999999</v>
      </c>
      <c r="HY61" s="58">
        <v>7.0110000000000001</v>
      </c>
      <c r="HZ61" s="58">
        <v>0.97799999999999998</v>
      </c>
      <c r="IA61" s="58">
        <v>21.876000000000001</v>
      </c>
      <c r="IB61" s="58">
        <v>13.917999999999999</v>
      </c>
      <c r="IC61" s="58">
        <v>7.9580000000000002</v>
      </c>
      <c r="ID61" s="58">
        <v>10.331</v>
      </c>
      <c r="IE61" s="58">
        <v>8.9779999999999998</v>
      </c>
      <c r="IF61" s="58">
        <v>1.353</v>
      </c>
      <c r="IG61" s="58">
        <v>35.798999999999999</v>
      </c>
      <c r="IH61" s="58">
        <v>22.422999999999998</v>
      </c>
      <c r="II61" s="58">
        <v>13.377000000000001</v>
      </c>
      <c r="IJ61" s="58">
        <v>23.818000000000001</v>
      </c>
      <c r="IK61" s="58">
        <v>15.484999999999999</v>
      </c>
      <c r="IL61" s="58">
        <v>8.3330000000000002</v>
      </c>
      <c r="IM61" s="58">
        <v>4047.23</v>
      </c>
      <c r="IN61" s="58">
        <v>2141.895</v>
      </c>
      <c r="IO61" s="58">
        <v>1905.335</v>
      </c>
      <c r="IP61" s="58">
        <v>2781.8180000000002</v>
      </c>
      <c r="IQ61" s="58">
        <v>1736.5060000000001</v>
      </c>
    </row>
    <row r="62" spans="1:251">
      <c r="A62" s="5">
        <v>43374</v>
      </c>
      <c r="B62" s="58">
        <v>11.842000000000001</v>
      </c>
      <c r="C62" s="58">
        <v>16.702999999999999</v>
      </c>
      <c r="D62" s="58">
        <v>396.00200000000001</v>
      </c>
      <c r="E62" s="58">
        <v>219.392</v>
      </c>
      <c r="F62" s="58">
        <v>176.61</v>
      </c>
      <c r="G62" s="58">
        <v>200.745</v>
      </c>
      <c r="H62" s="58">
        <v>148.614</v>
      </c>
      <c r="I62" s="58">
        <v>52.131</v>
      </c>
      <c r="J62" s="58">
        <v>195.25700000000001</v>
      </c>
      <c r="K62" s="58">
        <v>70.778000000000006</v>
      </c>
      <c r="L62" s="58">
        <v>124.479</v>
      </c>
      <c r="M62" s="58">
        <v>226.12700000000001</v>
      </c>
      <c r="N62" s="58">
        <v>168.05600000000001</v>
      </c>
      <c r="O62" s="58">
        <v>58.070999999999998</v>
      </c>
      <c r="P62" s="58">
        <v>207.19499999999999</v>
      </c>
      <c r="Q62" s="58">
        <v>75.787000000000006</v>
      </c>
      <c r="R62" s="58">
        <v>131.40799999999999</v>
      </c>
      <c r="S62" s="58">
        <v>214.886</v>
      </c>
      <c r="T62" s="58">
        <v>85.116</v>
      </c>
      <c r="U62" s="58">
        <v>129.77000000000001</v>
      </c>
      <c r="V62" s="58">
        <v>2740.55</v>
      </c>
      <c r="W62" s="58">
        <v>1468.14</v>
      </c>
      <c r="X62" s="58">
        <v>1272.4100000000001</v>
      </c>
      <c r="Y62" s="58">
        <v>2047.1780000000001</v>
      </c>
      <c r="Z62" s="58">
        <v>1345.6869999999999</v>
      </c>
      <c r="AA62" s="58">
        <v>701.49</v>
      </c>
      <c r="AB62" s="58">
        <v>693.37300000000005</v>
      </c>
      <c r="AC62" s="58">
        <v>122.453</v>
      </c>
      <c r="AD62" s="58">
        <v>570.91999999999996</v>
      </c>
      <c r="AE62" s="58">
        <v>309.17099999999999</v>
      </c>
      <c r="AF62" s="58">
        <v>156.036</v>
      </c>
      <c r="AG62" s="58">
        <v>153.13399999999999</v>
      </c>
      <c r="AH62" s="58">
        <v>44.466000000000001</v>
      </c>
      <c r="AI62" s="58">
        <v>24.776</v>
      </c>
      <c r="AJ62" s="58">
        <v>19.690000000000001</v>
      </c>
      <c r="AK62" s="58">
        <v>19.788</v>
      </c>
      <c r="AL62" s="58">
        <v>15.442</v>
      </c>
      <c r="AM62" s="58">
        <v>4.3460000000000001</v>
      </c>
      <c r="AN62" s="58">
        <v>11.885</v>
      </c>
      <c r="AO62" s="58">
        <v>7.8650000000000002</v>
      </c>
      <c r="AP62" s="58">
        <v>4.0199999999999996</v>
      </c>
      <c r="AQ62" s="58">
        <v>7.9029999999999996</v>
      </c>
      <c r="AR62" s="58">
        <v>7.577</v>
      </c>
      <c r="AS62" s="58">
        <v>0.32600000000000001</v>
      </c>
      <c r="AT62" s="58">
        <v>24.678000000000001</v>
      </c>
      <c r="AU62" s="58">
        <v>9.3339999999999996</v>
      </c>
      <c r="AV62" s="58">
        <v>15.343999999999999</v>
      </c>
      <c r="AW62" s="58">
        <v>285.74</v>
      </c>
      <c r="AX62" s="58">
        <v>143.49299999999999</v>
      </c>
      <c r="AY62" s="58">
        <v>142.24700000000001</v>
      </c>
      <c r="AZ62" s="58">
        <v>132.197</v>
      </c>
      <c r="BA62" s="58">
        <v>102.61499999999999</v>
      </c>
      <c r="BB62" s="58">
        <v>29.582999999999998</v>
      </c>
      <c r="BC62" s="58">
        <v>153.54300000000001</v>
      </c>
      <c r="BD62" s="58">
        <v>40.878999999999998</v>
      </c>
      <c r="BE62" s="58">
        <v>112.664</v>
      </c>
      <c r="BF62" s="58">
        <v>145.61199999999999</v>
      </c>
      <c r="BG62" s="58">
        <v>112.898</v>
      </c>
      <c r="BH62" s="58">
        <v>32.713999999999999</v>
      </c>
      <c r="BI62" s="58">
        <v>163.55799999999999</v>
      </c>
      <c r="BJ62" s="58">
        <v>43.137999999999998</v>
      </c>
      <c r="BK62" s="58">
        <v>120.42</v>
      </c>
      <c r="BL62" s="58">
        <v>165.428</v>
      </c>
      <c r="BM62" s="58">
        <v>48.744</v>
      </c>
      <c r="BN62" s="58">
        <v>116.684</v>
      </c>
      <c r="BO62" s="58">
        <v>2580.5430000000001</v>
      </c>
      <c r="BP62" s="58">
        <v>1333.701</v>
      </c>
      <c r="BQ62" s="58">
        <v>1246.8420000000001</v>
      </c>
      <c r="BR62" s="58">
        <v>1938.193</v>
      </c>
      <c r="BS62" s="58">
        <v>1202.046</v>
      </c>
      <c r="BT62" s="58">
        <v>736.14700000000005</v>
      </c>
      <c r="BU62" s="58">
        <v>642.35</v>
      </c>
      <c r="BV62" s="58">
        <v>131.655</v>
      </c>
      <c r="BW62" s="58">
        <v>510.69499999999999</v>
      </c>
      <c r="BX62" s="58">
        <v>289.39800000000002</v>
      </c>
      <c r="BY62" s="58">
        <v>133.44200000000001</v>
      </c>
      <c r="BZ62" s="58">
        <v>155.95599999999999</v>
      </c>
      <c r="CA62" s="58">
        <v>52.924999999999997</v>
      </c>
      <c r="CB62" s="58">
        <v>30.821999999999999</v>
      </c>
      <c r="CC62" s="58">
        <v>22.102</v>
      </c>
      <c r="CD62" s="58">
        <v>22.956</v>
      </c>
      <c r="CE62" s="58">
        <v>18.696999999999999</v>
      </c>
      <c r="CF62" s="58">
        <v>4.2590000000000003</v>
      </c>
      <c r="CG62" s="58">
        <v>11.573</v>
      </c>
      <c r="CH62" s="58">
        <v>9.7509999999999994</v>
      </c>
      <c r="CI62" s="58">
        <v>1.8220000000000001</v>
      </c>
      <c r="CJ62" s="58">
        <v>11.382999999999999</v>
      </c>
      <c r="CK62" s="58">
        <v>8.9459999999999997</v>
      </c>
      <c r="CL62" s="58">
        <v>2.4369999999999998</v>
      </c>
      <c r="CM62" s="58">
        <v>29.968</v>
      </c>
      <c r="CN62" s="58">
        <v>12.125</v>
      </c>
      <c r="CO62" s="58">
        <v>17.843</v>
      </c>
      <c r="CP62" s="58">
        <v>259.21100000000001</v>
      </c>
      <c r="CQ62" s="58">
        <v>115.712</v>
      </c>
      <c r="CR62" s="58">
        <v>143.49799999999999</v>
      </c>
      <c r="CS62" s="58">
        <v>104.45699999999999</v>
      </c>
      <c r="CT62" s="58">
        <v>73.272000000000006</v>
      </c>
      <c r="CU62" s="58">
        <v>31.184999999999999</v>
      </c>
      <c r="CV62" s="58">
        <v>154.75399999999999</v>
      </c>
      <c r="CW62" s="58">
        <v>42.441000000000003</v>
      </c>
      <c r="CX62" s="58">
        <v>112.313</v>
      </c>
      <c r="CY62" s="58">
        <v>121.622</v>
      </c>
      <c r="CZ62" s="58">
        <v>86.465000000000003</v>
      </c>
      <c r="DA62" s="58">
        <v>35.156999999999996</v>
      </c>
      <c r="DB62" s="58">
        <v>167.77600000000001</v>
      </c>
      <c r="DC62" s="58">
        <v>46.976999999999997</v>
      </c>
      <c r="DD62" s="58">
        <v>120.79900000000001</v>
      </c>
      <c r="DE62" s="58">
        <v>166.327</v>
      </c>
      <c r="DF62" s="58">
        <v>52.192</v>
      </c>
      <c r="DG62" s="58">
        <v>114.13500000000001</v>
      </c>
      <c r="DH62" s="58">
        <v>2404.92</v>
      </c>
      <c r="DI62" s="58">
        <v>1329.03</v>
      </c>
      <c r="DJ62" s="58">
        <v>1075.8900000000001</v>
      </c>
      <c r="DK62" s="58">
        <v>1526.3019999999999</v>
      </c>
      <c r="DL62" s="58">
        <v>1003.974</v>
      </c>
      <c r="DM62" s="58">
        <v>522.32799999999997</v>
      </c>
      <c r="DN62" s="58">
        <v>878.61800000000005</v>
      </c>
      <c r="DO62" s="58">
        <v>325.05599999999998</v>
      </c>
      <c r="DP62" s="58">
        <v>553.56200000000001</v>
      </c>
      <c r="DQ62" s="58">
        <v>239.078</v>
      </c>
      <c r="DR62" s="58">
        <v>133.518</v>
      </c>
      <c r="DS62" s="58">
        <v>105.56100000000001</v>
      </c>
      <c r="DT62" s="58">
        <v>70.209000000000003</v>
      </c>
      <c r="DU62" s="58">
        <v>42.475999999999999</v>
      </c>
      <c r="DV62" s="58">
        <v>27.733000000000001</v>
      </c>
      <c r="DW62" s="58">
        <v>23.478000000000002</v>
      </c>
      <c r="DX62" s="58">
        <v>18.387</v>
      </c>
      <c r="DY62" s="58">
        <v>5.0910000000000002</v>
      </c>
      <c r="DZ62" s="58">
        <v>14.38</v>
      </c>
      <c r="EA62" s="58">
        <v>11.063000000000001</v>
      </c>
      <c r="EB62" s="58">
        <v>3.3170000000000002</v>
      </c>
      <c r="EC62" s="58">
        <v>9.0980000000000008</v>
      </c>
      <c r="ED62" s="58">
        <v>7.3239999999999998</v>
      </c>
      <c r="EE62" s="58">
        <v>1.774</v>
      </c>
      <c r="EF62" s="58">
        <v>46.731999999999999</v>
      </c>
      <c r="EG62" s="58">
        <v>24.088999999999999</v>
      </c>
      <c r="EH62" s="58">
        <v>22.643000000000001</v>
      </c>
      <c r="EI62" s="58">
        <v>191.51</v>
      </c>
      <c r="EJ62" s="58">
        <v>104.798</v>
      </c>
      <c r="EK62" s="58">
        <v>86.712000000000003</v>
      </c>
      <c r="EL62" s="58">
        <v>68.468000000000004</v>
      </c>
      <c r="EM62" s="58">
        <v>51.591999999999999</v>
      </c>
      <c r="EN62" s="58">
        <v>16.876000000000001</v>
      </c>
      <c r="EO62" s="58">
        <v>123.042</v>
      </c>
      <c r="EP62" s="58">
        <v>53.206000000000003</v>
      </c>
      <c r="EQ62" s="58">
        <v>69.835999999999999</v>
      </c>
      <c r="ER62" s="58">
        <v>87.188999999999993</v>
      </c>
      <c r="ES62" s="58">
        <v>66.343000000000004</v>
      </c>
      <c r="ET62" s="58">
        <v>20.847000000000001</v>
      </c>
      <c r="EU62" s="58">
        <v>151.88900000000001</v>
      </c>
      <c r="EV62" s="58">
        <v>67.174999999999997</v>
      </c>
      <c r="EW62" s="58">
        <v>84.713999999999999</v>
      </c>
      <c r="EX62" s="58">
        <v>137.422</v>
      </c>
      <c r="EY62" s="58">
        <v>64.269000000000005</v>
      </c>
      <c r="EZ62" s="58">
        <v>73.153000000000006</v>
      </c>
      <c r="FA62" s="58">
        <v>1853.106</v>
      </c>
      <c r="FB62" s="58">
        <v>987.00900000000001</v>
      </c>
      <c r="FC62" s="58">
        <v>866.09699999999998</v>
      </c>
      <c r="FD62" s="58">
        <v>1274.3330000000001</v>
      </c>
      <c r="FE62" s="58">
        <v>821.32799999999997</v>
      </c>
      <c r="FF62" s="58">
        <v>453.005</v>
      </c>
      <c r="FG62" s="58">
        <v>578.77300000000002</v>
      </c>
      <c r="FH62" s="58">
        <v>165.68100000000001</v>
      </c>
      <c r="FI62" s="58">
        <v>413.09199999999998</v>
      </c>
      <c r="FJ62" s="58">
        <v>199.36600000000001</v>
      </c>
      <c r="FK62" s="58">
        <v>105.83</v>
      </c>
      <c r="FL62" s="58">
        <v>93.536000000000001</v>
      </c>
      <c r="FM62" s="58">
        <v>51.948</v>
      </c>
      <c r="FN62" s="58">
        <v>30.638999999999999</v>
      </c>
      <c r="FO62" s="58">
        <v>21.309000000000001</v>
      </c>
      <c r="FP62" s="58">
        <v>19.373000000000001</v>
      </c>
      <c r="FQ62" s="58">
        <v>14.282</v>
      </c>
      <c r="FR62" s="58">
        <v>5.0910000000000002</v>
      </c>
      <c r="FS62" s="58">
        <v>12.548999999999999</v>
      </c>
      <c r="FT62" s="58">
        <v>9.2319999999999993</v>
      </c>
      <c r="FU62" s="58">
        <v>3.3170000000000002</v>
      </c>
      <c r="FV62" s="58">
        <v>6.8239999999999998</v>
      </c>
      <c r="FW62" s="58">
        <v>5.05</v>
      </c>
      <c r="FX62" s="58">
        <v>1.774</v>
      </c>
      <c r="FY62" s="58">
        <v>32.575000000000003</v>
      </c>
      <c r="FZ62" s="58">
        <v>16.356999999999999</v>
      </c>
      <c r="GA62" s="58">
        <v>16.218</v>
      </c>
      <c r="GB62" s="58">
        <v>166.47900000000001</v>
      </c>
      <c r="GC62" s="58">
        <v>86.018000000000001</v>
      </c>
      <c r="GD62" s="58">
        <v>80.462000000000003</v>
      </c>
      <c r="GE62" s="58">
        <v>62.616999999999997</v>
      </c>
      <c r="GF62" s="58">
        <v>45.741</v>
      </c>
      <c r="GG62" s="58">
        <v>16.876000000000001</v>
      </c>
      <c r="GH62" s="58">
        <v>103.863</v>
      </c>
      <c r="GI62" s="58">
        <v>40.277000000000001</v>
      </c>
      <c r="GJ62" s="58">
        <v>63.585999999999999</v>
      </c>
      <c r="GK62" s="58">
        <v>78.206000000000003</v>
      </c>
      <c r="GL62" s="58">
        <v>57.359000000000002</v>
      </c>
      <c r="GM62" s="58">
        <v>20.847000000000001</v>
      </c>
      <c r="GN62" s="58">
        <v>121.16</v>
      </c>
      <c r="GO62" s="58">
        <v>48.47</v>
      </c>
      <c r="GP62" s="58">
        <v>72.688999999999993</v>
      </c>
      <c r="GQ62" s="58">
        <v>116.411</v>
      </c>
      <c r="GR62" s="58">
        <v>49.508000000000003</v>
      </c>
      <c r="GS62" s="58">
        <v>66.903000000000006</v>
      </c>
      <c r="GT62" s="58">
        <v>551.81399999999996</v>
      </c>
      <c r="GU62" s="58">
        <v>342.02100000000002</v>
      </c>
      <c r="GV62" s="58">
        <v>209.79300000000001</v>
      </c>
      <c r="GW62" s="58">
        <v>251.96899999999999</v>
      </c>
      <c r="GX62" s="58">
        <v>182.64599999999999</v>
      </c>
      <c r="GY62" s="58">
        <v>69.322999999999993</v>
      </c>
      <c r="GZ62" s="58">
        <v>299.84399999999999</v>
      </c>
      <c r="HA62" s="58">
        <v>159.375</v>
      </c>
      <c r="HB62" s="58">
        <v>140.47</v>
      </c>
      <c r="HC62" s="58">
        <v>39.713000000000001</v>
      </c>
      <c r="HD62" s="58">
        <v>27.687999999999999</v>
      </c>
      <c r="HE62" s="58">
        <v>12.025</v>
      </c>
      <c r="HF62" s="58">
        <v>18.260999999999999</v>
      </c>
      <c r="HG62" s="58">
        <v>11.837</v>
      </c>
      <c r="HH62" s="58">
        <v>6.4249999999999998</v>
      </c>
      <c r="HI62" s="58">
        <v>4.1050000000000004</v>
      </c>
      <c r="HJ62" s="58">
        <v>4.1050000000000004</v>
      </c>
      <c r="HK62" s="58">
        <v>0</v>
      </c>
      <c r="HL62" s="58">
        <v>1.831</v>
      </c>
      <c r="HM62" s="58">
        <v>1.831</v>
      </c>
      <c r="HN62" s="58">
        <v>0</v>
      </c>
      <c r="HO62" s="58">
        <v>2.274</v>
      </c>
      <c r="HP62" s="58">
        <v>2.274</v>
      </c>
      <c r="HQ62" s="58">
        <v>0</v>
      </c>
      <c r="HR62" s="58">
        <v>14.156000000000001</v>
      </c>
      <c r="HS62" s="58">
        <v>7.7320000000000002</v>
      </c>
      <c r="HT62" s="58">
        <v>6.4249999999999998</v>
      </c>
      <c r="HU62" s="58">
        <v>25.03</v>
      </c>
      <c r="HV62" s="58">
        <v>18.780999999999999</v>
      </c>
      <c r="HW62" s="58">
        <v>6.25</v>
      </c>
      <c r="HX62" s="58">
        <v>5.851</v>
      </c>
      <c r="HY62" s="58">
        <v>5.851</v>
      </c>
      <c r="HZ62" s="58">
        <v>0</v>
      </c>
      <c r="IA62" s="58">
        <v>19.178999999999998</v>
      </c>
      <c r="IB62" s="58">
        <v>12.93</v>
      </c>
      <c r="IC62" s="58">
        <v>6.25</v>
      </c>
      <c r="ID62" s="58">
        <v>8.9830000000000005</v>
      </c>
      <c r="IE62" s="58">
        <v>8.9830000000000005</v>
      </c>
      <c r="IF62" s="58">
        <v>0</v>
      </c>
      <c r="IG62" s="58">
        <v>30.728999999999999</v>
      </c>
      <c r="IH62" s="58">
        <v>18.704999999999998</v>
      </c>
      <c r="II62" s="58">
        <v>12.025</v>
      </c>
      <c r="IJ62" s="58">
        <v>21.010999999999999</v>
      </c>
      <c r="IK62" s="58">
        <v>14.760999999999999</v>
      </c>
      <c r="IL62" s="58">
        <v>6.25</v>
      </c>
      <c r="IM62" s="58">
        <v>4056.049</v>
      </c>
      <c r="IN62" s="58">
        <v>2137.1799999999998</v>
      </c>
      <c r="IO62" s="58">
        <v>1918.8689999999999</v>
      </c>
      <c r="IP62" s="58">
        <v>2804.942</v>
      </c>
      <c r="IQ62" s="58">
        <v>1743.3150000000001</v>
      </c>
    </row>
    <row r="63" spans="1:251">
      <c r="A63" s="5">
        <v>43405</v>
      </c>
      <c r="B63" s="58">
        <v>17.373999999999999</v>
      </c>
      <c r="C63" s="58">
        <v>17.422999999999998</v>
      </c>
      <c r="D63" s="58">
        <v>367.90899999999999</v>
      </c>
      <c r="E63" s="58">
        <v>207.94399999999999</v>
      </c>
      <c r="F63" s="58">
        <v>159.965</v>
      </c>
      <c r="G63" s="58">
        <v>162.61000000000001</v>
      </c>
      <c r="H63" s="58">
        <v>119.7</v>
      </c>
      <c r="I63" s="58">
        <v>42.911000000000001</v>
      </c>
      <c r="J63" s="58">
        <v>205.29900000000001</v>
      </c>
      <c r="K63" s="58">
        <v>88.245000000000005</v>
      </c>
      <c r="L63" s="58">
        <v>117.054</v>
      </c>
      <c r="M63" s="58">
        <v>189.94</v>
      </c>
      <c r="N63" s="58">
        <v>141.12700000000001</v>
      </c>
      <c r="O63" s="58">
        <v>48.813000000000002</v>
      </c>
      <c r="P63" s="58">
        <v>220.69</v>
      </c>
      <c r="Q63" s="58">
        <v>96.350999999999999</v>
      </c>
      <c r="R63" s="58">
        <v>124.339</v>
      </c>
      <c r="S63" s="58">
        <v>225.65899999999999</v>
      </c>
      <c r="T63" s="58">
        <v>104.30800000000001</v>
      </c>
      <c r="U63" s="58">
        <v>121.351</v>
      </c>
      <c r="V63" s="58">
        <v>2759.5630000000001</v>
      </c>
      <c r="W63" s="58">
        <v>1472.915</v>
      </c>
      <c r="X63" s="58">
        <v>1286.6479999999999</v>
      </c>
      <c r="Y63" s="58">
        <v>2056.1529999999998</v>
      </c>
      <c r="Z63" s="58">
        <v>1351.385</v>
      </c>
      <c r="AA63" s="58">
        <v>704.76700000000005</v>
      </c>
      <c r="AB63" s="58">
        <v>703.41</v>
      </c>
      <c r="AC63" s="58">
        <v>121.53</v>
      </c>
      <c r="AD63" s="58">
        <v>581.88099999999997</v>
      </c>
      <c r="AE63" s="58">
        <v>327.15800000000002</v>
      </c>
      <c r="AF63" s="58">
        <v>159.32499999999999</v>
      </c>
      <c r="AG63" s="58">
        <v>167.83199999999999</v>
      </c>
      <c r="AH63" s="58">
        <v>54.99</v>
      </c>
      <c r="AI63" s="58">
        <v>31.558</v>
      </c>
      <c r="AJ63" s="58">
        <v>23.431999999999999</v>
      </c>
      <c r="AK63" s="58">
        <v>32.639000000000003</v>
      </c>
      <c r="AL63" s="58">
        <v>24.879000000000001</v>
      </c>
      <c r="AM63" s="58">
        <v>7.76</v>
      </c>
      <c r="AN63" s="58">
        <v>18.858000000000001</v>
      </c>
      <c r="AO63" s="58">
        <v>14.858000000000001</v>
      </c>
      <c r="AP63" s="58">
        <v>4</v>
      </c>
      <c r="AQ63" s="58">
        <v>13.781000000000001</v>
      </c>
      <c r="AR63" s="58">
        <v>10.021000000000001</v>
      </c>
      <c r="AS63" s="58">
        <v>3.76</v>
      </c>
      <c r="AT63" s="58">
        <v>22.350999999999999</v>
      </c>
      <c r="AU63" s="58">
        <v>6.6790000000000003</v>
      </c>
      <c r="AV63" s="58">
        <v>15.672000000000001</v>
      </c>
      <c r="AW63" s="58">
        <v>292.63299999999998</v>
      </c>
      <c r="AX63" s="58">
        <v>138.39699999999999</v>
      </c>
      <c r="AY63" s="58">
        <v>154.23599999999999</v>
      </c>
      <c r="AZ63" s="58">
        <v>131.94900000000001</v>
      </c>
      <c r="BA63" s="58">
        <v>96.808000000000007</v>
      </c>
      <c r="BB63" s="58">
        <v>35.140999999999998</v>
      </c>
      <c r="BC63" s="58">
        <v>160.684</v>
      </c>
      <c r="BD63" s="58">
        <v>41.59</v>
      </c>
      <c r="BE63" s="58">
        <v>119.095</v>
      </c>
      <c r="BF63" s="58">
        <v>153.78800000000001</v>
      </c>
      <c r="BG63" s="58">
        <v>114.58199999999999</v>
      </c>
      <c r="BH63" s="58">
        <v>39.206000000000003</v>
      </c>
      <c r="BI63" s="58">
        <v>173.37</v>
      </c>
      <c r="BJ63" s="58">
        <v>44.743000000000002</v>
      </c>
      <c r="BK63" s="58">
        <v>128.62700000000001</v>
      </c>
      <c r="BL63" s="58">
        <v>179.542</v>
      </c>
      <c r="BM63" s="58">
        <v>56.447000000000003</v>
      </c>
      <c r="BN63" s="58">
        <v>123.095</v>
      </c>
      <c r="BO63" s="58">
        <v>2607.0839999999998</v>
      </c>
      <c r="BP63" s="58">
        <v>1342.3779999999999</v>
      </c>
      <c r="BQ63" s="58">
        <v>1264.7059999999999</v>
      </c>
      <c r="BR63" s="58">
        <v>1973.076</v>
      </c>
      <c r="BS63" s="58">
        <v>1222.492</v>
      </c>
      <c r="BT63" s="58">
        <v>750.58399999999995</v>
      </c>
      <c r="BU63" s="58">
        <v>634.00800000000004</v>
      </c>
      <c r="BV63" s="58">
        <v>119.88500000000001</v>
      </c>
      <c r="BW63" s="58">
        <v>514.12199999999996</v>
      </c>
      <c r="BX63" s="58">
        <v>301.84699999999998</v>
      </c>
      <c r="BY63" s="58">
        <v>138.631</v>
      </c>
      <c r="BZ63" s="58">
        <v>163.21600000000001</v>
      </c>
      <c r="CA63" s="58">
        <v>59.579000000000001</v>
      </c>
      <c r="CB63" s="58">
        <v>31.821000000000002</v>
      </c>
      <c r="CC63" s="58">
        <v>27.757999999999999</v>
      </c>
      <c r="CD63" s="58">
        <v>30.448</v>
      </c>
      <c r="CE63" s="58">
        <v>23.18</v>
      </c>
      <c r="CF63" s="58">
        <v>7.2679999999999998</v>
      </c>
      <c r="CG63" s="58">
        <v>14.648</v>
      </c>
      <c r="CH63" s="58">
        <v>11.672000000000001</v>
      </c>
      <c r="CI63" s="58">
        <v>2.976</v>
      </c>
      <c r="CJ63" s="58">
        <v>15.8</v>
      </c>
      <c r="CK63" s="58">
        <v>11.509</v>
      </c>
      <c r="CL63" s="58">
        <v>4.2919999999999998</v>
      </c>
      <c r="CM63" s="58">
        <v>29.13</v>
      </c>
      <c r="CN63" s="58">
        <v>8.641</v>
      </c>
      <c r="CO63" s="58">
        <v>20.489000000000001</v>
      </c>
      <c r="CP63" s="58">
        <v>268.303</v>
      </c>
      <c r="CQ63" s="58">
        <v>117.703</v>
      </c>
      <c r="CR63" s="58">
        <v>150.6</v>
      </c>
      <c r="CS63" s="58">
        <v>108.81100000000001</v>
      </c>
      <c r="CT63" s="58">
        <v>76.546000000000006</v>
      </c>
      <c r="CU63" s="58">
        <v>32.264000000000003</v>
      </c>
      <c r="CV63" s="58">
        <v>159.49199999999999</v>
      </c>
      <c r="CW63" s="58">
        <v>41.155999999999999</v>
      </c>
      <c r="CX63" s="58">
        <v>118.336</v>
      </c>
      <c r="CY63" s="58">
        <v>131.904</v>
      </c>
      <c r="CZ63" s="58">
        <v>94.114000000000004</v>
      </c>
      <c r="DA63" s="58">
        <v>37.79</v>
      </c>
      <c r="DB63" s="58">
        <v>169.94200000000001</v>
      </c>
      <c r="DC63" s="58">
        <v>44.517000000000003</v>
      </c>
      <c r="DD63" s="58">
        <v>125.426</v>
      </c>
      <c r="DE63" s="58">
        <v>174.14</v>
      </c>
      <c r="DF63" s="58">
        <v>52.828000000000003</v>
      </c>
      <c r="DG63" s="58">
        <v>121.312</v>
      </c>
      <c r="DH63" s="58">
        <v>2438.125</v>
      </c>
      <c r="DI63" s="58">
        <v>1333.05</v>
      </c>
      <c r="DJ63" s="58">
        <v>1105.076</v>
      </c>
      <c r="DK63" s="58">
        <v>1547.7629999999999</v>
      </c>
      <c r="DL63" s="58">
        <v>1007.639</v>
      </c>
      <c r="DM63" s="58">
        <v>540.12400000000002</v>
      </c>
      <c r="DN63" s="58">
        <v>890.36300000000006</v>
      </c>
      <c r="DO63" s="58">
        <v>325.411</v>
      </c>
      <c r="DP63" s="58">
        <v>564.952</v>
      </c>
      <c r="DQ63" s="58">
        <v>271.00099999999998</v>
      </c>
      <c r="DR63" s="58">
        <v>155.904</v>
      </c>
      <c r="DS63" s="58">
        <v>115.09699999999999</v>
      </c>
      <c r="DT63" s="58">
        <v>85.51</v>
      </c>
      <c r="DU63" s="58">
        <v>58.597000000000001</v>
      </c>
      <c r="DV63" s="58">
        <v>26.913</v>
      </c>
      <c r="DW63" s="58">
        <v>28.276</v>
      </c>
      <c r="DX63" s="58">
        <v>22.946999999999999</v>
      </c>
      <c r="DY63" s="58">
        <v>5.3289999999999997</v>
      </c>
      <c r="DZ63" s="58">
        <v>16.131</v>
      </c>
      <c r="EA63" s="58">
        <v>12.157999999999999</v>
      </c>
      <c r="EB63" s="58">
        <v>3.972</v>
      </c>
      <c r="EC63" s="58">
        <v>12.145</v>
      </c>
      <c r="ED63" s="58">
        <v>10.789</v>
      </c>
      <c r="EE63" s="58">
        <v>1.3560000000000001</v>
      </c>
      <c r="EF63" s="58">
        <v>57.234999999999999</v>
      </c>
      <c r="EG63" s="58">
        <v>35.65</v>
      </c>
      <c r="EH63" s="58">
        <v>21.585000000000001</v>
      </c>
      <c r="EI63" s="58">
        <v>212.48500000000001</v>
      </c>
      <c r="EJ63" s="58">
        <v>116.288</v>
      </c>
      <c r="EK63" s="58">
        <v>96.197000000000003</v>
      </c>
      <c r="EL63" s="58">
        <v>74.253</v>
      </c>
      <c r="EM63" s="58">
        <v>53.372999999999998</v>
      </c>
      <c r="EN63" s="58">
        <v>20.88</v>
      </c>
      <c r="EO63" s="58">
        <v>138.232</v>
      </c>
      <c r="EP63" s="58">
        <v>62.914999999999999</v>
      </c>
      <c r="EQ63" s="58">
        <v>75.316999999999993</v>
      </c>
      <c r="ER63" s="58">
        <v>97.971000000000004</v>
      </c>
      <c r="ES63" s="58">
        <v>72.718000000000004</v>
      </c>
      <c r="ET63" s="58">
        <v>25.253</v>
      </c>
      <c r="EU63" s="58">
        <v>173.03</v>
      </c>
      <c r="EV63" s="58">
        <v>83.186000000000007</v>
      </c>
      <c r="EW63" s="58">
        <v>89.843999999999994</v>
      </c>
      <c r="EX63" s="58">
        <v>154.36199999999999</v>
      </c>
      <c r="EY63" s="58">
        <v>75.072999999999993</v>
      </c>
      <c r="EZ63" s="58">
        <v>79.289000000000001</v>
      </c>
      <c r="FA63" s="58">
        <v>1872.2819999999999</v>
      </c>
      <c r="FB63" s="58">
        <v>989.41399999999999</v>
      </c>
      <c r="FC63" s="58">
        <v>882.86800000000005</v>
      </c>
      <c r="FD63" s="58">
        <v>1296.066</v>
      </c>
      <c r="FE63" s="58">
        <v>827.08799999999997</v>
      </c>
      <c r="FF63" s="58">
        <v>468.97800000000001</v>
      </c>
      <c r="FG63" s="58">
        <v>576.21500000000003</v>
      </c>
      <c r="FH63" s="58">
        <v>162.32599999999999</v>
      </c>
      <c r="FI63" s="58">
        <v>413.89</v>
      </c>
      <c r="FJ63" s="58">
        <v>215.184</v>
      </c>
      <c r="FK63" s="58">
        <v>118.396</v>
      </c>
      <c r="FL63" s="58">
        <v>96.787999999999997</v>
      </c>
      <c r="FM63" s="58">
        <v>58.234000000000002</v>
      </c>
      <c r="FN63" s="58">
        <v>39.045999999999999</v>
      </c>
      <c r="FO63" s="58">
        <v>19.187999999999999</v>
      </c>
      <c r="FP63" s="58">
        <v>23.109000000000002</v>
      </c>
      <c r="FQ63" s="58">
        <v>17.780999999999999</v>
      </c>
      <c r="FR63" s="58">
        <v>5.3289999999999997</v>
      </c>
      <c r="FS63" s="58">
        <v>13.209</v>
      </c>
      <c r="FT63" s="58">
        <v>9.2370000000000001</v>
      </c>
      <c r="FU63" s="58">
        <v>3.972</v>
      </c>
      <c r="FV63" s="58">
        <v>9.9</v>
      </c>
      <c r="FW63" s="58">
        <v>8.5440000000000005</v>
      </c>
      <c r="FX63" s="58">
        <v>1.3560000000000001</v>
      </c>
      <c r="FY63" s="58">
        <v>35.124000000000002</v>
      </c>
      <c r="FZ63" s="58">
        <v>21.265000000000001</v>
      </c>
      <c r="GA63" s="58">
        <v>13.859</v>
      </c>
      <c r="GB63" s="58">
        <v>177.19900000000001</v>
      </c>
      <c r="GC63" s="58">
        <v>92.912000000000006</v>
      </c>
      <c r="GD63" s="58">
        <v>84.287000000000006</v>
      </c>
      <c r="GE63" s="58">
        <v>66.816999999999993</v>
      </c>
      <c r="GF63" s="58">
        <v>48.029000000000003</v>
      </c>
      <c r="GG63" s="58">
        <v>18.788</v>
      </c>
      <c r="GH63" s="58">
        <v>110.38200000000001</v>
      </c>
      <c r="GI63" s="58">
        <v>44.884</v>
      </c>
      <c r="GJ63" s="58">
        <v>65.498999999999995</v>
      </c>
      <c r="GK63" s="58">
        <v>86.14</v>
      </c>
      <c r="GL63" s="58">
        <v>62.978999999999999</v>
      </c>
      <c r="GM63" s="58">
        <v>23.161000000000001</v>
      </c>
      <c r="GN63" s="58">
        <v>129.04400000000001</v>
      </c>
      <c r="GO63" s="58">
        <v>55.417000000000002</v>
      </c>
      <c r="GP63" s="58">
        <v>73.626999999999995</v>
      </c>
      <c r="GQ63" s="58">
        <v>123.592</v>
      </c>
      <c r="GR63" s="58">
        <v>54.121000000000002</v>
      </c>
      <c r="GS63" s="58">
        <v>69.471000000000004</v>
      </c>
      <c r="GT63" s="58">
        <v>565.84400000000005</v>
      </c>
      <c r="GU63" s="58">
        <v>343.63600000000002</v>
      </c>
      <c r="GV63" s="58">
        <v>222.208</v>
      </c>
      <c r="GW63" s="58">
        <v>251.696</v>
      </c>
      <c r="GX63" s="58">
        <v>180.55</v>
      </c>
      <c r="GY63" s="58">
        <v>71.146000000000001</v>
      </c>
      <c r="GZ63" s="58">
        <v>314.14800000000002</v>
      </c>
      <c r="HA63" s="58">
        <v>163.08500000000001</v>
      </c>
      <c r="HB63" s="58">
        <v>151.06299999999999</v>
      </c>
      <c r="HC63" s="58">
        <v>55.817</v>
      </c>
      <c r="HD63" s="58">
        <v>37.508000000000003</v>
      </c>
      <c r="HE63" s="58">
        <v>18.309000000000001</v>
      </c>
      <c r="HF63" s="58">
        <v>27.277000000000001</v>
      </c>
      <c r="HG63" s="58">
        <v>19.552</v>
      </c>
      <c r="HH63" s="58">
        <v>7.7249999999999996</v>
      </c>
      <c r="HI63" s="58">
        <v>5.1660000000000004</v>
      </c>
      <c r="HJ63" s="58">
        <v>5.1660000000000004</v>
      </c>
      <c r="HK63" s="58">
        <v>0</v>
      </c>
      <c r="HL63" s="58">
        <v>2.9209999999999998</v>
      </c>
      <c r="HM63" s="58">
        <v>2.9209999999999998</v>
      </c>
      <c r="HN63" s="58">
        <v>0</v>
      </c>
      <c r="HO63" s="58">
        <v>2.2450000000000001</v>
      </c>
      <c r="HP63" s="58">
        <v>2.2450000000000001</v>
      </c>
      <c r="HQ63" s="58">
        <v>0</v>
      </c>
      <c r="HR63" s="58">
        <v>22.111000000000001</v>
      </c>
      <c r="HS63" s="58">
        <v>14.385</v>
      </c>
      <c r="HT63" s="58">
        <v>7.7249999999999996</v>
      </c>
      <c r="HU63" s="58">
        <v>35.286000000000001</v>
      </c>
      <c r="HV63" s="58">
        <v>23.376000000000001</v>
      </c>
      <c r="HW63" s="58">
        <v>11.91</v>
      </c>
      <c r="HX63" s="58">
        <v>7.4359999999999999</v>
      </c>
      <c r="HY63" s="58">
        <v>5.3440000000000003</v>
      </c>
      <c r="HZ63" s="58">
        <v>2.0920000000000001</v>
      </c>
      <c r="IA63" s="58">
        <v>27.849</v>
      </c>
      <c r="IB63" s="58">
        <v>18.030999999999999</v>
      </c>
      <c r="IC63" s="58">
        <v>9.8179999999999996</v>
      </c>
      <c r="ID63" s="58">
        <v>11.831</v>
      </c>
      <c r="IE63" s="58">
        <v>9.7390000000000008</v>
      </c>
      <c r="IF63" s="58">
        <v>2.0920000000000001</v>
      </c>
      <c r="IG63" s="58">
        <v>43.985999999999997</v>
      </c>
      <c r="IH63" s="58">
        <v>27.768999999999998</v>
      </c>
      <c r="II63" s="58">
        <v>16.216999999999999</v>
      </c>
      <c r="IJ63" s="58">
        <v>30.77</v>
      </c>
      <c r="IK63" s="58">
        <v>20.952999999999999</v>
      </c>
      <c r="IL63" s="58">
        <v>9.8179999999999996</v>
      </c>
      <c r="IM63" s="58">
        <v>4060.0569999999998</v>
      </c>
      <c r="IN63" s="58">
        <v>2149.8539999999998</v>
      </c>
      <c r="IO63" s="58">
        <v>1910.203</v>
      </c>
      <c r="IP63" s="58">
        <v>2832.16</v>
      </c>
      <c r="IQ63" s="58">
        <v>1757.7809999999999</v>
      </c>
    </row>
    <row r="64" spans="1:251">
      <c r="A64" s="5">
        <v>43435</v>
      </c>
      <c r="B64" s="58">
        <v>13.757999999999999</v>
      </c>
      <c r="C64" s="58">
        <v>18.878</v>
      </c>
      <c r="D64" s="58">
        <v>409.988</v>
      </c>
      <c r="E64" s="58">
        <v>229.06</v>
      </c>
      <c r="F64" s="58">
        <v>180.928</v>
      </c>
      <c r="G64" s="58">
        <v>188.947</v>
      </c>
      <c r="H64" s="58">
        <v>139.44399999999999</v>
      </c>
      <c r="I64" s="58">
        <v>49.503</v>
      </c>
      <c r="J64" s="58">
        <v>221.041</v>
      </c>
      <c r="K64" s="58">
        <v>89.616</v>
      </c>
      <c r="L64" s="58">
        <v>131.42500000000001</v>
      </c>
      <c r="M64" s="58">
        <v>215.67699999999999</v>
      </c>
      <c r="N64" s="58">
        <v>160.499</v>
      </c>
      <c r="O64" s="58">
        <v>55.177999999999997</v>
      </c>
      <c r="P64" s="58">
        <v>232.25700000000001</v>
      </c>
      <c r="Q64" s="58">
        <v>93.433000000000007</v>
      </c>
      <c r="R64" s="58">
        <v>138.82400000000001</v>
      </c>
      <c r="S64" s="58">
        <v>233.887</v>
      </c>
      <c r="T64" s="58">
        <v>99.587999999999994</v>
      </c>
      <c r="U64" s="58">
        <v>134.29900000000001</v>
      </c>
      <c r="V64" s="58">
        <v>2769.7159999999999</v>
      </c>
      <c r="W64" s="58">
        <v>1482.625</v>
      </c>
      <c r="X64" s="58">
        <v>1287.0909999999999</v>
      </c>
      <c r="Y64" s="58">
        <v>2068.2719999999999</v>
      </c>
      <c r="Z64" s="58">
        <v>1354.1389999999999</v>
      </c>
      <c r="AA64" s="58">
        <v>714.13300000000004</v>
      </c>
      <c r="AB64" s="58">
        <v>701.44399999999996</v>
      </c>
      <c r="AC64" s="58">
        <v>128.48599999999999</v>
      </c>
      <c r="AD64" s="58">
        <v>572.95799999999997</v>
      </c>
      <c r="AE64" s="58">
        <v>315.86399999999998</v>
      </c>
      <c r="AF64" s="58">
        <v>156.876</v>
      </c>
      <c r="AG64" s="58">
        <v>158.98699999999999</v>
      </c>
      <c r="AH64" s="58">
        <v>60.960999999999999</v>
      </c>
      <c r="AI64" s="58">
        <v>31.288</v>
      </c>
      <c r="AJ64" s="58">
        <v>29.672999999999998</v>
      </c>
      <c r="AK64" s="58">
        <v>30.559000000000001</v>
      </c>
      <c r="AL64" s="58">
        <v>22.122</v>
      </c>
      <c r="AM64" s="58">
        <v>8.4359999999999999</v>
      </c>
      <c r="AN64" s="58">
        <v>16.952000000000002</v>
      </c>
      <c r="AO64" s="58">
        <v>11.707000000000001</v>
      </c>
      <c r="AP64" s="58">
        <v>5.2439999999999998</v>
      </c>
      <c r="AQ64" s="58">
        <v>13.606999999999999</v>
      </c>
      <c r="AR64" s="58">
        <v>10.414999999999999</v>
      </c>
      <c r="AS64" s="58">
        <v>3.1920000000000002</v>
      </c>
      <c r="AT64" s="58">
        <v>30.402000000000001</v>
      </c>
      <c r="AU64" s="58">
        <v>9.1649999999999991</v>
      </c>
      <c r="AV64" s="58">
        <v>21.236999999999998</v>
      </c>
      <c r="AW64" s="58">
        <v>281.298</v>
      </c>
      <c r="AX64" s="58">
        <v>137.55799999999999</v>
      </c>
      <c r="AY64" s="58">
        <v>143.74</v>
      </c>
      <c r="AZ64" s="58">
        <v>121.476</v>
      </c>
      <c r="BA64" s="58">
        <v>93.757000000000005</v>
      </c>
      <c r="BB64" s="58">
        <v>27.719000000000001</v>
      </c>
      <c r="BC64" s="58">
        <v>159.822</v>
      </c>
      <c r="BD64" s="58">
        <v>43.801000000000002</v>
      </c>
      <c r="BE64" s="58">
        <v>116.021</v>
      </c>
      <c r="BF64" s="58">
        <v>143.81299999999999</v>
      </c>
      <c r="BG64" s="58">
        <v>109.352</v>
      </c>
      <c r="BH64" s="58">
        <v>34.460999999999999</v>
      </c>
      <c r="BI64" s="58">
        <v>172.05099999999999</v>
      </c>
      <c r="BJ64" s="58">
        <v>47.524000000000001</v>
      </c>
      <c r="BK64" s="58">
        <v>124.527</v>
      </c>
      <c r="BL64" s="58">
        <v>176.774</v>
      </c>
      <c r="BM64" s="58">
        <v>55.508000000000003</v>
      </c>
      <c r="BN64" s="58">
        <v>121.265</v>
      </c>
      <c r="BO64" s="58">
        <v>2593.1439999999998</v>
      </c>
      <c r="BP64" s="58">
        <v>1336.886</v>
      </c>
      <c r="BQ64" s="58">
        <v>1256.259</v>
      </c>
      <c r="BR64" s="58">
        <v>1960.914</v>
      </c>
      <c r="BS64" s="58">
        <v>1206.579</v>
      </c>
      <c r="BT64" s="58">
        <v>754.33500000000004</v>
      </c>
      <c r="BU64" s="58">
        <v>632.23</v>
      </c>
      <c r="BV64" s="58">
        <v>130.30600000000001</v>
      </c>
      <c r="BW64" s="58">
        <v>501.92399999999998</v>
      </c>
      <c r="BX64" s="58">
        <v>284.61700000000002</v>
      </c>
      <c r="BY64" s="58">
        <v>134.20599999999999</v>
      </c>
      <c r="BZ64" s="58">
        <v>150.411</v>
      </c>
      <c r="CA64" s="58">
        <v>52.378</v>
      </c>
      <c r="CB64" s="58">
        <v>29.535</v>
      </c>
      <c r="CC64" s="58">
        <v>22.844000000000001</v>
      </c>
      <c r="CD64" s="58">
        <v>28.016999999999999</v>
      </c>
      <c r="CE64" s="58">
        <v>21.344999999999999</v>
      </c>
      <c r="CF64" s="58">
        <v>6.6719999999999997</v>
      </c>
      <c r="CG64" s="58">
        <v>14.25</v>
      </c>
      <c r="CH64" s="58">
        <v>9.8019999999999996</v>
      </c>
      <c r="CI64" s="58">
        <v>4.4470000000000001</v>
      </c>
      <c r="CJ64" s="58">
        <v>13.768000000000001</v>
      </c>
      <c r="CK64" s="58">
        <v>11.542999999999999</v>
      </c>
      <c r="CL64" s="58">
        <v>2.2250000000000001</v>
      </c>
      <c r="CM64" s="58">
        <v>24.361000000000001</v>
      </c>
      <c r="CN64" s="58">
        <v>8.1890000000000001</v>
      </c>
      <c r="CO64" s="58">
        <v>16.172000000000001</v>
      </c>
      <c r="CP64" s="58">
        <v>253.613</v>
      </c>
      <c r="CQ64" s="58">
        <v>115.896</v>
      </c>
      <c r="CR64" s="58">
        <v>137.71799999999999</v>
      </c>
      <c r="CS64" s="58">
        <v>105.547</v>
      </c>
      <c r="CT64" s="58">
        <v>71.006</v>
      </c>
      <c r="CU64" s="58">
        <v>34.54</v>
      </c>
      <c r="CV64" s="58">
        <v>148.06700000000001</v>
      </c>
      <c r="CW64" s="58">
        <v>44.889000000000003</v>
      </c>
      <c r="CX64" s="58">
        <v>103.17700000000001</v>
      </c>
      <c r="CY64" s="58">
        <v>126.36199999999999</v>
      </c>
      <c r="CZ64" s="58">
        <v>86.632999999999996</v>
      </c>
      <c r="DA64" s="58">
        <v>39.728999999999999</v>
      </c>
      <c r="DB64" s="58">
        <v>158.255</v>
      </c>
      <c r="DC64" s="58">
        <v>47.573</v>
      </c>
      <c r="DD64" s="58">
        <v>110.682</v>
      </c>
      <c r="DE64" s="58">
        <v>162.316</v>
      </c>
      <c r="DF64" s="58">
        <v>54.692</v>
      </c>
      <c r="DG64" s="58">
        <v>107.624</v>
      </c>
      <c r="DH64" s="58">
        <v>2441.6999999999998</v>
      </c>
      <c r="DI64" s="58">
        <v>1335.8340000000001</v>
      </c>
      <c r="DJ64" s="58">
        <v>1105.866</v>
      </c>
      <c r="DK64" s="58">
        <v>1555.0640000000001</v>
      </c>
      <c r="DL64" s="58">
        <v>1010.211</v>
      </c>
      <c r="DM64" s="58">
        <v>544.85299999999995</v>
      </c>
      <c r="DN64" s="58">
        <v>886.63599999999997</v>
      </c>
      <c r="DO64" s="58">
        <v>325.62299999999999</v>
      </c>
      <c r="DP64" s="58">
        <v>561.01300000000003</v>
      </c>
      <c r="DQ64" s="58">
        <v>252.553</v>
      </c>
      <c r="DR64" s="58">
        <v>136.892</v>
      </c>
      <c r="DS64" s="58">
        <v>115.661</v>
      </c>
      <c r="DT64" s="58">
        <v>78.739999999999995</v>
      </c>
      <c r="DU64" s="58">
        <v>43.613</v>
      </c>
      <c r="DV64" s="58">
        <v>35.127000000000002</v>
      </c>
      <c r="DW64" s="58">
        <v>25.747</v>
      </c>
      <c r="DX64" s="58">
        <v>19.088999999999999</v>
      </c>
      <c r="DY64" s="58">
        <v>6.6580000000000004</v>
      </c>
      <c r="DZ64" s="58">
        <v>13.717000000000001</v>
      </c>
      <c r="EA64" s="58">
        <v>10.622</v>
      </c>
      <c r="EB64" s="58">
        <v>3.0960000000000001</v>
      </c>
      <c r="EC64" s="58">
        <v>12.03</v>
      </c>
      <c r="ED64" s="58">
        <v>8.4670000000000005</v>
      </c>
      <c r="EE64" s="58">
        <v>3.5619999999999998</v>
      </c>
      <c r="EF64" s="58">
        <v>52.994</v>
      </c>
      <c r="EG64" s="58">
        <v>24.524000000000001</v>
      </c>
      <c r="EH64" s="58">
        <v>28.469000000000001</v>
      </c>
      <c r="EI64" s="58">
        <v>199.73699999999999</v>
      </c>
      <c r="EJ64" s="58">
        <v>106.97499999999999</v>
      </c>
      <c r="EK64" s="58">
        <v>92.762</v>
      </c>
      <c r="EL64" s="58">
        <v>67.391999999999996</v>
      </c>
      <c r="EM64" s="58">
        <v>47.851999999999997</v>
      </c>
      <c r="EN64" s="58">
        <v>19.54</v>
      </c>
      <c r="EO64" s="58">
        <v>132.34399999999999</v>
      </c>
      <c r="EP64" s="58">
        <v>59.122999999999998</v>
      </c>
      <c r="EQ64" s="58">
        <v>73.221999999999994</v>
      </c>
      <c r="ER64" s="58">
        <v>88.091999999999999</v>
      </c>
      <c r="ES64" s="58">
        <v>63.462000000000003</v>
      </c>
      <c r="ET64" s="58">
        <v>24.63</v>
      </c>
      <c r="EU64" s="58">
        <v>164.46100000000001</v>
      </c>
      <c r="EV64" s="58">
        <v>73.430000000000007</v>
      </c>
      <c r="EW64" s="58">
        <v>91.031000000000006</v>
      </c>
      <c r="EX64" s="58">
        <v>146.06200000000001</v>
      </c>
      <c r="EY64" s="58">
        <v>69.745000000000005</v>
      </c>
      <c r="EZ64" s="58">
        <v>76.316999999999993</v>
      </c>
      <c r="FA64" s="58">
        <v>1884.692</v>
      </c>
      <c r="FB64" s="58">
        <v>994.13599999999997</v>
      </c>
      <c r="FC64" s="58">
        <v>890.55600000000004</v>
      </c>
      <c r="FD64" s="58">
        <v>1291.58</v>
      </c>
      <c r="FE64" s="58">
        <v>823.87</v>
      </c>
      <c r="FF64" s="58">
        <v>467.71</v>
      </c>
      <c r="FG64" s="58">
        <v>593.11199999999997</v>
      </c>
      <c r="FH64" s="58">
        <v>170.26599999999999</v>
      </c>
      <c r="FI64" s="58">
        <v>422.846</v>
      </c>
      <c r="FJ64" s="58">
        <v>205.76599999999999</v>
      </c>
      <c r="FK64" s="58">
        <v>107.10599999999999</v>
      </c>
      <c r="FL64" s="58">
        <v>98.66</v>
      </c>
      <c r="FM64" s="58">
        <v>56.558</v>
      </c>
      <c r="FN64" s="58">
        <v>30.265000000000001</v>
      </c>
      <c r="FO64" s="58">
        <v>26.292999999999999</v>
      </c>
      <c r="FP64" s="58">
        <v>22.605</v>
      </c>
      <c r="FQ64" s="58">
        <v>16.931000000000001</v>
      </c>
      <c r="FR64" s="58">
        <v>5.6740000000000004</v>
      </c>
      <c r="FS64" s="58">
        <v>11.866</v>
      </c>
      <c r="FT64" s="58">
        <v>9.3360000000000003</v>
      </c>
      <c r="FU64" s="58">
        <v>2.5299999999999998</v>
      </c>
      <c r="FV64" s="58">
        <v>10.739000000000001</v>
      </c>
      <c r="FW64" s="58">
        <v>7.5949999999999998</v>
      </c>
      <c r="FX64" s="58">
        <v>3.1440000000000001</v>
      </c>
      <c r="FY64" s="58">
        <v>33.953000000000003</v>
      </c>
      <c r="FZ64" s="58">
        <v>13.334</v>
      </c>
      <c r="GA64" s="58">
        <v>20.619</v>
      </c>
      <c r="GB64" s="58">
        <v>169.328</v>
      </c>
      <c r="GC64" s="58">
        <v>86.540999999999997</v>
      </c>
      <c r="GD64" s="58">
        <v>82.786000000000001</v>
      </c>
      <c r="GE64" s="58">
        <v>58.81</v>
      </c>
      <c r="GF64" s="58">
        <v>40.853999999999999</v>
      </c>
      <c r="GG64" s="58">
        <v>17.954999999999998</v>
      </c>
      <c r="GH64" s="58">
        <v>110.518</v>
      </c>
      <c r="GI64" s="58">
        <v>45.686999999999998</v>
      </c>
      <c r="GJ64" s="58">
        <v>64.831000000000003</v>
      </c>
      <c r="GK64" s="58">
        <v>77.599000000000004</v>
      </c>
      <c r="GL64" s="58">
        <v>54.972000000000001</v>
      </c>
      <c r="GM64" s="58">
        <v>22.626999999999999</v>
      </c>
      <c r="GN64" s="58">
        <v>128.167</v>
      </c>
      <c r="GO64" s="58">
        <v>52.134</v>
      </c>
      <c r="GP64" s="58">
        <v>76.033000000000001</v>
      </c>
      <c r="GQ64" s="58">
        <v>122.384</v>
      </c>
      <c r="GR64" s="58">
        <v>55.023000000000003</v>
      </c>
      <c r="GS64" s="58">
        <v>67.361000000000004</v>
      </c>
      <c r="GT64" s="58">
        <v>557.00800000000004</v>
      </c>
      <c r="GU64" s="58">
        <v>341.69799999999998</v>
      </c>
      <c r="GV64" s="58">
        <v>215.31</v>
      </c>
      <c r="GW64" s="58">
        <v>263.48399999999998</v>
      </c>
      <c r="GX64" s="58">
        <v>186.34100000000001</v>
      </c>
      <c r="GY64" s="58">
        <v>77.143000000000001</v>
      </c>
      <c r="GZ64" s="58">
        <v>293.524</v>
      </c>
      <c r="HA64" s="58">
        <v>155.357</v>
      </c>
      <c r="HB64" s="58">
        <v>138.167</v>
      </c>
      <c r="HC64" s="58">
        <v>46.786999999999999</v>
      </c>
      <c r="HD64" s="58">
        <v>29.786999999999999</v>
      </c>
      <c r="HE64" s="58">
        <v>17</v>
      </c>
      <c r="HF64" s="58">
        <v>22.181999999999999</v>
      </c>
      <c r="HG64" s="58">
        <v>13.348000000000001</v>
      </c>
      <c r="HH64" s="58">
        <v>8.8339999999999996</v>
      </c>
      <c r="HI64" s="58">
        <v>3.1419999999999999</v>
      </c>
      <c r="HJ64" s="58">
        <v>2.1579999999999999</v>
      </c>
      <c r="HK64" s="58">
        <v>0.98399999999999999</v>
      </c>
      <c r="HL64" s="58">
        <v>1.851</v>
      </c>
      <c r="HM64" s="58">
        <v>1.286</v>
      </c>
      <c r="HN64" s="58">
        <v>0.56599999999999995</v>
      </c>
      <c r="HO64" s="58">
        <v>1.2909999999999999</v>
      </c>
      <c r="HP64" s="58">
        <v>0.873</v>
      </c>
      <c r="HQ64" s="58">
        <v>0.41799999999999998</v>
      </c>
      <c r="HR64" s="58">
        <v>19.04</v>
      </c>
      <c r="HS64" s="58">
        <v>11.19</v>
      </c>
      <c r="HT64" s="58">
        <v>7.851</v>
      </c>
      <c r="HU64" s="58">
        <v>30.408999999999999</v>
      </c>
      <c r="HV64" s="58">
        <v>20.434000000000001</v>
      </c>
      <c r="HW64" s="58">
        <v>9.9749999999999996</v>
      </c>
      <c r="HX64" s="58">
        <v>8.5830000000000002</v>
      </c>
      <c r="HY64" s="58">
        <v>6.9980000000000002</v>
      </c>
      <c r="HZ64" s="58">
        <v>1.585</v>
      </c>
      <c r="IA64" s="58">
        <v>21.826000000000001</v>
      </c>
      <c r="IB64" s="58">
        <v>13.436</v>
      </c>
      <c r="IC64" s="58">
        <v>8.391</v>
      </c>
      <c r="ID64" s="58">
        <v>10.493</v>
      </c>
      <c r="IE64" s="58">
        <v>8.49</v>
      </c>
      <c r="IF64" s="58">
        <v>2.0030000000000001</v>
      </c>
      <c r="IG64" s="58">
        <v>36.293999999999997</v>
      </c>
      <c r="IH64" s="58">
        <v>21.295999999999999</v>
      </c>
      <c r="II64" s="58">
        <v>14.997999999999999</v>
      </c>
      <c r="IJ64" s="58">
        <v>23.678000000000001</v>
      </c>
      <c r="IK64" s="58">
        <v>14.722</v>
      </c>
      <c r="IL64" s="58">
        <v>8.9559999999999995</v>
      </c>
      <c r="IM64" s="58">
        <v>4089.54</v>
      </c>
      <c r="IN64" s="58">
        <v>2168.2130000000002</v>
      </c>
      <c r="IO64" s="58">
        <v>1921.327</v>
      </c>
      <c r="IP64" s="58">
        <v>2826.5349999999999</v>
      </c>
      <c r="IQ64" s="58">
        <v>1744.5340000000001</v>
      </c>
    </row>
    <row r="65" spans="1:251">
      <c r="A65" s="5">
        <v>43466</v>
      </c>
      <c r="B65" s="58">
        <v>18.155000000000001</v>
      </c>
      <c r="C65" s="58">
        <v>23.954999999999998</v>
      </c>
      <c r="D65" s="58">
        <v>394.12099999999998</v>
      </c>
      <c r="E65" s="58">
        <v>228.73699999999999</v>
      </c>
      <c r="F65" s="58">
        <v>165.38300000000001</v>
      </c>
      <c r="G65" s="58">
        <v>179.72499999999999</v>
      </c>
      <c r="H65" s="58">
        <v>139.142</v>
      </c>
      <c r="I65" s="58">
        <v>40.582999999999998</v>
      </c>
      <c r="J65" s="58">
        <v>214.39599999999999</v>
      </c>
      <c r="K65" s="58">
        <v>89.596000000000004</v>
      </c>
      <c r="L65" s="58">
        <v>124.8</v>
      </c>
      <c r="M65" s="58">
        <v>218.084</v>
      </c>
      <c r="N65" s="58">
        <v>167.87700000000001</v>
      </c>
      <c r="O65" s="58">
        <v>50.207999999999998</v>
      </c>
      <c r="P65" s="58">
        <v>232.102</v>
      </c>
      <c r="Q65" s="58">
        <v>95.626000000000005</v>
      </c>
      <c r="R65" s="58">
        <v>136.476</v>
      </c>
      <c r="S65" s="58">
        <v>237.73400000000001</v>
      </c>
      <c r="T65" s="58">
        <v>106.29300000000001</v>
      </c>
      <c r="U65" s="58">
        <v>131.441</v>
      </c>
      <c r="V65" s="58">
        <v>2713.5369999999998</v>
      </c>
      <c r="W65" s="58">
        <v>1456.325</v>
      </c>
      <c r="X65" s="58">
        <v>1257.212</v>
      </c>
      <c r="Y65" s="58">
        <v>2030.7750000000001</v>
      </c>
      <c r="Z65" s="58">
        <v>1337.3879999999999</v>
      </c>
      <c r="AA65" s="58">
        <v>693.38800000000003</v>
      </c>
      <c r="AB65" s="58">
        <v>682.76199999999994</v>
      </c>
      <c r="AC65" s="58">
        <v>118.937</v>
      </c>
      <c r="AD65" s="58">
        <v>563.82500000000005</v>
      </c>
      <c r="AE65" s="58">
        <v>337.75</v>
      </c>
      <c r="AF65" s="58">
        <v>182.18199999999999</v>
      </c>
      <c r="AG65" s="58">
        <v>155.56800000000001</v>
      </c>
      <c r="AH65" s="58">
        <v>70.311999999999998</v>
      </c>
      <c r="AI65" s="58">
        <v>42.619</v>
      </c>
      <c r="AJ65" s="58">
        <v>27.693000000000001</v>
      </c>
      <c r="AK65" s="58">
        <v>43.804000000000002</v>
      </c>
      <c r="AL65" s="58">
        <v>34.115000000000002</v>
      </c>
      <c r="AM65" s="58">
        <v>9.6890000000000001</v>
      </c>
      <c r="AN65" s="58">
        <v>19.283000000000001</v>
      </c>
      <c r="AO65" s="58">
        <v>13.087999999999999</v>
      </c>
      <c r="AP65" s="58">
        <v>6.1950000000000003</v>
      </c>
      <c r="AQ65" s="58">
        <v>24.521000000000001</v>
      </c>
      <c r="AR65" s="58">
        <v>21.027000000000001</v>
      </c>
      <c r="AS65" s="58">
        <v>3.4929999999999999</v>
      </c>
      <c r="AT65" s="58">
        <v>26.507999999999999</v>
      </c>
      <c r="AU65" s="58">
        <v>8.5039999999999996</v>
      </c>
      <c r="AV65" s="58">
        <v>18.004000000000001</v>
      </c>
      <c r="AW65" s="58">
        <v>289.44099999999997</v>
      </c>
      <c r="AX65" s="58">
        <v>152.40100000000001</v>
      </c>
      <c r="AY65" s="58">
        <v>137.03899999999999</v>
      </c>
      <c r="AZ65" s="58">
        <v>143.453</v>
      </c>
      <c r="BA65" s="58">
        <v>112.989</v>
      </c>
      <c r="BB65" s="58">
        <v>30.463999999999999</v>
      </c>
      <c r="BC65" s="58">
        <v>145.98699999999999</v>
      </c>
      <c r="BD65" s="58">
        <v>39.411999999999999</v>
      </c>
      <c r="BE65" s="58">
        <v>106.575</v>
      </c>
      <c r="BF65" s="58">
        <v>178.59200000000001</v>
      </c>
      <c r="BG65" s="58">
        <v>139.262</v>
      </c>
      <c r="BH65" s="58">
        <v>39.331000000000003</v>
      </c>
      <c r="BI65" s="58">
        <v>159.15700000000001</v>
      </c>
      <c r="BJ65" s="58">
        <v>42.92</v>
      </c>
      <c r="BK65" s="58">
        <v>116.23699999999999</v>
      </c>
      <c r="BL65" s="58">
        <v>165.27099999999999</v>
      </c>
      <c r="BM65" s="58">
        <v>52.5</v>
      </c>
      <c r="BN65" s="58">
        <v>112.77</v>
      </c>
      <c r="BO65" s="58">
        <v>2553.4850000000001</v>
      </c>
      <c r="BP65" s="58">
        <v>1329.0719999999999</v>
      </c>
      <c r="BQ65" s="58">
        <v>1224.413</v>
      </c>
      <c r="BR65" s="58">
        <v>1915.1880000000001</v>
      </c>
      <c r="BS65" s="58">
        <v>1195.4359999999999</v>
      </c>
      <c r="BT65" s="58">
        <v>719.75199999999995</v>
      </c>
      <c r="BU65" s="58">
        <v>638.29700000000003</v>
      </c>
      <c r="BV65" s="58">
        <v>133.636</v>
      </c>
      <c r="BW65" s="58">
        <v>504.661</v>
      </c>
      <c r="BX65" s="58">
        <v>312.18099999999998</v>
      </c>
      <c r="BY65" s="58">
        <v>141.089</v>
      </c>
      <c r="BZ65" s="58">
        <v>171.09200000000001</v>
      </c>
      <c r="CA65" s="58">
        <v>72.289000000000001</v>
      </c>
      <c r="CB65" s="58">
        <v>42.561999999999998</v>
      </c>
      <c r="CC65" s="58">
        <v>29.727</v>
      </c>
      <c r="CD65" s="58">
        <v>34.698</v>
      </c>
      <c r="CE65" s="58">
        <v>27.837</v>
      </c>
      <c r="CF65" s="58">
        <v>6.8609999999999998</v>
      </c>
      <c r="CG65" s="58">
        <v>17.617000000000001</v>
      </c>
      <c r="CH65" s="58">
        <v>13.898</v>
      </c>
      <c r="CI65" s="58">
        <v>3.7189999999999999</v>
      </c>
      <c r="CJ65" s="58">
        <v>17.081</v>
      </c>
      <c r="CK65" s="58">
        <v>13.94</v>
      </c>
      <c r="CL65" s="58">
        <v>3.1419999999999999</v>
      </c>
      <c r="CM65" s="58">
        <v>37.590000000000003</v>
      </c>
      <c r="CN65" s="58">
        <v>14.725</v>
      </c>
      <c r="CO65" s="58">
        <v>22.866</v>
      </c>
      <c r="CP65" s="58">
        <v>268.97500000000002</v>
      </c>
      <c r="CQ65" s="58">
        <v>112.295</v>
      </c>
      <c r="CR65" s="58">
        <v>156.679</v>
      </c>
      <c r="CS65" s="58">
        <v>110.40900000000001</v>
      </c>
      <c r="CT65" s="58">
        <v>68.718999999999994</v>
      </c>
      <c r="CU65" s="58">
        <v>41.69</v>
      </c>
      <c r="CV65" s="58">
        <v>158.566</v>
      </c>
      <c r="CW65" s="58">
        <v>43.576000000000001</v>
      </c>
      <c r="CX65" s="58">
        <v>114.989</v>
      </c>
      <c r="CY65" s="58">
        <v>140.84100000000001</v>
      </c>
      <c r="CZ65" s="58">
        <v>92.638999999999996</v>
      </c>
      <c r="DA65" s="58">
        <v>48.201999999999998</v>
      </c>
      <c r="DB65" s="58">
        <v>171.34</v>
      </c>
      <c r="DC65" s="58">
        <v>48.451000000000001</v>
      </c>
      <c r="DD65" s="58">
        <v>122.89</v>
      </c>
      <c r="DE65" s="58">
        <v>176.18199999999999</v>
      </c>
      <c r="DF65" s="58">
        <v>57.473999999999997</v>
      </c>
      <c r="DG65" s="58">
        <v>118.708</v>
      </c>
      <c r="DH65" s="58">
        <v>2355.2829999999999</v>
      </c>
      <c r="DI65" s="58">
        <v>1301.828</v>
      </c>
      <c r="DJ65" s="58">
        <v>1053.4549999999999</v>
      </c>
      <c r="DK65" s="58">
        <v>1528.374</v>
      </c>
      <c r="DL65" s="58">
        <v>996.28</v>
      </c>
      <c r="DM65" s="58">
        <v>532.09400000000005</v>
      </c>
      <c r="DN65" s="58">
        <v>826.90899999999999</v>
      </c>
      <c r="DO65" s="58">
        <v>305.548</v>
      </c>
      <c r="DP65" s="58">
        <v>521.36199999999997</v>
      </c>
      <c r="DQ65" s="58">
        <v>258.03800000000001</v>
      </c>
      <c r="DR65" s="58">
        <v>150.59700000000001</v>
      </c>
      <c r="DS65" s="58">
        <v>107.441</v>
      </c>
      <c r="DT65" s="58">
        <v>88.647999999999996</v>
      </c>
      <c r="DU65" s="58">
        <v>61.790999999999997</v>
      </c>
      <c r="DV65" s="58">
        <v>26.856999999999999</v>
      </c>
      <c r="DW65" s="58">
        <v>37.036000000000001</v>
      </c>
      <c r="DX65" s="58">
        <v>30.919</v>
      </c>
      <c r="DY65" s="58">
        <v>6.1180000000000003</v>
      </c>
      <c r="DZ65" s="58">
        <v>19.166</v>
      </c>
      <c r="EA65" s="58">
        <v>15.3</v>
      </c>
      <c r="EB65" s="58">
        <v>3.8660000000000001</v>
      </c>
      <c r="EC65" s="58">
        <v>17.87</v>
      </c>
      <c r="ED65" s="58">
        <v>15.619</v>
      </c>
      <c r="EE65" s="58">
        <v>2.2519999999999998</v>
      </c>
      <c r="EF65" s="58">
        <v>51.610999999999997</v>
      </c>
      <c r="EG65" s="58">
        <v>30.872</v>
      </c>
      <c r="EH65" s="58">
        <v>20.739000000000001</v>
      </c>
      <c r="EI65" s="58">
        <v>192.77500000000001</v>
      </c>
      <c r="EJ65" s="58">
        <v>106.934</v>
      </c>
      <c r="EK65" s="58">
        <v>85.840999999999994</v>
      </c>
      <c r="EL65" s="58">
        <v>74.421000000000006</v>
      </c>
      <c r="EM65" s="58">
        <v>54.207999999999998</v>
      </c>
      <c r="EN65" s="58">
        <v>20.213999999999999</v>
      </c>
      <c r="EO65" s="58">
        <v>118.354</v>
      </c>
      <c r="EP65" s="58">
        <v>52.725999999999999</v>
      </c>
      <c r="EQ65" s="58">
        <v>65.628</v>
      </c>
      <c r="ER65" s="58">
        <v>105.495</v>
      </c>
      <c r="ES65" s="58">
        <v>80.686999999999998</v>
      </c>
      <c r="ET65" s="58">
        <v>24.808</v>
      </c>
      <c r="EU65" s="58">
        <v>152.54300000000001</v>
      </c>
      <c r="EV65" s="58">
        <v>69.91</v>
      </c>
      <c r="EW65" s="58">
        <v>82.632999999999996</v>
      </c>
      <c r="EX65" s="58">
        <v>137.52000000000001</v>
      </c>
      <c r="EY65" s="58">
        <v>68.027000000000001</v>
      </c>
      <c r="EZ65" s="58">
        <v>69.494</v>
      </c>
      <c r="FA65" s="58">
        <v>1823.1479999999999</v>
      </c>
      <c r="FB65" s="58">
        <v>969.01800000000003</v>
      </c>
      <c r="FC65" s="58">
        <v>854.13</v>
      </c>
      <c r="FD65" s="58">
        <v>1272.0039999999999</v>
      </c>
      <c r="FE65" s="58">
        <v>814.95799999999997</v>
      </c>
      <c r="FF65" s="58">
        <v>457.04599999999999</v>
      </c>
      <c r="FG65" s="58">
        <v>551.14400000000001</v>
      </c>
      <c r="FH65" s="58">
        <v>154.06</v>
      </c>
      <c r="FI65" s="58">
        <v>397.084</v>
      </c>
      <c r="FJ65" s="58">
        <v>209.215</v>
      </c>
      <c r="FK65" s="58">
        <v>116.895</v>
      </c>
      <c r="FL65" s="58">
        <v>92.320999999999998</v>
      </c>
      <c r="FM65" s="58">
        <v>60.926000000000002</v>
      </c>
      <c r="FN65" s="58">
        <v>40.857999999999997</v>
      </c>
      <c r="FO65" s="58">
        <v>20.068000000000001</v>
      </c>
      <c r="FP65" s="58">
        <v>29.867999999999999</v>
      </c>
      <c r="FQ65" s="58">
        <v>24.195</v>
      </c>
      <c r="FR65" s="58">
        <v>5.673</v>
      </c>
      <c r="FS65" s="58">
        <v>14.839</v>
      </c>
      <c r="FT65" s="58">
        <v>11.417</v>
      </c>
      <c r="FU65" s="58">
        <v>3.4220000000000002</v>
      </c>
      <c r="FV65" s="58">
        <v>15.029</v>
      </c>
      <c r="FW65" s="58">
        <v>12.778</v>
      </c>
      <c r="FX65" s="58">
        <v>2.2519999999999998</v>
      </c>
      <c r="FY65" s="58">
        <v>31.058</v>
      </c>
      <c r="FZ65" s="58">
        <v>16.663</v>
      </c>
      <c r="GA65" s="58">
        <v>14.394</v>
      </c>
      <c r="GB65" s="58">
        <v>165.41200000000001</v>
      </c>
      <c r="GC65" s="58">
        <v>88.462999999999994</v>
      </c>
      <c r="GD65" s="58">
        <v>76.948999999999998</v>
      </c>
      <c r="GE65" s="58">
        <v>64.813000000000002</v>
      </c>
      <c r="GF65" s="58">
        <v>46.573</v>
      </c>
      <c r="GG65" s="58">
        <v>18.239999999999998</v>
      </c>
      <c r="GH65" s="58">
        <v>100.598</v>
      </c>
      <c r="GI65" s="58">
        <v>41.89</v>
      </c>
      <c r="GJ65" s="58">
        <v>58.709000000000003</v>
      </c>
      <c r="GK65" s="58">
        <v>90.331000000000003</v>
      </c>
      <c r="GL65" s="58">
        <v>67.94</v>
      </c>
      <c r="GM65" s="58">
        <v>22.390999999999998</v>
      </c>
      <c r="GN65" s="58">
        <v>118.884</v>
      </c>
      <c r="GO65" s="58">
        <v>48.954000000000001</v>
      </c>
      <c r="GP65" s="58">
        <v>69.930000000000007</v>
      </c>
      <c r="GQ65" s="58">
        <v>115.437</v>
      </c>
      <c r="GR65" s="58">
        <v>53.307000000000002</v>
      </c>
      <c r="GS65" s="58">
        <v>62.13</v>
      </c>
      <c r="GT65" s="58">
        <v>532.13499999999999</v>
      </c>
      <c r="GU65" s="58">
        <v>332.81</v>
      </c>
      <c r="GV65" s="58">
        <v>199.32499999999999</v>
      </c>
      <c r="GW65" s="58">
        <v>256.36900000000003</v>
      </c>
      <c r="GX65" s="58">
        <v>181.322</v>
      </c>
      <c r="GY65" s="58">
        <v>75.048000000000002</v>
      </c>
      <c r="GZ65" s="58">
        <v>275.76499999999999</v>
      </c>
      <c r="HA65" s="58">
        <v>151.488</v>
      </c>
      <c r="HB65" s="58">
        <v>124.27800000000001</v>
      </c>
      <c r="HC65" s="58">
        <v>48.822000000000003</v>
      </c>
      <c r="HD65" s="58">
        <v>33.701999999999998</v>
      </c>
      <c r="HE65" s="58">
        <v>15.12</v>
      </c>
      <c r="HF65" s="58">
        <v>27.722000000000001</v>
      </c>
      <c r="HG65" s="58">
        <v>20.933</v>
      </c>
      <c r="HH65" s="58">
        <v>6.7889999999999997</v>
      </c>
      <c r="HI65" s="58">
        <v>7.1689999999999996</v>
      </c>
      <c r="HJ65" s="58">
        <v>6.7240000000000002</v>
      </c>
      <c r="HK65" s="58">
        <v>0.44400000000000001</v>
      </c>
      <c r="HL65" s="58">
        <v>4.3280000000000003</v>
      </c>
      <c r="HM65" s="58">
        <v>3.883</v>
      </c>
      <c r="HN65" s="58">
        <v>0.44400000000000001</v>
      </c>
      <c r="HO65" s="58">
        <v>2.8410000000000002</v>
      </c>
      <c r="HP65" s="58">
        <v>2.8410000000000002</v>
      </c>
      <c r="HQ65" s="58">
        <v>0</v>
      </c>
      <c r="HR65" s="58">
        <v>20.553999999999998</v>
      </c>
      <c r="HS65" s="58">
        <v>14.209</v>
      </c>
      <c r="HT65" s="58">
        <v>6.3449999999999998</v>
      </c>
      <c r="HU65" s="58">
        <v>27.364000000000001</v>
      </c>
      <c r="HV65" s="58">
        <v>18.471</v>
      </c>
      <c r="HW65" s="58">
        <v>8.8919999999999995</v>
      </c>
      <c r="HX65" s="58">
        <v>9.6080000000000005</v>
      </c>
      <c r="HY65" s="58">
        <v>7.6349999999999998</v>
      </c>
      <c r="HZ65" s="58">
        <v>1.9730000000000001</v>
      </c>
      <c r="IA65" s="58">
        <v>17.756</v>
      </c>
      <c r="IB65" s="58">
        <v>10.837</v>
      </c>
      <c r="IC65" s="58">
        <v>6.9189999999999996</v>
      </c>
      <c r="ID65" s="58">
        <v>15.164</v>
      </c>
      <c r="IE65" s="58">
        <v>12.747</v>
      </c>
      <c r="IF65" s="58">
        <v>2.4180000000000001</v>
      </c>
      <c r="IG65" s="58">
        <v>33.658000000000001</v>
      </c>
      <c r="IH65" s="58">
        <v>20.956</v>
      </c>
      <c r="II65" s="58">
        <v>12.702999999999999</v>
      </c>
      <c r="IJ65" s="58">
        <v>22.082999999999998</v>
      </c>
      <c r="IK65" s="58">
        <v>14.72</v>
      </c>
      <c r="IL65" s="58">
        <v>7.3630000000000004</v>
      </c>
      <c r="IM65" s="58">
        <v>4047.232</v>
      </c>
      <c r="IN65" s="58">
        <v>2139.4430000000002</v>
      </c>
      <c r="IO65" s="58">
        <v>1907.79</v>
      </c>
      <c r="IP65" s="58">
        <v>2825.6849999999999</v>
      </c>
      <c r="IQ65" s="58">
        <v>1748.171</v>
      </c>
    </row>
    <row r="66" spans="1:251">
      <c r="A66" s="5">
        <v>43497</v>
      </c>
      <c r="B66" s="58">
        <v>16.494</v>
      </c>
      <c r="C66" s="58">
        <v>21.416</v>
      </c>
      <c r="D66" s="58">
        <v>380.702</v>
      </c>
      <c r="E66" s="58">
        <v>217.26599999999999</v>
      </c>
      <c r="F66" s="58">
        <v>163.43600000000001</v>
      </c>
      <c r="G66" s="58">
        <v>178.77500000000001</v>
      </c>
      <c r="H66" s="58">
        <v>129.41200000000001</v>
      </c>
      <c r="I66" s="58">
        <v>49.363</v>
      </c>
      <c r="J66" s="58">
        <v>201.92699999999999</v>
      </c>
      <c r="K66" s="58">
        <v>87.853999999999999</v>
      </c>
      <c r="L66" s="58">
        <v>114.07299999999999</v>
      </c>
      <c r="M66" s="58">
        <v>204.785</v>
      </c>
      <c r="N66" s="58">
        <v>146.03100000000001</v>
      </c>
      <c r="O66" s="58">
        <v>58.753999999999998</v>
      </c>
      <c r="P66" s="58">
        <v>217.89500000000001</v>
      </c>
      <c r="Q66" s="58">
        <v>94.304000000000002</v>
      </c>
      <c r="R66" s="58">
        <v>123.59099999999999</v>
      </c>
      <c r="S66" s="58">
        <v>222.57599999999999</v>
      </c>
      <c r="T66" s="58">
        <v>100.428</v>
      </c>
      <c r="U66" s="58">
        <v>122.14700000000001</v>
      </c>
      <c r="V66" s="58">
        <v>2743.1439999999998</v>
      </c>
      <c r="W66" s="58">
        <v>1462.6880000000001</v>
      </c>
      <c r="X66" s="58">
        <v>1280.4549999999999</v>
      </c>
      <c r="Y66" s="58">
        <v>2058.5039999999999</v>
      </c>
      <c r="Z66" s="58">
        <v>1336.5820000000001</v>
      </c>
      <c r="AA66" s="58">
        <v>721.923</v>
      </c>
      <c r="AB66" s="58">
        <v>684.63900000000001</v>
      </c>
      <c r="AC66" s="58">
        <v>126.107</v>
      </c>
      <c r="AD66" s="58">
        <v>558.53300000000002</v>
      </c>
      <c r="AE66" s="58">
        <v>317.60700000000003</v>
      </c>
      <c r="AF66" s="58">
        <v>168.369</v>
      </c>
      <c r="AG66" s="58">
        <v>149.238</v>
      </c>
      <c r="AH66" s="58">
        <v>63.497</v>
      </c>
      <c r="AI66" s="58">
        <v>39.33</v>
      </c>
      <c r="AJ66" s="58">
        <v>24.167000000000002</v>
      </c>
      <c r="AK66" s="58">
        <v>36.265000000000001</v>
      </c>
      <c r="AL66" s="58">
        <v>27.635000000000002</v>
      </c>
      <c r="AM66" s="58">
        <v>8.6300000000000008</v>
      </c>
      <c r="AN66" s="58">
        <v>19.565000000000001</v>
      </c>
      <c r="AO66" s="58">
        <v>13.15</v>
      </c>
      <c r="AP66" s="58">
        <v>6.415</v>
      </c>
      <c r="AQ66" s="58">
        <v>16.7</v>
      </c>
      <c r="AR66" s="58">
        <v>14.484999999999999</v>
      </c>
      <c r="AS66" s="58">
        <v>2.2149999999999999</v>
      </c>
      <c r="AT66" s="58">
        <v>27.231999999999999</v>
      </c>
      <c r="AU66" s="58">
        <v>11.695</v>
      </c>
      <c r="AV66" s="58">
        <v>15.538</v>
      </c>
      <c r="AW66" s="58">
        <v>279.93299999999999</v>
      </c>
      <c r="AX66" s="58">
        <v>143.38999999999999</v>
      </c>
      <c r="AY66" s="58">
        <v>136.54300000000001</v>
      </c>
      <c r="AZ66" s="58">
        <v>127.827</v>
      </c>
      <c r="BA66" s="58">
        <v>99.296000000000006</v>
      </c>
      <c r="BB66" s="58">
        <v>28.530999999999999</v>
      </c>
      <c r="BC66" s="58">
        <v>152.10599999999999</v>
      </c>
      <c r="BD66" s="58">
        <v>44.094000000000001</v>
      </c>
      <c r="BE66" s="58">
        <v>108.012</v>
      </c>
      <c r="BF66" s="58">
        <v>153.52699999999999</v>
      </c>
      <c r="BG66" s="58">
        <v>119.96899999999999</v>
      </c>
      <c r="BH66" s="58">
        <v>33.558</v>
      </c>
      <c r="BI66" s="58">
        <v>164.08</v>
      </c>
      <c r="BJ66" s="58">
        <v>48.4</v>
      </c>
      <c r="BK66" s="58">
        <v>115.679</v>
      </c>
      <c r="BL66" s="58">
        <v>171.67099999999999</v>
      </c>
      <c r="BM66" s="58">
        <v>57.244</v>
      </c>
      <c r="BN66" s="58">
        <v>114.42700000000001</v>
      </c>
      <c r="BO66" s="58">
        <v>2587.8359999999998</v>
      </c>
      <c r="BP66" s="58">
        <v>1333.2429999999999</v>
      </c>
      <c r="BQ66" s="58">
        <v>1254.5930000000001</v>
      </c>
      <c r="BR66" s="58">
        <v>1933.317</v>
      </c>
      <c r="BS66" s="58">
        <v>1203.133</v>
      </c>
      <c r="BT66" s="58">
        <v>730.18299999999999</v>
      </c>
      <c r="BU66" s="58">
        <v>654.51900000000001</v>
      </c>
      <c r="BV66" s="58">
        <v>130.10900000000001</v>
      </c>
      <c r="BW66" s="58">
        <v>524.41</v>
      </c>
      <c r="BX66" s="58">
        <v>301.59699999999998</v>
      </c>
      <c r="BY66" s="58">
        <v>141.87700000000001</v>
      </c>
      <c r="BZ66" s="58">
        <v>159.72</v>
      </c>
      <c r="CA66" s="58">
        <v>79.272000000000006</v>
      </c>
      <c r="CB66" s="58">
        <v>44.363</v>
      </c>
      <c r="CC66" s="58">
        <v>34.908999999999999</v>
      </c>
      <c r="CD66" s="58">
        <v>37.162999999999997</v>
      </c>
      <c r="CE66" s="58">
        <v>29.114000000000001</v>
      </c>
      <c r="CF66" s="58">
        <v>8.0500000000000007</v>
      </c>
      <c r="CG66" s="58">
        <v>21.869</v>
      </c>
      <c r="CH66" s="58">
        <v>16.739999999999998</v>
      </c>
      <c r="CI66" s="58">
        <v>5.1289999999999996</v>
      </c>
      <c r="CJ66" s="58">
        <v>15.294</v>
      </c>
      <c r="CK66" s="58">
        <v>12.372999999999999</v>
      </c>
      <c r="CL66" s="58">
        <v>2.9209999999999998</v>
      </c>
      <c r="CM66" s="58">
        <v>42.109000000000002</v>
      </c>
      <c r="CN66" s="58">
        <v>15.249000000000001</v>
      </c>
      <c r="CO66" s="58">
        <v>26.86</v>
      </c>
      <c r="CP66" s="58">
        <v>254.07599999999999</v>
      </c>
      <c r="CQ66" s="58">
        <v>114.59699999999999</v>
      </c>
      <c r="CR66" s="58">
        <v>139.47900000000001</v>
      </c>
      <c r="CS66" s="58">
        <v>107.89</v>
      </c>
      <c r="CT66" s="58">
        <v>73.465999999999994</v>
      </c>
      <c r="CU66" s="58">
        <v>34.423999999999999</v>
      </c>
      <c r="CV66" s="58">
        <v>146.18600000000001</v>
      </c>
      <c r="CW66" s="58">
        <v>41.131</v>
      </c>
      <c r="CX66" s="58">
        <v>105.05500000000001</v>
      </c>
      <c r="CY66" s="58">
        <v>135.732</v>
      </c>
      <c r="CZ66" s="58">
        <v>94.581000000000003</v>
      </c>
      <c r="DA66" s="58">
        <v>41.151000000000003</v>
      </c>
      <c r="DB66" s="58">
        <v>165.86500000000001</v>
      </c>
      <c r="DC66" s="58">
        <v>47.295999999999999</v>
      </c>
      <c r="DD66" s="58">
        <v>118.569</v>
      </c>
      <c r="DE66" s="58">
        <v>168.05500000000001</v>
      </c>
      <c r="DF66" s="58">
        <v>57.871000000000002</v>
      </c>
      <c r="DG66" s="58">
        <v>110.184</v>
      </c>
      <c r="DH66" s="58">
        <v>2450.395</v>
      </c>
      <c r="DI66" s="58">
        <v>1346.98</v>
      </c>
      <c r="DJ66" s="58">
        <v>1103.414</v>
      </c>
      <c r="DK66" s="58">
        <v>1548.38</v>
      </c>
      <c r="DL66" s="58">
        <v>1012.647</v>
      </c>
      <c r="DM66" s="58">
        <v>535.73199999999997</v>
      </c>
      <c r="DN66" s="58">
        <v>902.01499999999999</v>
      </c>
      <c r="DO66" s="58">
        <v>334.33300000000003</v>
      </c>
      <c r="DP66" s="58">
        <v>567.68200000000002</v>
      </c>
      <c r="DQ66" s="58">
        <v>246.05099999999999</v>
      </c>
      <c r="DR66" s="58">
        <v>143.572</v>
      </c>
      <c r="DS66" s="58">
        <v>102.47799999999999</v>
      </c>
      <c r="DT66" s="58">
        <v>77.251000000000005</v>
      </c>
      <c r="DU66" s="58">
        <v>50.709000000000003</v>
      </c>
      <c r="DV66" s="58">
        <v>26.542000000000002</v>
      </c>
      <c r="DW66" s="58">
        <v>23.815000000000001</v>
      </c>
      <c r="DX66" s="58">
        <v>20.059999999999999</v>
      </c>
      <c r="DY66" s="58">
        <v>3.7549999999999999</v>
      </c>
      <c r="DZ66" s="58">
        <v>11.978999999999999</v>
      </c>
      <c r="EA66" s="58">
        <v>9.5</v>
      </c>
      <c r="EB66" s="58">
        <v>2.4780000000000002</v>
      </c>
      <c r="EC66" s="58">
        <v>11.837</v>
      </c>
      <c r="ED66" s="58">
        <v>10.56</v>
      </c>
      <c r="EE66" s="58">
        <v>1.2769999999999999</v>
      </c>
      <c r="EF66" s="58">
        <v>53.436</v>
      </c>
      <c r="EG66" s="58">
        <v>30.649000000000001</v>
      </c>
      <c r="EH66" s="58">
        <v>22.786999999999999</v>
      </c>
      <c r="EI66" s="58">
        <v>195.18899999999999</v>
      </c>
      <c r="EJ66" s="58">
        <v>111.122</v>
      </c>
      <c r="EK66" s="58">
        <v>84.066000000000003</v>
      </c>
      <c r="EL66" s="58">
        <v>68.942999999999998</v>
      </c>
      <c r="EM66" s="58">
        <v>49.793999999999997</v>
      </c>
      <c r="EN66" s="58">
        <v>19.148</v>
      </c>
      <c r="EO66" s="58">
        <v>126.246</v>
      </c>
      <c r="EP66" s="58">
        <v>61.328000000000003</v>
      </c>
      <c r="EQ66" s="58">
        <v>64.918000000000006</v>
      </c>
      <c r="ER66" s="58">
        <v>87.442999999999998</v>
      </c>
      <c r="ES66" s="58">
        <v>65.159000000000006</v>
      </c>
      <c r="ET66" s="58">
        <v>22.283999999999999</v>
      </c>
      <c r="EU66" s="58">
        <v>158.608</v>
      </c>
      <c r="EV66" s="58">
        <v>78.414000000000001</v>
      </c>
      <c r="EW66" s="58">
        <v>80.194999999999993</v>
      </c>
      <c r="EX66" s="58">
        <v>138.22499999999999</v>
      </c>
      <c r="EY66" s="58">
        <v>70.828000000000003</v>
      </c>
      <c r="EZ66" s="58">
        <v>67.396000000000001</v>
      </c>
      <c r="FA66" s="58">
        <v>1877.5809999999999</v>
      </c>
      <c r="FB66" s="58">
        <v>994.56500000000005</v>
      </c>
      <c r="FC66" s="58">
        <v>883.01599999999996</v>
      </c>
      <c r="FD66" s="58">
        <v>1286.0029999999999</v>
      </c>
      <c r="FE66" s="58">
        <v>823.51199999999994</v>
      </c>
      <c r="FF66" s="58">
        <v>462.49</v>
      </c>
      <c r="FG66" s="58">
        <v>591.57799999999997</v>
      </c>
      <c r="FH66" s="58">
        <v>171.05199999999999</v>
      </c>
      <c r="FI66" s="58">
        <v>420.52600000000001</v>
      </c>
      <c r="FJ66" s="58">
        <v>193.44800000000001</v>
      </c>
      <c r="FK66" s="58">
        <v>106.277</v>
      </c>
      <c r="FL66" s="58">
        <v>87.171000000000006</v>
      </c>
      <c r="FM66" s="58">
        <v>54.402999999999999</v>
      </c>
      <c r="FN66" s="58">
        <v>33.136000000000003</v>
      </c>
      <c r="FO66" s="58">
        <v>21.266999999999999</v>
      </c>
      <c r="FP66" s="58">
        <v>18.797999999999998</v>
      </c>
      <c r="FQ66" s="58">
        <v>16.375</v>
      </c>
      <c r="FR66" s="58">
        <v>2.4220000000000002</v>
      </c>
      <c r="FS66" s="58">
        <v>8.6820000000000004</v>
      </c>
      <c r="FT66" s="58">
        <v>7.157</v>
      </c>
      <c r="FU66" s="58">
        <v>1.524</v>
      </c>
      <c r="FV66" s="58">
        <v>10.116</v>
      </c>
      <c r="FW66" s="58">
        <v>9.218</v>
      </c>
      <c r="FX66" s="58">
        <v>0.89800000000000002</v>
      </c>
      <c r="FY66" s="58">
        <v>35.604999999999997</v>
      </c>
      <c r="FZ66" s="58">
        <v>16.760000000000002</v>
      </c>
      <c r="GA66" s="58">
        <v>18.844999999999999</v>
      </c>
      <c r="GB66" s="58">
        <v>160.27699999999999</v>
      </c>
      <c r="GC66" s="58">
        <v>87.337999999999994</v>
      </c>
      <c r="GD66" s="58">
        <v>72.938000000000002</v>
      </c>
      <c r="GE66" s="58">
        <v>58.334000000000003</v>
      </c>
      <c r="GF66" s="58">
        <v>41.823</v>
      </c>
      <c r="GG66" s="58">
        <v>16.510000000000002</v>
      </c>
      <c r="GH66" s="58">
        <v>101.943</v>
      </c>
      <c r="GI66" s="58">
        <v>45.515000000000001</v>
      </c>
      <c r="GJ66" s="58">
        <v>56.427999999999997</v>
      </c>
      <c r="GK66" s="58">
        <v>72.858999999999995</v>
      </c>
      <c r="GL66" s="58">
        <v>53.926000000000002</v>
      </c>
      <c r="GM66" s="58">
        <v>18.933</v>
      </c>
      <c r="GN66" s="58">
        <v>120.589</v>
      </c>
      <c r="GO66" s="58">
        <v>52.350999999999999</v>
      </c>
      <c r="GP66" s="58">
        <v>68.239000000000004</v>
      </c>
      <c r="GQ66" s="58">
        <v>110.625</v>
      </c>
      <c r="GR66" s="58">
        <v>52.671999999999997</v>
      </c>
      <c r="GS66" s="58">
        <v>57.953000000000003</v>
      </c>
      <c r="GT66" s="58">
        <v>572.81399999999996</v>
      </c>
      <c r="GU66" s="58">
        <v>352.41500000000002</v>
      </c>
      <c r="GV66" s="58">
        <v>220.399</v>
      </c>
      <c r="GW66" s="58">
        <v>262.37700000000001</v>
      </c>
      <c r="GX66" s="58">
        <v>189.13499999999999</v>
      </c>
      <c r="GY66" s="58">
        <v>73.242000000000004</v>
      </c>
      <c r="GZ66" s="58">
        <v>310.43700000000001</v>
      </c>
      <c r="HA66" s="58">
        <v>163.28</v>
      </c>
      <c r="HB66" s="58">
        <v>147.15600000000001</v>
      </c>
      <c r="HC66" s="58">
        <v>52.601999999999997</v>
      </c>
      <c r="HD66" s="58">
        <v>37.295000000000002</v>
      </c>
      <c r="HE66" s="58">
        <v>15.307</v>
      </c>
      <c r="HF66" s="58">
        <v>22.847999999999999</v>
      </c>
      <c r="HG66" s="58">
        <v>17.573</v>
      </c>
      <c r="HH66" s="58">
        <v>5.2750000000000004</v>
      </c>
      <c r="HI66" s="58">
        <v>5.0170000000000003</v>
      </c>
      <c r="HJ66" s="58">
        <v>3.6850000000000001</v>
      </c>
      <c r="HK66" s="58">
        <v>1.333</v>
      </c>
      <c r="HL66" s="58">
        <v>3.2970000000000002</v>
      </c>
      <c r="HM66" s="58">
        <v>2.343</v>
      </c>
      <c r="HN66" s="58">
        <v>0.95399999999999996</v>
      </c>
      <c r="HO66" s="58">
        <v>1.7210000000000001</v>
      </c>
      <c r="HP66" s="58">
        <v>1.3420000000000001</v>
      </c>
      <c r="HQ66" s="58">
        <v>0.379</v>
      </c>
      <c r="HR66" s="58">
        <v>17.831</v>
      </c>
      <c r="HS66" s="58">
        <v>13.888</v>
      </c>
      <c r="HT66" s="58">
        <v>3.9420000000000002</v>
      </c>
      <c r="HU66" s="58">
        <v>34.911999999999999</v>
      </c>
      <c r="HV66" s="58">
        <v>23.783999999999999</v>
      </c>
      <c r="HW66" s="58">
        <v>11.128</v>
      </c>
      <c r="HX66" s="58">
        <v>10.609</v>
      </c>
      <c r="HY66" s="58">
        <v>7.9710000000000001</v>
      </c>
      <c r="HZ66" s="58">
        <v>2.6379999999999999</v>
      </c>
      <c r="IA66" s="58">
        <v>24.303000000000001</v>
      </c>
      <c r="IB66" s="58">
        <v>15.813000000000001</v>
      </c>
      <c r="IC66" s="58">
        <v>8.49</v>
      </c>
      <c r="ID66" s="58">
        <v>14.584</v>
      </c>
      <c r="IE66" s="58">
        <v>11.231999999999999</v>
      </c>
      <c r="IF66" s="58">
        <v>3.351</v>
      </c>
      <c r="IG66" s="58">
        <v>38.018999999999998</v>
      </c>
      <c r="IH66" s="58">
        <v>26.062999999999999</v>
      </c>
      <c r="II66" s="58">
        <v>11.956</v>
      </c>
      <c r="IJ66" s="58">
        <v>27.6</v>
      </c>
      <c r="IK66" s="58">
        <v>18.155999999999999</v>
      </c>
      <c r="IL66" s="58">
        <v>9.4440000000000008</v>
      </c>
      <c r="IM66" s="58">
        <v>4098.3760000000002</v>
      </c>
      <c r="IN66" s="58">
        <v>2174.9229999999998</v>
      </c>
      <c r="IO66" s="58">
        <v>1923.453</v>
      </c>
      <c r="IP66" s="58">
        <v>2847.1619999999998</v>
      </c>
      <c r="IQ66" s="58">
        <v>1755.5229999999999</v>
      </c>
    </row>
    <row r="67" spans="1:251">
      <c r="A67" s="5">
        <v>43525</v>
      </c>
      <c r="B67" s="58">
        <v>17.244</v>
      </c>
      <c r="C67" s="58">
        <v>18.11</v>
      </c>
      <c r="D67" s="58">
        <v>381.68900000000002</v>
      </c>
      <c r="E67" s="58">
        <v>226.285</v>
      </c>
      <c r="F67" s="58">
        <v>155.405</v>
      </c>
      <c r="G67" s="58">
        <v>179.57</v>
      </c>
      <c r="H67" s="58">
        <v>138.66999999999999</v>
      </c>
      <c r="I67" s="58">
        <v>40.9</v>
      </c>
      <c r="J67" s="58">
        <v>202.119</v>
      </c>
      <c r="K67" s="58">
        <v>87.614000000000004</v>
      </c>
      <c r="L67" s="58">
        <v>114.505</v>
      </c>
      <c r="M67" s="58">
        <v>196.05699999999999</v>
      </c>
      <c r="N67" s="58">
        <v>149.34299999999999</v>
      </c>
      <c r="O67" s="58">
        <v>46.713999999999999</v>
      </c>
      <c r="P67" s="58">
        <v>216.095</v>
      </c>
      <c r="Q67" s="58">
        <v>92.426000000000002</v>
      </c>
      <c r="R67" s="58">
        <v>123.669</v>
      </c>
      <c r="S67" s="58">
        <v>213.608</v>
      </c>
      <c r="T67" s="58">
        <v>97.078999999999994</v>
      </c>
      <c r="U67" s="58">
        <v>116.529</v>
      </c>
      <c r="V67" s="58">
        <v>2755.0940000000001</v>
      </c>
      <c r="W67" s="58">
        <v>1471.2439999999999</v>
      </c>
      <c r="X67" s="58">
        <v>1283.8510000000001</v>
      </c>
      <c r="Y67" s="58">
        <v>2054.364</v>
      </c>
      <c r="Z67" s="58">
        <v>1344.204</v>
      </c>
      <c r="AA67" s="58">
        <v>710.16099999999994</v>
      </c>
      <c r="AB67" s="58">
        <v>700.73</v>
      </c>
      <c r="AC67" s="58">
        <v>127.04</v>
      </c>
      <c r="AD67" s="58">
        <v>573.69000000000005</v>
      </c>
      <c r="AE67" s="58">
        <v>328.13299999999998</v>
      </c>
      <c r="AF67" s="58">
        <v>156.87700000000001</v>
      </c>
      <c r="AG67" s="58">
        <v>171.256</v>
      </c>
      <c r="AH67" s="58">
        <v>62.070999999999998</v>
      </c>
      <c r="AI67" s="58">
        <v>32.134</v>
      </c>
      <c r="AJ67" s="58">
        <v>29.937000000000001</v>
      </c>
      <c r="AK67" s="58">
        <v>28.29</v>
      </c>
      <c r="AL67" s="58">
        <v>21.603999999999999</v>
      </c>
      <c r="AM67" s="58">
        <v>6.6859999999999999</v>
      </c>
      <c r="AN67" s="58">
        <v>14.901999999999999</v>
      </c>
      <c r="AO67" s="58">
        <v>11.182</v>
      </c>
      <c r="AP67" s="58">
        <v>3.72</v>
      </c>
      <c r="AQ67" s="58">
        <v>13.387</v>
      </c>
      <c r="AR67" s="58">
        <v>10.420999999999999</v>
      </c>
      <c r="AS67" s="58">
        <v>2.9660000000000002</v>
      </c>
      <c r="AT67" s="58">
        <v>33.780999999999999</v>
      </c>
      <c r="AU67" s="58">
        <v>10.53</v>
      </c>
      <c r="AV67" s="58">
        <v>23.251000000000001</v>
      </c>
      <c r="AW67" s="58">
        <v>291.51299999999998</v>
      </c>
      <c r="AX67" s="58">
        <v>137.62299999999999</v>
      </c>
      <c r="AY67" s="58">
        <v>153.88999999999999</v>
      </c>
      <c r="AZ67" s="58">
        <v>125.187</v>
      </c>
      <c r="BA67" s="58">
        <v>92.64</v>
      </c>
      <c r="BB67" s="58">
        <v>32.546999999999997</v>
      </c>
      <c r="BC67" s="58">
        <v>166.327</v>
      </c>
      <c r="BD67" s="58">
        <v>44.982999999999997</v>
      </c>
      <c r="BE67" s="58">
        <v>121.343</v>
      </c>
      <c r="BF67" s="58">
        <v>145.38499999999999</v>
      </c>
      <c r="BG67" s="58">
        <v>107.851</v>
      </c>
      <c r="BH67" s="58">
        <v>37.533999999999999</v>
      </c>
      <c r="BI67" s="58">
        <v>182.74700000000001</v>
      </c>
      <c r="BJ67" s="58">
        <v>49.026000000000003</v>
      </c>
      <c r="BK67" s="58">
        <v>133.72200000000001</v>
      </c>
      <c r="BL67" s="58">
        <v>181.22900000000001</v>
      </c>
      <c r="BM67" s="58">
        <v>56.165999999999997</v>
      </c>
      <c r="BN67" s="58">
        <v>125.063</v>
      </c>
      <c r="BO67" s="58">
        <v>2608.1660000000002</v>
      </c>
      <c r="BP67" s="58">
        <v>1348.115</v>
      </c>
      <c r="BQ67" s="58">
        <v>1260.05</v>
      </c>
      <c r="BR67" s="58">
        <v>1949.59</v>
      </c>
      <c r="BS67" s="58">
        <v>1214.711</v>
      </c>
      <c r="BT67" s="58">
        <v>734.87900000000002</v>
      </c>
      <c r="BU67" s="58">
        <v>658.57600000000002</v>
      </c>
      <c r="BV67" s="58">
        <v>133.404</v>
      </c>
      <c r="BW67" s="58">
        <v>525.17100000000005</v>
      </c>
      <c r="BX67" s="58">
        <v>305.90800000000002</v>
      </c>
      <c r="BY67" s="58">
        <v>146.167</v>
      </c>
      <c r="BZ67" s="58">
        <v>159.74100000000001</v>
      </c>
      <c r="CA67" s="58">
        <v>68.430000000000007</v>
      </c>
      <c r="CB67" s="58">
        <v>38.003</v>
      </c>
      <c r="CC67" s="58">
        <v>30.427</v>
      </c>
      <c r="CD67" s="58">
        <v>36.220999999999997</v>
      </c>
      <c r="CE67" s="58">
        <v>27.381</v>
      </c>
      <c r="CF67" s="58">
        <v>8.84</v>
      </c>
      <c r="CG67" s="58">
        <v>19.402000000000001</v>
      </c>
      <c r="CH67" s="58">
        <v>14.363</v>
      </c>
      <c r="CI67" s="58">
        <v>5.04</v>
      </c>
      <c r="CJ67" s="58">
        <v>16.818999999999999</v>
      </c>
      <c r="CK67" s="58">
        <v>13.018000000000001</v>
      </c>
      <c r="CL67" s="58">
        <v>3.8</v>
      </c>
      <c r="CM67" s="58">
        <v>32.209000000000003</v>
      </c>
      <c r="CN67" s="58">
        <v>10.622</v>
      </c>
      <c r="CO67" s="58">
        <v>21.587</v>
      </c>
      <c r="CP67" s="58">
        <v>264.86200000000002</v>
      </c>
      <c r="CQ67" s="58">
        <v>124.816</v>
      </c>
      <c r="CR67" s="58">
        <v>140.04499999999999</v>
      </c>
      <c r="CS67" s="58">
        <v>106.301</v>
      </c>
      <c r="CT67" s="58">
        <v>75.864000000000004</v>
      </c>
      <c r="CU67" s="58">
        <v>30.437000000000001</v>
      </c>
      <c r="CV67" s="58">
        <v>158.56</v>
      </c>
      <c r="CW67" s="58">
        <v>48.951999999999998</v>
      </c>
      <c r="CX67" s="58">
        <v>109.608</v>
      </c>
      <c r="CY67" s="58">
        <v>132.47999999999999</v>
      </c>
      <c r="CZ67" s="58">
        <v>94.480999999999995</v>
      </c>
      <c r="DA67" s="58">
        <v>38</v>
      </c>
      <c r="DB67" s="58">
        <v>173.428</v>
      </c>
      <c r="DC67" s="58">
        <v>51.686</v>
      </c>
      <c r="DD67" s="58">
        <v>121.742</v>
      </c>
      <c r="DE67" s="58">
        <v>177.96299999999999</v>
      </c>
      <c r="DF67" s="58">
        <v>63.314999999999998</v>
      </c>
      <c r="DG67" s="58">
        <v>114.648</v>
      </c>
      <c r="DH67" s="58">
        <v>2446.2159999999999</v>
      </c>
      <c r="DI67" s="58">
        <v>1339.433</v>
      </c>
      <c r="DJ67" s="58">
        <v>1106.7829999999999</v>
      </c>
      <c r="DK67" s="58">
        <v>1566.0170000000001</v>
      </c>
      <c r="DL67" s="58">
        <v>1021.312</v>
      </c>
      <c r="DM67" s="58">
        <v>544.70500000000004</v>
      </c>
      <c r="DN67" s="58">
        <v>880.19899999999996</v>
      </c>
      <c r="DO67" s="58">
        <v>318.12099999999998</v>
      </c>
      <c r="DP67" s="58">
        <v>562.07799999999997</v>
      </c>
      <c r="DQ67" s="58">
        <v>247.67500000000001</v>
      </c>
      <c r="DR67" s="58">
        <v>135.459</v>
      </c>
      <c r="DS67" s="58">
        <v>112.21599999999999</v>
      </c>
      <c r="DT67" s="58">
        <v>66.790999999999997</v>
      </c>
      <c r="DU67" s="58">
        <v>45.216000000000001</v>
      </c>
      <c r="DV67" s="58">
        <v>21.574999999999999</v>
      </c>
      <c r="DW67" s="58">
        <v>24.513000000000002</v>
      </c>
      <c r="DX67" s="58">
        <v>20.010000000000002</v>
      </c>
      <c r="DY67" s="58">
        <v>4.5030000000000001</v>
      </c>
      <c r="DZ67" s="58">
        <v>16.187999999999999</v>
      </c>
      <c r="EA67" s="58">
        <v>13.657999999999999</v>
      </c>
      <c r="EB67" s="58">
        <v>2.5310000000000001</v>
      </c>
      <c r="EC67" s="58">
        <v>8.3249999999999993</v>
      </c>
      <c r="ED67" s="58">
        <v>6.3529999999999998</v>
      </c>
      <c r="EE67" s="58">
        <v>1.972</v>
      </c>
      <c r="EF67" s="58">
        <v>42.277999999999999</v>
      </c>
      <c r="EG67" s="58">
        <v>25.206</v>
      </c>
      <c r="EH67" s="58">
        <v>17.071999999999999</v>
      </c>
      <c r="EI67" s="58">
        <v>198.18700000000001</v>
      </c>
      <c r="EJ67" s="58">
        <v>103.288</v>
      </c>
      <c r="EK67" s="58">
        <v>94.899000000000001</v>
      </c>
      <c r="EL67" s="58">
        <v>66.805000000000007</v>
      </c>
      <c r="EM67" s="58">
        <v>46.023000000000003</v>
      </c>
      <c r="EN67" s="58">
        <v>20.782</v>
      </c>
      <c r="EO67" s="58">
        <v>131.38200000000001</v>
      </c>
      <c r="EP67" s="58">
        <v>57.265999999999998</v>
      </c>
      <c r="EQ67" s="58">
        <v>74.116</v>
      </c>
      <c r="ER67" s="58">
        <v>87.534000000000006</v>
      </c>
      <c r="ES67" s="58">
        <v>62.335000000000001</v>
      </c>
      <c r="ET67" s="58">
        <v>25.199000000000002</v>
      </c>
      <c r="EU67" s="58">
        <v>160.14099999999999</v>
      </c>
      <c r="EV67" s="58">
        <v>73.123999999999995</v>
      </c>
      <c r="EW67" s="58">
        <v>87.016999999999996</v>
      </c>
      <c r="EX67" s="58">
        <v>147.57</v>
      </c>
      <c r="EY67" s="58">
        <v>70.923000000000002</v>
      </c>
      <c r="EZ67" s="58">
        <v>76.647000000000006</v>
      </c>
      <c r="FA67" s="58">
        <v>1882.7819999999999</v>
      </c>
      <c r="FB67" s="58">
        <v>997.81899999999996</v>
      </c>
      <c r="FC67" s="58">
        <v>884.96299999999997</v>
      </c>
      <c r="FD67" s="58">
        <v>1303.202</v>
      </c>
      <c r="FE67" s="58">
        <v>833.40599999999995</v>
      </c>
      <c r="FF67" s="58">
        <v>469.79700000000003</v>
      </c>
      <c r="FG67" s="58">
        <v>579.58000000000004</v>
      </c>
      <c r="FH67" s="58">
        <v>164.41300000000001</v>
      </c>
      <c r="FI67" s="58">
        <v>415.16699999999997</v>
      </c>
      <c r="FJ67" s="58">
        <v>197.34700000000001</v>
      </c>
      <c r="FK67" s="58">
        <v>103.68899999999999</v>
      </c>
      <c r="FL67" s="58">
        <v>93.658000000000001</v>
      </c>
      <c r="FM67" s="58">
        <v>42.485999999999997</v>
      </c>
      <c r="FN67" s="58">
        <v>28.542000000000002</v>
      </c>
      <c r="FO67" s="58">
        <v>13.944000000000001</v>
      </c>
      <c r="FP67" s="58">
        <v>16.302</v>
      </c>
      <c r="FQ67" s="58">
        <v>13.676</v>
      </c>
      <c r="FR67" s="58">
        <v>2.6269999999999998</v>
      </c>
      <c r="FS67" s="58">
        <v>9.5310000000000006</v>
      </c>
      <c r="FT67" s="58">
        <v>8.516</v>
      </c>
      <c r="FU67" s="58">
        <v>1.0149999999999999</v>
      </c>
      <c r="FV67" s="58">
        <v>6.7720000000000002</v>
      </c>
      <c r="FW67" s="58">
        <v>5.16</v>
      </c>
      <c r="FX67" s="58">
        <v>1.6120000000000001</v>
      </c>
      <c r="FY67" s="58">
        <v>26.183</v>
      </c>
      <c r="FZ67" s="58">
        <v>14.866</v>
      </c>
      <c r="GA67" s="58">
        <v>11.317</v>
      </c>
      <c r="GB67" s="58">
        <v>168.51900000000001</v>
      </c>
      <c r="GC67" s="58">
        <v>84.980999999999995</v>
      </c>
      <c r="GD67" s="58">
        <v>83.537999999999997</v>
      </c>
      <c r="GE67" s="58">
        <v>60.307000000000002</v>
      </c>
      <c r="GF67" s="58">
        <v>41.058</v>
      </c>
      <c r="GG67" s="58">
        <v>19.248999999999999</v>
      </c>
      <c r="GH67" s="58">
        <v>108.212</v>
      </c>
      <c r="GI67" s="58">
        <v>43.923000000000002</v>
      </c>
      <c r="GJ67" s="58">
        <v>64.289000000000001</v>
      </c>
      <c r="GK67" s="58">
        <v>73.486000000000004</v>
      </c>
      <c r="GL67" s="58">
        <v>51.695999999999998</v>
      </c>
      <c r="GM67" s="58">
        <v>21.79</v>
      </c>
      <c r="GN67" s="58">
        <v>123.861</v>
      </c>
      <c r="GO67" s="58">
        <v>51.993000000000002</v>
      </c>
      <c r="GP67" s="58">
        <v>71.867999999999995</v>
      </c>
      <c r="GQ67" s="58">
        <v>117.74299999999999</v>
      </c>
      <c r="GR67" s="58">
        <v>52.439</v>
      </c>
      <c r="GS67" s="58">
        <v>65.304000000000002</v>
      </c>
      <c r="GT67" s="58">
        <v>563.43399999999997</v>
      </c>
      <c r="GU67" s="58">
        <v>341.61399999999998</v>
      </c>
      <c r="GV67" s="58">
        <v>221.82</v>
      </c>
      <c r="GW67" s="58">
        <v>262.81400000000002</v>
      </c>
      <c r="GX67" s="58">
        <v>187.90600000000001</v>
      </c>
      <c r="GY67" s="58">
        <v>74.909000000000006</v>
      </c>
      <c r="GZ67" s="58">
        <v>300.62</v>
      </c>
      <c r="HA67" s="58">
        <v>153.708</v>
      </c>
      <c r="HB67" s="58">
        <v>146.911</v>
      </c>
      <c r="HC67" s="58">
        <v>50.328000000000003</v>
      </c>
      <c r="HD67" s="58">
        <v>31.77</v>
      </c>
      <c r="HE67" s="58">
        <v>18.558</v>
      </c>
      <c r="HF67" s="58">
        <v>24.305</v>
      </c>
      <c r="HG67" s="58">
        <v>16.675000000000001</v>
      </c>
      <c r="HH67" s="58">
        <v>7.6310000000000002</v>
      </c>
      <c r="HI67" s="58">
        <v>8.2100000000000009</v>
      </c>
      <c r="HJ67" s="58">
        <v>6.335</v>
      </c>
      <c r="HK67" s="58">
        <v>1.8759999999999999</v>
      </c>
      <c r="HL67" s="58">
        <v>6.657</v>
      </c>
      <c r="HM67" s="58">
        <v>5.1420000000000003</v>
      </c>
      <c r="HN67" s="58">
        <v>1.5149999999999999</v>
      </c>
      <c r="HO67" s="58">
        <v>1.5529999999999999</v>
      </c>
      <c r="HP67" s="58">
        <v>1.1930000000000001</v>
      </c>
      <c r="HQ67" s="58">
        <v>0.36</v>
      </c>
      <c r="HR67" s="58">
        <v>16.094999999999999</v>
      </c>
      <c r="HS67" s="58">
        <v>10.34</v>
      </c>
      <c r="HT67" s="58">
        <v>5.7549999999999999</v>
      </c>
      <c r="HU67" s="58">
        <v>29.667999999999999</v>
      </c>
      <c r="HV67" s="58">
        <v>18.306999999999999</v>
      </c>
      <c r="HW67" s="58">
        <v>11.361000000000001</v>
      </c>
      <c r="HX67" s="58">
        <v>6.4980000000000002</v>
      </c>
      <c r="HY67" s="58">
        <v>4.9649999999999999</v>
      </c>
      <c r="HZ67" s="58">
        <v>1.5329999999999999</v>
      </c>
      <c r="IA67" s="58">
        <v>23.17</v>
      </c>
      <c r="IB67" s="58">
        <v>13.342000000000001</v>
      </c>
      <c r="IC67" s="58">
        <v>9.8279999999999994</v>
      </c>
      <c r="ID67" s="58">
        <v>14.048</v>
      </c>
      <c r="IE67" s="58">
        <v>10.638999999999999</v>
      </c>
      <c r="IF67" s="58">
        <v>3.4089999999999998</v>
      </c>
      <c r="IG67" s="58">
        <v>36.28</v>
      </c>
      <c r="IH67" s="58">
        <v>21.131</v>
      </c>
      <c r="II67" s="58">
        <v>15.148999999999999</v>
      </c>
      <c r="IJ67" s="58">
        <v>29.827000000000002</v>
      </c>
      <c r="IK67" s="58">
        <v>18.484000000000002</v>
      </c>
      <c r="IL67" s="58">
        <v>11.343</v>
      </c>
      <c r="IM67" s="58">
        <v>4090.9870000000001</v>
      </c>
      <c r="IN67" s="58">
        <v>2180.4769999999999</v>
      </c>
      <c r="IO67" s="58">
        <v>1910.51</v>
      </c>
      <c r="IP67" s="58">
        <v>2825.212</v>
      </c>
      <c r="IQ67" s="58">
        <v>1761.12</v>
      </c>
    </row>
    <row r="68" spans="1:251">
      <c r="A68" s="5">
        <v>43556</v>
      </c>
      <c r="B68" s="58">
        <v>14.349</v>
      </c>
      <c r="C68" s="58">
        <v>19.986999999999998</v>
      </c>
      <c r="D68" s="58">
        <v>395.40899999999999</v>
      </c>
      <c r="E68" s="58">
        <v>238.81899999999999</v>
      </c>
      <c r="F68" s="58">
        <v>156.59</v>
      </c>
      <c r="G68" s="58">
        <v>193.64599999999999</v>
      </c>
      <c r="H68" s="58">
        <v>148.13999999999999</v>
      </c>
      <c r="I68" s="58">
        <v>45.506</v>
      </c>
      <c r="J68" s="58">
        <v>201.76300000000001</v>
      </c>
      <c r="K68" s="58">
        <v>90.679000000000002</v>
      </c>
      <c r="L68" s="58">
        <v>111.084</v>
      </c>
      <c r="M68" s="58">
        <v>215.078</v>
      </c>
      <c r="N68" s="58">
        <v>163.63800000000001</v>
      </c>
      <c r="O68" s="58">
        <v>51.44</v>
      </c>
      <c r="P68" s="58">
        <v>215.702</v>
      </c>
      <c r="Q68" s="58">
        <v>95.15</v>
      </c>
      <c r="R68" s="58">
        <v>120.55200000000001</v>
      </c>
      <c r="S68" s="58">
        <v>221.24600000000001</v>
      </c>
      <c r="T68" s="58">
        <v>104.979</v>
      </c>
      <c r="U68" s="58">
        <v>116.267</v>
      </c>
      <c r="V68" s="58">
        <v>2764.25</v>
      </c>
      <c r="W68" s="58">
        <v>1482.723</v>
      </c>
      <c r="X68" s="58">
        <v>1281.527</v>
      </c>
      <c r="Y68" s="58">
        <v>2058.1799999999998</v>
      </c>
      <c r="Z68" s="58">
        <v>1347.5139999999999</v>
      </c>
      <c r="AA68" s="58">
        <v>710.66600000000005</v>
      </c>
      <c r="AB68" s="58">
        <v>706.07</v>
      </c>
      <c r="AC68" s="58">
        <v>135.209</v>
      </c>
      <c r="AD68" s="58">
        <v>570.86099999999999</v>
      </c>
      <c r="AE68" s="58">
        <v>344.577</v>
      </c>
      <c r="AF68" s="58">
        <v>174.34100000000001</v>
      </c>
      <c r="AG68" s="58">
        <v>170.23599999999999</v>
      </c>
      <c r="AH68" s="58">
        <v>60.14</v>
      </c>
      <c r="AI68" s="58">
        <v>35.826000000000001</v>
      </c>
      <c r="AJ68" s="58">
        <v>24.314</v>
      </c>
      <c r="AK68" s="58">
        <v>28.724</v>
      </c>
      <c r="AL68" s="58">
        <v>23.300999999999998</v>
      </c>
      <c r="AM68" s="58">
        <v>5.4240000000000004</v>
      </c>
      <c r="AN68" s="58">
        <v>13.249000000000001</v>
      </c>
      <c r="AO68" s="58">
        <v>9.968</v>
      </c>
      <c r="AP68" s="58">
        <v>3.2810000000000001</v>
      </c>
      <c r="AQ68" s="58">
        <v>15.475</v>
      </c>
      <c r="AR68" s="58">
        <v>13.332000000000001</v>
      </c>
      <c r="AS68" s="58">
        <v>2.1419999999999999</v>
      </c>
      <c r="AT68" s="58">
        <v>31.414999999999999</v>
      </c>
      <c r="AU68" s="58">
        <v>12.525</v>
      </c>
      <c r="AV68" s="58">
        <v>18.890999999999998</v>
      </c>
      <c r="AW68" s="58">
        <v>316.68700000000001</v>
      </c>
      <c r="AX68" s="58">
        <v>156.49</v>
      </c>
      <c r="AY68" s="58">
        <v>160.19800000000001</v>
      </c>
      <c r="AZ68" s="58">
        <v>133.31399999999999</v>
      </c>
      <c r="BA68" s="58">
        <v>102.33499999999999</v>
      </c>
      <c r="BB68" s="58">
        <v>30.978999999999999</v>
      </c>
      <c r="BC68" s="58">
        <v>183.374</v>
      </c>
      <c r="BD68" s="58">
        <v>54.155000000000001</v>
      </c>
      <c r="BE68" s="58">
        <v>129.21899999999999</v>
      </c>
      <c r="BF68" s="58">
        <v>153.1</v>
      </c>
      <c r="BG68" s="58">
        <v>117.94</v>
      </c>
      <c r="BH68" s="58">
        <v>35.159999999999997</v>
      </c>
      <c r="BI68" s="58">
        <v>191.477</v>
      </c>
      <c r="BJ68" s="58">
        <v>56.401000000000003</v>
      </c>
      <c r="BK68" s="58">
        <v>135.07599999999999</v>
      </c>
      <c r="BL68" s="58">
        <v>196.62299999999999</v>
      </c>
      <c r="BM68" s="58">
        <v>64.123000000000005</v>
      </c>
      <c r="BN68" s="58">
        <v>132.5</v>
      </c>
      <c r="BO68" s="58">
        <v>2616.3249999999998</v>
      </c>
      <c r="BP68" s="58">
        <v>1344.8320000000001</v>
      </c>
      <c r="BQ68" s="58">
        <v>1271.4929999999999</v>
      </c>
      <c r="BR68" s="58">
        <v>1949.48</v>
      </c>
      <c r="BS68" s="58">
        <v>1208.386</v>
      </c>
      <c r="BT68" s="58">
        <v>741.09400000000005</v>
      </c>
      <c r="BU68" s="58">
        <v>666.84500000000003</v>
      </c>
      <c r="BV68" s="58">
        <v>136.446</v>
      </c>
      <c r="BW68" s="58">
        <v>530.399</v>
      </c>
      <c r="BX68" s="58">
        <v>315.13600000000002</v>
      </c>
      <c r="BY68" s="58">
        <v>151.70400000000001</v>
      </c>
      <c r="BZ68" s="58">
        <v>163.43199999999999</v>
      </c>
      <c r="CA68" s="58">
        <v>63.942999999999998</v>
      </c>
      <c r="CB68" s="58">
        <v>35.055999999999997</v>
      </c>
      <c r="CC68" s="58">
        <v>28.887</v>
      </c>
      <c r="CD68" s="58">
        <v>28.754000000000001</v>
      </c>
      <c r="CE68" s="58">
        <v>21.905000000000001</v>
      </c>
      <c r="CF68" s="58">
        <v>6.8490000000000002</v>
      </c>
      <c r="CG68" s="58">
        <v>14.920999999999999</v>
      </c>
      <c r="CH68" s="58">
        <v>11.313000000000001</v>
      </c>
      <c r="CI68" s="58">
        <v>3.609</v>
      </c>
      <c r="CJ68" s="58">
        <v>13.833</v>
      </c>
      <c r="CK68" s="58">
        <v>10.593</v>
      </c>
      <c r="CL68" s="58">
        <v>3.2410000000000001</v>
      </c>
      <c r="CM68" s="58">
        <v>35.188000000000002</v>
      </c>
      <c r="CN68" s="58">
        <v>13.15</v>
      </c>
      <c r="CO68" s="58">
        <v>22.038</v>
      </c>
      <c r="CP68" s="58">
        <v>277.55099999999999</v>
      </c>
      <c r="CQ68" s="58">
        <v>133.77600000000001</v>
      </c>
      <c r="CR68" s="58">
        <v>143.77500000000001</v>
      </c>
      <c r="CS68" s="58">
        <v>111.157</v>
      </c>
      <c r="CT68" s="58">
        <v>78.975999999999999</v>
      </c>
      <c r="CU68" s="58">
        <v>32.180999999999997</v>
      </c>
      <c r="CV68" s="58">
        <v>166.39500000000001</v>
      </c>
      <c r="CW68" s="58">
        <v>54.8</v>
      </c>
      <c r="CX68" s="58">
        <v>111.595</v>
      </c>
      <c r="CY68" s="58">
        <v>132.13300000000001</v>
      </c>
      <c r="CZ68" s="58">
        <v>93.599000000000004</v>
      </c>
      <c r="DA68" s="58">
        <v>38.533999999999999</v>
      </c>
      <c r="DB68" s="58">
        <v>183.00299999999999</v>
      </c>
      <c r="DC68" s="58">
        <v>58.103999999999999</v>
      </c>
      <c r="DD68" s="58">
        <v>124.898</v>
      </c>
      <c r="DE68" s="58">
        <v>181.316</v>
      </c>
      <c r="DF68" s="58">
        <v>66.113</v>
      </c>
      <c r="DG68" s="58">
        <v>115.203</v>
      </c>
      <c r="DH68" s="58">
        <v>2450.2649999999999</v>
      </c>
      <c r="DI68" s="58">
        <v>1345.5719999999999</v>
      </c>
      <c r="DJ68" s="58">
        <v>1104.693</v>
      </c>
      <c r="DK68" s="58">
        <v>1554.1389999999999</v>
      </c>
      <c r="DL68" s="58">
        <v>1017.853</v>
      </c>
      <c r="DM68" s="58">
        <v>536.28700000000003</v>
      </c>
      <c r="DN68" s="58">
        <v>896.12599999999998</v>
      </c>
      <c r="DO68" s="58">
        <v>327.71899999999999</v>
      </c>
      <c r="DP68" s="58">
        <v>568.40700000000004</v>
      </c>
      <c r="DQ68" s="58">
        <v>250.59200000000001</v>
      </c>
      <c r="DR68" s="58">
        <v>140.44999999999999</v>
      </c>
      <c r="DS68" s="58">
        <v>110.142</v>
      </c>
      <c r="DT68" s="58">
        <v>74.701999999999998</v>
      </c>
      <c r="DU68" s="58">
        <v>50.277000000000001</v>
      </c>
      <c r="DV68" s="58">
        <v>24.425999999999998</v>
      </c>
      <c r="DW68" s="58">
        <v>25.995999999999999</v>
      </c>
      <c r="DX68" s="58">
        <v>21.427</v>
      </c>
      <c r="DY68" s="58">
        <v>4.569</v>
      </c>
      <c r="DZ68" s="58">
        <v>15.699</v>
      </c>
      <c r="EA68" s="58">
        <v>12.592000000000001</v>
      </c>
      <c r="EB68" s="58">
        <v>3.1070000000000002</v>
      </c>
      <c r="EC68" s="58">
        <v>10.297000000000001</v>
      </c>
      <c r="ED68" s="58">
        <v>8.8350000000000009</v>
      </c>
      <c r="EE68" s="58">
        <v>1.462</v>
      </c>
      <c r="EF68" s="58">
        <v>48.707000000000001</v>
      </c>
      <c r="EG68" s="58">
        <v>28.85</v>
      </c>
      <c r="EH68" s="58">
        <v>19.856999999999999</v>
      </c>
      <c r="EI68" s="58">
        <v>203.44800000000001</v>
      </c>
      <c r="EJ68" s="58">
        <v>108.069</v>
      </c>
      <c r="EK68" s="58">
        <v>95.379000000000005</v>
      </c>
      <c r="EL68" s="58">
        <v>67.153000000000006</v>
      </c>
      <c r="EM68" s="58">
        <v>46.057000000000002</v>
      </c>
      <c r="EN68" s="58">
        <v>21.096</v>
      </c>
      <c r="EO68" s="58">
        <v>136.29499999999999</v>
      </c>
      <c r="EP68" s="58">
        <v>62.012</v>
      </c>
      <c r="EQ68" s="58">
        <v>74.283000000000001</v>
      </c>
      <c r="ER68" s="58">
        <v>86.156999999999996</v>
      </c>
      <c r="ES68" s="58">
        <v>62.430999999999997</v>
      </c>
      <c r="ET68" s="58">
        <v>23.725999999999999</v>
      </c>
      <c r="EU68" s="58">
        <v>164.435</v>
      </c>
      <c r="EV68" s="58">
        <v>78.018000000000001</v>
      </c>
      <c r="EW68" s="58">
        <v>86.415999999999997</v>
      </c>
      <c r="EX68" s="58">
        <v>151.994</v>
      </c>
      <c r="EY68" s="58">
        <v>74.603999999999999</v>
      </c>
      <c r="EZ68" s="58">
        <v>77.39</v>
      </c>
      <c r="FA68" s="58">
        <v>1882.788</v>
      </c>
      <c r="FB68" s="58">
        <v>998.79300000000001</v>
      </c>
      <c r="FC68" s="58">
        <v>883.995</v>
      </c>
      <c r="FD68" s="58">
        <v>1294.1369999999999</v>
      </c>
      <c r="FE68" s="58">
        <v>833.476</v>
      </c>
      <c r="FF68" s="58">
        <v>460.661</v>
      </c>
      <c r="FG68" s="58">
        <v>588.65099999999995</v>
      </c>
      <c r="FH68" s="58">
        <v>165.31700000000001</v>
      </c>
      <c r="FI68" s="58">
        <v>423.33300000000003</v>
      </c>
      <c r="FJ68" s="58">
        <v>196.48</v>
      </c>
      <c r="FK68" s="58">
        <v>104.176</v>
      </c>
      <c r="FL68" s="58">
        <v>92.304000000000002</v>
      </c>
      <c r="FM68" s="58">
        <v>47.430999999999997</v>
      </c>
      <c r="FN68" s="58">
        <v>30.128</v>
      </c>
      <c r="FO68" s="58">
        <v>17.303000000000001</v>
      </c>
      <c r="FP68" s="58">
        <v>19.114999999999998</v>
      </c>
      <c r="FQ68" s="58">
        <v>16.385999999999999</v>
      </c>
      <c r="FR68" s="58">
        <v>2.7290000000000001</v>
      </c>
      <c r="FS68" s="58">
        <v>11.648999999999999</v>
      </c>
      <c r="FT68" s="58">
        <v>9.827</v>
      </c>
      <c r="FU68" s="58">
        <v>1.8220000000000001</v>
      </c>
      <c r="FV68" s="58">
        <v>7.4660000000000002</v>
      </c>
      <c r="FW68" s="58">
        <v>6.56</v>
      </c>
      <c r="FX68" s="58">
        <v>0.90700000000000003</v>
      </c>
      <c r="FY68" s="58">
        <v>28.315999999999999</v>
      </c>
      <c r="FZ68" s="58">
        <v>13.742000000000001</v>
      </c>
      <c r="GA68" s="58">
        <v>14.574</v>
      </c>
      <c r="GB68" s="58">
        <v>169.44</v>
      </c>
      <c r="GC68" s="58">
        <v>85.83</v>
      </c>
      <c r="GD68" s="58">
        <v>83.61</v>
      </c>
      <c r="GE68" s="58">
        <v>58.642000000000003</v>
      </c>
      <c r="GF68" s="58">
        <v>40.241</v>
      </c>
      <c r="GG68" s="58">
        <v>18.401</v>
      </c>
      <c r="GH68" s="58">
        <v>110.798</v>
      </c>
      <c r="GI68" s="58">
        <v>45.588999999999999</v>
      </c>
      <c r="GJ68" s="58">
        <v>65.209000000000003</v>
      </c>
      <c r="GK68" s="58">
        <v>72.015000000000001</v>
      </c>
      <c r="GL68" s="58">
        <v>52.09</v>
      </c>
      <c r="GM68" s="58">
        <v>19.923999999999999</v>
      </c>
      <c r="GN68" s="58">
        <v>124.465</v>
      </c>
      <c r="GO68" s="58">
        <v>52.085999999999999</v>
      </c>
      <c r="GP68" s="58">
        <v>72.379000000000005</v>
      </c>
      <c r="GQ68" s="58">
        <v>122.446</v>
      </c>
      <c r="GR68" s="58">
        <v>55.415999999999997</v>
      </c>
      <c r="GS68" s="58">
        <v>67.031000000000006</v>
      </c>
      <c r="GT68" s="58">
        <v>567.47699999999998</v>
      </c>
      <c r="GU68" s="58">
        <v>346.779</v>
      </c>
      <c r="GV68" s="58">
        <v>220.69800000000001</v>
      </c>
      <c r="GW68" s="58">
        <v>260.00200000000001</v>
      </c>
      <c r="GX68" s="58">
        <v>184.37700000000001</v>
      </c>
      <c r="GY68" s="58">
        <v>75.625</v>
      </c>
      <c r="GZ68" s="58">
        <v>307.47500000000002</v>
      </c>
      <c r="HA68" s="58">
        <v>162.40199999999999</v>
      </c>
      <c r="HB68" s="58">
        <v>145.07300000000001</v>
      </c>
      <c r="HC68" s="58">
        <v>54.112000000000002</v>
      </c>
      <c r="HD68" s="58">
        <v>36.274000000000001</v>
      </c>
      <c r="HE68" s="58">
        <v>17.838000000000001</v>
      </c>
      <c r="HF68" s="58">
        <v>27.271999999999998</v>
      </c>
      <c r="HG68" s="58">
        <v>20.149000000000001</v>
      </c>
      <c r="HH68" s="58">
        <v>7.1230000000000002</v>
      </c>
      <c r="HI68" s="58">
        <v>6.8810000000000002</v>
      </c>
      <c r="HJ68" s="58">
        <v>5.0410000000000004</v>
      </c>
      <c r="HK68" s="58">
        <v>1.84</v>
      </c>
      <c r="HL68" s="58">
        <v>4.05</v>
      </c>
      <c r="HM68" s="58">
        <v>2.7650000000000001</v>
      </c>
      <c r="HN68" s="58">
        <v>1.284</v>
      </c>
      <c r="HO68" s="58">
        <v>2.831</v>
      </c>
      <c r="HP68" s="58">
        <v>2.2749999999999999</v>
      </c>
      <c r="HQ68" s="58">
        <v>0.55600000000000005</v>
      </c>
      <c r="HR68" s="58">
        <v>20.390999999999998</v>
      </c>
      <c r="HS68" s="58">
        <v>15.108000000000001</v>
      </c>
      <c r="HT68" s="58">
        <v>5.2830000000000004</v>
      </c>
      <c r="HU68" s="58">
        <v>34.008000000000003</v>
      </c>
      <c r="HV68" s="58">
        <v>22.239000000000001</v>
      </c>
      <c r="HW68" s="58">
        <v>11.769</v>
      </c>
      <c r="HX68" s="58">
        <v>8.5109999999999992</v>
      </c>
      <c r="HY68" s="58">
        <v>5.8159999999999998</v>
      </c>
      <c r="HZ68" s="58">
        <v>2.6949999999999998</v>
      </c>
      <c r="IA68" s="58">
        <v>25.498000000000001</v>
      </c>
      <c r="IB68" s="58">
        <v>16.422999999999998</v>
      </c>
      <c r="IC68" s="58">
        <v>9.0739999999999998</v>
      </c>
      <c r="ID68" s="58">
        <v>14.143000000000001</v>
      </c>
      <c r="IE68" s="58">
        <v>10.340999999999999</v>
      </c>
      <c r="IF68" s="58">
        <v>3.802</v>
      </c>
      <c r="IG68" s="58">
        <v>39.97</v>
      </c>
      <c r="IH68" s="58">
        <v>25.933</v>
      </c>
      <c r="II68" s="58">
        <v>14.037000000000001</v>
      </c>
      <c r="IJ68" s="58">
        <v>29.547999999999998</v>
      </c>
      <c r="IK68" s="58">
        <v>19.189</v>
      </c>
      <c r="IL68" s="58">
        <v>10.359</v>
      </c>
      <c r="IM68" s="58">
        <v>4130.4319999999998</v>
      </c>
      <c r="IN68" s="58">
        <v>2204.41</v>
      </c>
      <c r="IO68" s="58">
        <v>1926.0219999999999</v>
      </c>
      <c r="IP68" s="58">
        <v>2838.163</v>
      </c>
      <c r="IQ68" s="58">
        <v>1756.0909999999999</v>
      </c>
    </row>
    <row r="69" spans="1:251">
      <c r="A69" s="5">
        <v>43586</v>
      </c>
      <c r="B69" s="58">
        <v>16.414999999999999</v>
      </c>
      <c r="C69" s="58">
        <v>19.163</v>
      </c>
      <c r="D69" s="58">
        <v>412.43099999999998</v>
      </c>
      <c r="E69" s="58">
        <v>249.08799999999999</v>
      </c>
      <c r="F69" s="58">
        <v>163.34299999999999</v>
      </c>
      <c r="G69" s="58">
        <v>202.54599999999999</v>
      </c>
      <c r="H69" s="58">
        <v>153.29400000000001</v>
      </c>
      <c r="I69" s="58">
        <v>49.252000000000002</v>
      </c>
      <c r="J69" s="58">
        <v>209.88399999999999</v>
      </c>
      <c r="K69" s="58">
        <v>95.793000000000006</v>
      </c>
      <c r="L69" s="58">
        <v>114.09099999999999</v>
      </c>
      <c r="M69" s="58">
        <v>228.47399999999999</v>
      </c>
      <c r="N69" s="58">
        <v>174.001</v>
      </c>
      <c r="O69" s="58">
        <v>54.472999999999999</v>
      </c>
      <c r="P69" s="58">
        <v>224.233</v>
      </c>
      <c r="Q69" s="58">
        <v>101.10899999999999</v>
      </c>
      <c r="R69" s="58">
        <v>123.124</v>
      </c>
      <c r="S69" s="58">
        <v>230.102</v>
      </c>
      <c r="T69" s="58">
        <v>111.89</v>
      </c>
      <c r="U69" s="58">
        <v>118.212</v>
      </c>
      <c r="V69" s="58">
        <v>2768.3620000000001</v>
      </c>
      <c r="W69" s="58">
        <v>1479.825</v>
      </c>
      <c r="X69" s="58">
        <v>1288.537</v>
      </c>
      <c r="Y69" s="58">
        <v>2058.7020000000002</v>
      </c>
      <c r="Z69" s="58">
        <v>1357.2380000000001</v>
      </c>
      <c r="AA69" s="58">
        <v>701.46400000000006</v>
      </c>
      <c r="AB69" s="58">
        <v>709.66</v>
      </c>
      <c r="AC69" s="58">
        <v>122.587</v>
      </c>
      <c r="AD69" s="58">
        <v>587.072</v>
      </c>
      <c r="AE69" s="58">
        <v>346.04500000000002</v>
      </c>
      <c r="AF69" s="58">
        <v>172.74700000000001</v>
      </c>
      <c r="AG69" s="58">
        <v>173.298</v>
      </c>
      <c r="AH69" s="58">
        <v>64.872</v>
      </c>
      <c r="AI69" s="58">
        <v>33.598999999999997</v>
      </c>
      <c r="AJ69" s="58">
        <v>31.273</v>
      </c>
      <c r="AK69" s="58">
        <v>29.626000000000001</v>
      </c>
      <c r="AL69" s="58">
        <v>22.984000000000002</v>
      </c>
      <c r="AM69" s="58">
        <v>6.6420000000000003</v>
      </c>
      <c r="AN69" s="58">
        <v>15.618</v>
      </c>
      <c r="AO69" s="58">
        <v>10.722</v>
      </c>
      <c r="AP69" s="58">
        <v>4.8959999999999999</v>
      </c>
      <c r="AQ69" s="58">
        <v>14.007999999999999</v>
      </c>
      <c r="AR69" s="58">
        <v>12.263</v>
      </c>
      <c r="AS69" s="58">
        <v>1.7450000000000001</v>
      </c>
      <c r="AT69" s="58">
        <v>35.246000000000002</v>
      </c>
      <c r="AU69" s="58">
        <v>10.615</v>
      </c>
      <c r="AV69" s="58">
        <v>24.631</v>
      </c>
      <c r="AW69" s="58">
        <v>312.30200000000002</v>
      </c>
      <c r="AX69" s="58">
        <v>153.96700000000001</v>
      </c>
      <c r="AY69" s="58">
        <v>158.33500000000001</v>
      </c>
      <c r="AZ69" s="58">
        <v>137.26900000000001</v>
      </c>
      <c r="BA69" s="58">
        <v>105.39400000000001</v>
      </c>
      <c r="BB69" s="58">
        <v>31.875</v>
      </c>
      <c r="BC69" s="58">
        <v>175.03299999999999</v>
      </c>
      <c r="BD69" s="58">
        <v>48.573</v>
      </c>
      <c r="BE69" s="58">
        <v>126.46</v>
      </c>
      <c r="BF69" s="58">
        <v>157.24799999999999</v>
      </c>
      <c r="BG69" s="58">
        <v>120.854</v>
      </c>
      <c r="BH69" s="58">
        <v>36.393999999999998</v>
      </c>
      <c r="BI69" s="58">
        <v>188.79599999999999</v>
      </c>
      <c r="BJ69" s="58">
        <v>51.892000000000003</v>
      </c>
      <c r="BK69" s="58">
        <v>136.904</v>
      </c>
      <c r="BL69" s="58">
        <v>190.65100000000001</v>
      </c>
      <c r="BM69" s="58">
        <v>59.295000000000002</v>
      </c>
      <c r="BN69" s="58">
        <v>131.35599999999999</v>
      </c>
      <c r="BO69" s="58">
        <v>2631.61</v>
      </c>
      <c r="BP69" s="58">
        <v>1354.578</v>
      </c>
      <c r="BQ69" s="58">
        <v>1277.0319999999999</v>
      </c>
      <c r="BR69" s="58">
        <v>1975.067</v>
      </c>
      <c r="BS69" s="58">
        <v>1221.1320000000001</v>
      </c>
      <c r="BT69" s="58">
        <v>753.93499999999995</v>
      </c>
      <c r="BU69" s="58">
        <v>656.54300000000001</v>
      </c>
      <c r="BV69" s="58">
        <v>133.446</v>
      </c>
      <c r="BW69" s="58">
        <v>523.09699999999998</v>
      </c>
      <c r="BX69" s="58">
        <v>333.142</v>
      </c>
      <c r="BY69" s="58">
        <v>162.714</v>
      </c>
      <c r="BZ69" s="58">
        <v>170.428</v>
      </c>
      <c r="CA69" s="58">
        <v>69.116</v>
      </c>
      <c r="CB69" s="58">
        <v>37.305</v>
      </c>
      <c r="CC69" s="58">
        <v>31.812000000000001</v>
      </c>
      <c r="CD69" s="58">
        <v>30.084</v>
      </c>
      <c r="CE69" s="58">
        <v>22.888000000000002</v>
      </c>
      <c r="CF69" s="58">
        <v>7.1970000000000001</v>
      </c>
      <c r="CG69" s="58">
        <v>16.009</v>
      </c>
      <c r="CH69" s="58">
        <v>12.499000000000001</v>
      </c>
      <c r="CI69" s="58">
        <v>3.5110000000000001</v>
      </c>
      <c r="CJ69" s="58">
        <v>14.074999999999999</v>
      </c>
      <c r="CK69" s="58">
        <v>10.388999999999999</v>
      </c>
      <c r="CL69" s="58">
        <v>3.6859999999999999</v>
      </c>
      <c r="CM69" s="58">
        <v>39.031999999999996</v>
      </c>
      <c r="CN69" s="58">
        <v>14.417</v>
      </c>
      <c r="CO69" s="58">
        <v>24.614999999999998</v>
      </c>
      <c r="CP69" s="58">
        <v>297.01299999999998</v>
      </c>
      <c r="CQ69" s="58">
        <v>142.22399999999999</v>
      </c>
      <c r="CR69" s="58">
        <v>154.78899999999999</v>
      </c>
      <c r="CS69" s="58">
        <v>122.996</v>
      </c>
      <c r="CT69" s="58">
        <v>89.929000000000002</v>
      </c>
      <c r="CU69" s="58">
        <v>33.067</v>
      </c>
      <c r="CV69" s="58">
        <v>174.01599999999999</v>
      </c>
      <c r="CW69" s="58">
        <v>52.293999999999997</v>
      </c>
      <c r="CX69" s="58">
        <v>121.72199999999999</v>
      </c>
      <c r="CY69" s="58">
        <v>144.858</v>
      </c>
      <c r="CZ69" s="58">
        <v>106.09099999999999</v>
      </c>
      <c r="DA69" s="58">
        <v>38.767000000000003</v>
      </c>
      <c r="DB69" s="58">
        <v>188.28399999999999</v>
      </c>
      <c r="DC69" s="58">
        <v>56.624000000000002</v>
      </c>
      <c r="DD69" s="58">
        <v>131.66</v>
      </c>
      <c r="DE69" s="58">
        <v>190.02600000000001</v>
      </c>
      <c r="DF69" s="58">
        <v>64.793000000000006</v>
      </c>
      <c r="DG69" s="58">
        <v>125.232</v>
      </c>
      <c r="DH69" s="58">
        <v>2498.4319999999998</v>
      </c>
      <c r="DI69" s="58">
        <v>1382.6279999999999</v>
      </c>
      <c r="DJ69" s="58">
        <v>1115.8040000000001</v>
      </c>
      <c r="DK69" s="58">
        <v>1556.444</v>
      </c>
      <c r="DL69" s="58">
        <v>1031.5070000000001</v>
      </c>
      <c r="DM69" s="58">
        <v>524.93700000000001</v>
      </c>
      <c r="DN69" s="58">
        <v>941.98900000000003</v>
      </c>
      <c r="DO69" s="58">
        <v>351.12200000000001</v>
      </c>
      <c r="DP69" s="58">
        <v>590.86699999999996</v>
      </c>
      <c r="DQ69" s="58">
        <v>265.20699999999999</v>
      </c>
      <c r="DR69" s="58">
        <v>155.37100000000001</v>
      </c>
      <c r="DS69" s="58">
        <v>109.837</v>
      </c>
      <c r="DT69" s="58">
        <v>88.435000000000002</v>
      </c>
      <c r="DU69" s="58">
        <v>57.454000000000001</v>
      </c>
      <c r="DV69" s="58">
        <v>30.98</v>
      </c>
      <c r="DW69" s="58">
        <v>29.481000000000002</v>
      </c>
      <c r="DX69" s="58">
        <v>24.344999999999999</v>
      </c>
      <c r="DY69" s="58">
        <v>5.1349999999999998</v>
      </c>
      <c r="DZ69" s="58">
        <v>17.271000000000001</v>
      </c>
      <c r="EA69" s="58">
        <v>14.968999999999999</v>
      </c>
      <c r="EB69" s="58">
        <v>2.302</v>
      </c>
      <c r="EC69" s="58">
        <v>12.21</v>
      </c>
      <c r="ED69" s="58">
        <v>9.3770000000000007</v>
      </c>
      <c r="EE69" s="58">
        <v>2.8330000000000002</v>
      </c>
      <c r="EF69" s="58">
        <v>58.954000000000001</v>
      </c>
      <c r="EG69" s="58">
        <v>33.109000000000002</v>
      </c>
      <c r="EH69" s="58">
        <v>25.844999999999999</v>
      </c>
      <c r="EI69" s="58">
        <v>206.994</v>
      </c>
      <c r="EJ69" s="58">
        <v>116.46299999999999</v>
      </c>
      <c r="EK69" s="58">
        <v>90.531000000000006</v>
      </c>
      <c r="EL69" s="58">
        <v>68.197000000000003</v>
      </c>
      <c r="EM69" s="58">
        <v>47.651000000000003</v>
      </c>
      <c r="EN69" s="58">
        <v>20.545999999999999</v>
      </c>
      <c r="EO69" s="58">
        <v>138.798</v>
      </c>
      <c r="EP69" s="58">
        <v>68.811999999999998</v>
      </c>
      <c r="EQ69" s="58">
        <v>69.986000000000004</v>
      </c>
      <c r="ER69" s="58">
        <v>91.876000000000005</v>
      </c>
      <c r="ES69" s="58">
        <v>66.778000000000006</v>
      </c>
      <c r="ET69" s="58">
        <v>25.099</v>
      </c>
      <c r="EU69" s="58">
        <v>173.33099999999999</v>
      </c>
      <c r="EV69" s="58">
        <v>88.593000000000004</v>
      </c>
      <c r="EW69" s="58">
        <v>84.738</v>
      </c>
      <c r="EX69" s="58">
        <v>156.06899999999999</v>
      </c>
      <c r="EY69" s="58">
        <v>83.781000000000006</v>
      </c>
      <c r="EZ69" s="58">
        <v>72.287999999999997</v>
      </c>
      <c r="FA69" s="58">
        <v>1897.92</v>
      </c>
      <c r="FB69" s="58">
        <v>1015.923</v>
      </c>
      <c r="FC69" s="58">
        <v>881.99699999999996</v>
      </c>
      <c r="FD69" s="58">
        <v>1288.75</v>
      </c>
      <c r="FE69" s="58">
        <v>840.21299999999997</v>
      </c>
      <c r="FF69" s="58">
        <v>448.53699999999998</v>
      </c>
      <c r="FG69" s="58">
        <v>609.16999999999996</v>
      </c>
      <c r="FH69" s="58">
        <v>175.709</v>
      </c>
      <c r="FI69" s="58">
        <v>433.46</v>
      </c>
      <c r="FJ69" s="58">
        <v>214.322</v>
      </c>
      <c r="FK69" s="58">
        <v>117.86199999999999</v>
      </c>
      <c r="FL69" s="58">
        <v>96.46</v>
      </c>
      <c r="FM69" s="58">
        <v>64.614999999999995</v>
      </c>
      <c r="FN69" s="58">
        <v>38.991999999999997</v>
      </c>
      <c r="FO69" s="58">
        <v>25.623000000000001</v>
      </c>
      <c r="FP69" s="58">
        <v>23.908999999999999</v>
      </c>
      <c r="FQ69" s="58">
        <v>19.692</v>
      </c>
      <c r="FR69" s="58">
        <v>4.2169999999999996</v>
      </c>
      <c r="FS69" s="58">
        <v>14.643000000000001</v>
      </c>
      <c r="FT69" s="58">
        <v>13.013</v>
      </c>
      <c r="FU69" s="58">
        <v>1.63</v>
      </c>
      <c r="FV69" s="58">
        <v>9.266</v>
      </c>
      <c r="FW69" s="58">
        <v>6.6790000000000003</v>
      </c>
      <c r="FX69" s="58">
        <v>2.5870000000000002</v>
      </c>
      <c r="FY69" s="58">
        <v>40.706000000000003</v>
      </c>
      <c r="FZ69" s="58">
        <v>19.3</v>
      </c>
      <c r="GA69" s="58">
        <v>21.405000000000001</v>
      </c>
      <c r="GB69" s="58">
        <v>172.816</v>
      </c>
      <c r="GC69" s="58">
        <v>91.227000000000004</v>
      </c>
      <c r="GD69" s="58">
        <v>81.588999999999999</v>
      </c>
      <c r="GE69" s="58">
        <v>60.323999999999998</v>
      </c>
      <c r="GF69" s="58">
        <v>41.094999999999999</v>
      </c>
      <c r="GG69" s="58">
        <v>19.228999999999999</v>
      </c>
      <c r="GH69" s="58">
        <v>112.492</v>
      </c>
      <c r="GI69" s="58">
        <v>50.131999999999998</v>
      </c>
      <c r="GJ69" s="58">
        <v>62.359000000000002</v>
      </c>
      <c r="GK69" s="58">
        <v>79.430999999999997</v>
      </c>
      <c r="GL69" s="58">
        <v>56.567</v>
      </c>
      <c r="GM69" s="58">
        <v>22.864000000000001</v>
      </c>
      <c r="GN69" s="58">
        <v>134.89099999999999</v>
      </c>
      <c r="GO69" s="58">
        <v>61.295000000000002</v>
      </c>
      <c r="GP69" s="58">
        <v>73.596000000000004</v>
      </c>
      <c r="GQ69" s="58">
        <v>127.13500000000001</v>
      </c>
      <c r="GR69" s="58">
        <v>63.145000000000003</v>
      </c>
      <c r="GS69" s="58">
        <v>63.99</v>
      </c>
      <c r="GT69" s="58">
        <v>600.51300000000003</v>
      </c>
      <c r="GU69" s="58">
        <v>366.70600000000002</v>
      </c>
      <c r="GV69" s="58">
        <v>233.80699999999999</v>
      </c>
      <c r="GW69" s="58">
        <v>267.69400000000002</v>
      </c>
      <c r="GX69" s="58">
        <v>191.29400000000001</v>
      </c>
      <c r="GY69" s="58">
        <v>76.400000000000006</v>
      </c>
      <c r="GZ69" s="58">
        <v>332.81900000000002</v>
      </c>
      <c r="HA69" s="58">
        <v>175.41200000000001</v>
      </c>
      <c r="HB69" s="58">
        <v>157.40700000000001</v>
      </c>
      <c r="HC69" s="58">
        <v>50.886000000000003</v>
      </c>
      <c r="HD69" s="58">
        <v>37.509</v>
      </c>
      <c r="HE69" s="58">
        <v>13.377000000000001</v>
      </c>
      <c r="HF69" s="58">
        <v>23.82</v>
      </c>
      <c r="HG69" s="58">
        <v>18.462</v>
      </c>
      <c r="HH69" s="58">
        <v>5.3579999999999997</v>
      </c>
      <c r="HI69" s="58">
        <v>5.5720000000000001</v>
      </c>
      <c r="HJ69" s="58">
        <v>4.6529999999999996</v>
      </c>
      <c r="HK69" s="58">
        <v>0.91800000000000004</v>
      </c>
      <c r="HL69" s="58">
        <v>2.6280000000000001</v>
      </c>
      <c r="HM69" s="58">
        <v>1.956</v>
      </c>
      <c r="HN69" s="58">
        <v>0.67200000000000004</v>
      </c>
      <c r="HO69" s="58">
        <v>2.944</v>
      </c>
      <c r="HP69" s="58">
        <v>2.698</v>
      </c>
      <c r="HQ69" s="58">
        <v>0.246</v>
      </c>
      <c r="HR69" s="58">
        <v>18.248000000000001</v>
      </c>
      <c r="HS69" s="58">
        <v>13.808999999999999</v>
      </c>
      <c r="HT69" s="58">
        <v>4.4400000000000004</v>
      </c>
      <c r="HU69" s="58">
        <v>34.179000000000002</v>
      </c>
      <c r="HV69" s="58">
        <v>25.236000000000001</v>
      </c>
      <c r="HW69" s="58">
        <v>8.9429999999999996</v>
      </c>
      <c r="HX69" s="58">
        <v>7.8730000000000002</v>
      </c>
      <c r="HY69" s="58">
        <v>6.556</v>
      </c>
      <c r="HZ69" s="58">
        <v>1.3169999999999999</v>
      </c>
      <c r="IA69" s="58">
        <v>26.306000000000001</v>
      </c>
      <c r="IB69" s="58">
        <v>18.68</v>
      </c>
      <c r="IC69" s="58">
        <v>7.6260000000000003</v>
      </c>
      <c r="ID69" s="58">
        <v>12.446</v>
      </c>
      <c r="IE69" s="58">
        <v>10.211</v>
      </c>
      <c r="IF69" s="58">
        <v>2.2349999999999999</v>
      </c>
      <c r="IG69" s="58">
        <v>38.44</v>
      </c>
      <c r="IH69" s="58">
        <v>27.297999999999998</v>
      </c>
      <c r="II69" s="58">
        <v>11.141999999999999</v>
      </c>
      <c r="IJ69" s="58">
        <v>28.934000000000001</v>
      </c>
      <c r="IK69" s="58">
        <v>20.635999999999999</v>
      </c>
      <c r="IL69" s="58">
        <v>8.298</v>
      </c>
      <c r="IM69" s="58">
        <v>4159.1949999999997</v>
      </c>
      <c r="IN69" s="58">
        <v>2229.6080000000002</v>
      </c>
      <c r="IO69" s="58">
        <v>1929.587</v>
      </c>
      <c r="IP69" s="58">
        <v>2852.8130000000001</v>
      </c>
      <c r="IQ69" s="58">
        <v>1784.0820000000001</v>
      </c>
    </row>
    <row r="70" spans="1:251">
      <c r="A70" s="5">
        <v>43617</v>
      </c>
      <c r="B70" s="58">
        <v>16.367999999999999</v>
      </c>
      <c r="C70" s="58">
        <v>18.100999999999999</v>
      </c>
      <c r="D70" s="58">
        <v>402.85300000000001</v>
      </c>
      <c r="E70" s="58">
        <v>241.78299999999999</v>
      </c>
      <c r="F70" s="58">
        <v>161.07</v>
      </c>
      <c r="G70" s="58">
        <v>199.28</v>
      </c>
      <c r="H70" s="58">
        <v>154.55500000000001</v>
      </c>
      <c r="I70" s="58">
        <v>44.725000000000001</v>
      </c>
      <c r="J70" s="58">
        <v>203.57300000000001</v>
      </c>
      <c r="K70" s="58">
        <v>87.227999999999994</v>
      </c>
      <c r="L70" s="58">
        <v>116.345</v>
      </c>
      <c r="M70" s="58">
        <v>223.08500000000001</v>
      </c>
      <c r="N70" s="58">
        <v>172.63399999999999</v>
      </c>
      <c r="O70" s="58">
        <v>50.451000000000001</v>
      </c>
      <c r="P70" s="58">
        <v>214.173</v>
      </c>
      <c r="Q70" s="58">
        <v>90.903000000000006</v>
      </c>
      <c r="R70" s="58">
        <v>123.27</v>
      </c>
      <c r="S70" s="58">
        <v>215.87</v>
      </c>
      <c r="T70" s="58">
        <v>96.972999999999999</v>
      </c>
      <c r="U70" s="58">
        <v>118.89700000000001</v>
      </c>
      <c r="V70" s="58">
        <v>2769.8939999999998</v>
      </c>
      <c r="W70" s="58">
        <v>1481.921</v>
      </c>
      <c r="X70" s="58">
        <v>1287.9739999999999</v>
      </c>
      <c r="Y70" s="58">
        <v>2067.4009999999998</v>
      </c>
      <c r="Z70" s="58">
        <v>1356.7560000000001</v>
      </c>
      <c r="AA70" s="58">
        <v>710.64499999999998</v>
      </c>
      <c r="AB70" s="58">
        <v>702.49300000000005</v>
      </c>
      <c r="AC70" s="58">
        <v>125.16500000000001</v>
      </c>
      <c r="AD70" s="58">
        <v>577.32899999999995</v>
      </c>
      <c r="AE70" s="58">
        <v>351.16699999999997</v>
      </c>
      <c r="AF70" s="58">
        <v>178.7</v>
      </c>
      <c r="AG70" s="58">
        <v>172.46700000000001</v>
      </c>
      <c r="AH70" s="58">
        <v>61.77</v>
      </c>
      <c r="AI70" s="58">
        <v>32.468000000000004</v>
      </c>
      <c r="AJ70" s="58">
        <v>29.302</v>
      </c>
      <c r="AK70" s="58">
        <v>32.749000000000002</v>
      </c>
      <c r="AL70" s="58">
        <v>24.068999999999999</v>
      </c>
      <c r="AM70" s="58">
        <v>8.6809999999999992</v>
      </c>
      <c r="AN70" s="58">
        <v>15.654</v>
      </c>
      <c r="AO70" s="58">
        <v>13.003</v>
      </c>
      <c r="AP70" s="58">
        <v>2.6509999999999998</v>
      </c>
      <c r="AQ70" s="58">
        <v>17.094999999999999</v>
      </c>
      <c r="AR70" s="58">
        <v>11.065</v>
      </c>
      <c r="AS70" s="58">
        <v>6.03</v>
      </c>
      <c r="AT70" s="58">
        <v>29.021000000000001</v>
      </c>
      <c r="AU70" s="58">
        <v>8.3989999999999991</v>
      </c>
      <c r="AV70" s="58">
        <v>20.620999999999999</v>
      </c>
      <c r="AW70" s="58">
        <v>313.73500000000001</v>
      </c>
      <c r="AX70" s="58">
        <v>159.33000000000001</v>
      </c>
      <c r="AY70" s="58">
        <v>154.405</v>
      </c>
      <c r="AZ70" s="58">
        <v>137.38800000000001</v>
      </c>
      <c r="BA70" s="58">
        <v>105.786</v>
      </c>
      <c r="BB70" s="58">
        <v>31.603000000000002</v>
      </c>
      <c r="BC70" s="58">
        <v>176.346</v>
      </c>
      <c r="BD70" s="58">
        <v>53.543999999999997</v>
      </c>
      <c r="BE70" s="58">
        <v>122.80200000000001</v>
      </c>
      <c r="BF70" s="58">
        <v>162.37700000000001</v>
      </c>
      <c r="BG70" s="58">
        <v>123.16</v>
      </c>
      <c r="BH70" s="58">
        <v>39.216999999999999</v>
      </c>
      <c r="BI70" s="58">
        <v>188.79</v>
      </c>
      <c r="BJ70" s="58">
        <v>55.54</v>
      </c>
      <c r="BK70" s="58">
        <v>133.25</v>
      </c>
      <c r="BL70" s="58">
        <v>192</v>
      </c>
      <c r="BM70" s="58">
        <v>66.548000000000002</v>
      </c>
      <c r="BN70" s="58">
        <v>125.453</v>
      </c>
      <c r="BO70" s="58">
        <v>2612.0650000000001</v>
      </c>
      <c r="BP70" s="58">
        <v>1339.498</v>
      </c>
      <c r="BQ70" s="58">
        <v>1272.567</v>
      </c>
      <c r="BR70" s="58">
        <v>1952.6790000000001</v>
      </c>
      <c r="BS70" s="58">
        <v>1207.8219999999999</v>
      </c>
      <c r="BT70" s="58">
        <v>744.85599999999999</v>
      </c>
      <c r="BU70" s="58">
        <v>659.38599999999997</v>
      </c>
      <c r="BV70" s="58">
        <v>131.67500000000001</v>
      </c>
      <c r="BW70" s="58">
        <v>527.71100000000001</v>
      </c>
      <c r="BX70" s="58">
        <v>311.02999999999997</v>
      </c>
      <c r="BY70" s="58">
        <v>155.46100000000001</v>
      </c>
      <c r="BZ70" s="58">
        <v>155.56899999999999</v>
      </c>
      <c r="CA70" s="58">
        <v>55.945999999999998</v>
      </c>
      <c r="CB70" s="58">
        <v>33.823999999999998</v>
      </c>
      <c r="CC70" s="58">
        <v>22.122</v>
      </c>
      <c r="CD70" s="58">
        <v>28.736999999999998</v>
      </c>
      <c r="CE70" s="58">
        <v>20.975000000000001</v>
      </c>
      <c r="CF70" s="58">
        <v>7.7619999999999996</v>
      </c>
      <c r="CG70" s="58">
        <v>16.181000000000001</v>
      </c>
      <c r="CH70" s="58">
        <v>10.975</v>
      </c>
      <c r="CI70" s="58">
        <v>5.2060000000000004</v>
      </c>
      <c r="CJ70" s="58">
        <v>12.555999999999999</v>
      </c>
      <c r="CK70" s="58">
        <v>10.000999999999999</v>
      </c>
      <c r="CL70" s="58">
        <v>2.556</v>
      </c>
      <c r="CM70" s="58">
        <v>27.209</v>
      </c>
      <c r="CN70" s="58">
        <v>12.849</v>
      </c>
      <c r="CO70" s="58">
        <v>14.36</v>
      </c>
      <c r="CP70" s="58">
        <v>279.71899999999999</v>
      </c>
      <c r="CQ70" s="58">
        <v>137.28</v>
      </c>
      <c r="CR70" s="58">
        <v>142.43799999999999</v>
      </c>
      <c r="CS70" s="58">
        <v>121.99299999999999</v>
      </c>
      <c r="CT70" s="58">
        <v>90.194000000000003</v>
      </c>
      <c r="CU70" s="58">
        <v>31.798999999999999</v>
      </c>
      <c r="CV70" s="58">
        <v>157.726</v>
      </c>
      <c r="CW70" s="58">
        <v>47.085999999999999</v>
      </c>
      <c r="CX70" s="58">
        <v>110.639</v>
      </c>
      <c r="CY70" s="58">
        <v>141.255</v>
      </c>
      <c r="CZ70" s="58">
        <v>103.886</v>
      </c>
      <c r="DA70" s="58">
        <v>37.369999999999997</v>
      </c>
      <c r="DB70" s="58">
        <v>169.774</v>
      </c>
      <c r="DC70" s="58">
        <v>51.575000000000003</v>
      </c>
      <c r="DD70" s="58">
        <v>118.199</v>
      </c>
      <c r="DE70" s="58">
        <v>173.90700000000001</v>
      </c>
      <c r="DF70" s="58">
        <v>58.061</v>
      </c>
      <c r="DG70" s="58">
        <v>115.846</v>
      </c>
      <c r="DH70" s="58">
        <v>2514.7710000000002</v>
      </c>
      <c r="DI70" s="58">
        <v>1384.184</v>
      </c>
      <c r="DJ70" s="58">
        <v>1130.587</v>
      </c>
      <c r="DK70" s="58">
        <v>1574.7919999999999</v>
      </c>
      <c r="DL70" s="58">
        <v>1028.1369999999999</v>
      </c>
      <c r="DM70" s="58">
        <v>546.65499999999997</v>
      </c>
      <c r="DN70" s="58">
        <v>939.98</v>
      </c>
      <c r="DO70" s="58">
        <v>356.048</v>
      </c>
      <c r="DP70" s="58">
        <v>583.93200000000002</v>
      </c>
      <c r="DQ70" s="58">
        <v>264.63499999999999</v>
      </c>
      <c r="DR70" s="58">
        <v>152.672</v>
      </c>
      <c r="DS70" s="58">
        <v>111.962</v>
      </c>
      <c r="DT70" s="58">
        <v>81.236000000000004</v>
      </c>
      <c r="DU70" s="58">
        <v>52.354999999999997</v>
      </c>
      <c r="DV70" s="58">
        <v>28.881</v>
      </c>
      <c r="DW70" s="58">
        <v>22.184000000000001</v>
      </c>
      <c r="DX70" s="58">
        <v>17.009</v>
      </c>
      <c r="DY70" s="58">
        <v>5.1760000000000002</v>
      </c>
      <c r="DZ70" s="58">
        <v>13.577999999999999</v>
      </c>
      <c r="EA70" s="58">
        <v>10.364000000000001</v>
      </c>
      <c r="EB70" s="58">
        <v>3.214</v>
      </c>
      <c r="EC70" s="58">
        <v>8.6069999999999993</v>
      </c>
      <c r="ED70" s="58">
        <v>6.6449999999999996</v>
      </c>
      <c r="EE70" s="58">
        <v>1.962</v>
      </c>
      <c r="EF70" s="58">
        <v>59.052</v>
      </c>
      <c r="EG70" s="58">
        <v>35.347000000000001</v>
      </c>
      <c r="EH70" s="58">
        <v>23.704999999999998</v>
      </c>
      <c r="EI70" s="58">
        <v>207.40600000000001</v>
      </c>
      <c r="EJ70" s="58">
        <v>115.38800000000001</v>
      </c>
      <c r="EK70" s="58">
        <v>92.016999999999996</v>
      </c>
      <c r="EL70" s="58">
        <v>69.629000000000005</v>
      </c>
      <c r="EM70" s="58">
        <v>44.637999999999998</v>
      </c>
      <c r="EN70" s="58">
        <v>24.991</v>
      </c>
      <c r="EO70" s="58">
        <v>137.77699999999999</v>
      </c>
      <c r="EP70" s="58">
        <v>70.751000000000005</v>
      </c>
      <c r="EQ70" s="58">
        <v>67.025999999999996</v>
      </c>
      <c r="ER70" s="58">
        <v>89.018000000000001</v>
      </c>
      <c r="ES70" s="58">
        <v>59.819000000000003</v>
      </c>
      <c r="ET70" s="58">
        <v>29.198</v>
      </c>
      <c r="EU70" s="58">
        <v>175.61699999999999</v>
      </c>
      <c r="EV70" s="58">
        <v>92.852999999999994</v>
      </c>
      <c r="EW70" s="58">
        <v>82.763999999999996</v>
      </c>
      <c r="EX70" s="58">
        <v>151.35400000000001</v>
      </c>
      <c r="EY70" s="58">
        <v>81.114000000000004</v>
      </c>
      <c r="EZ70" s="58">
        <v>70.239999999999995</v>
      </c>
      <c r="FA70" s="58">
        <v>1904.2339999999999</v>
      </c>
      <c r="FB70" s="58">
        <v>1016.717</v>
      </c>
      <c r="FC70" s="58">
        <v>887.51599999999996</v>
      </c>
      <c r="FD70" s="58">
        <v>1299.1590000000001</v>
      </c>
      <c r="FE70" s="58">
        <v>838.59699999999998</v>
      </c>
      <c r="FF70" s="58">
        <v>460.56200000000001</v>
      </c>
      <c r="FG70" s="58">
        <v>605.07500000000005</v>
      </c>
      <c r="FH70" s="58">
        <v>178.12</v>
      </c>
      <c r="FI70" s="58">
        <v>426.95499999999998</v>
      </c>
      <c r="FJ70" s="58">
        <v>201.971</v>
      </c>
      <c r="FK70" s="58">
        <v>109.65900000000001</v>
      </c>
      <c r="FL70" s="58">
        <v>92.311999999999998</v>
      </c>
      <c r="FM70" s="58">
        <v>53.165999999999997</v>
      </c>
      <c r="FN70" s="58">
        <v>32.573</v>
      </c>
      <c r="FO70" s="58">
        <v>20.593</v>
      </c>
      <c r="FP70" s="58">
        <v>16.009</v>
      </c>
      <c r="FQ70" s="58">
        <v>12.382</v>
      </c>
      <c r="FR70" s="58">
        <v>3.6269999999999998</v>
      </c>
      <c r="FS70" s="58">
        <v>11.44</v>
      </c>
      <c r="FT70" s="58">
        <v>8.641</v>
      </c>
      <c r="FU70" s="58">
        <v>2.8</v>
      </c>
      <c r="FV70" s="58">
        <v>4.569</v>
      </c>
      <c r="FW70" s="58">
        <v>3.742</v>
      </c>
      <c r="FX70" s="58">
        <v>0.82699999999999996</v>
      </c>
      <c r="FY70" s="58">
        <v>37.156999999999996</v>
      </c>
      <c r="FZ70" s="58">
        <v>20.190999999999999</v>
      </c>
      <c r="GA70" s="58">
        <v>16.966000000000001</v>
      </c>
      <c r="GB70" s="58">
        <v>167.53</v>
      </c>
      <c r="GC70" s="58">
        <v>88.478999999999999</v>
      </c>
      <c r="GD70" s="58">
        <v>79.051000000000002</v>
      </c>
      <c r="GE70" s="58">
        <v>57</v>
      </c>
      <c r="GF70" s="58">
        <v>36.795999999999999</v>
      </c>
      <c r="GG70" s="58">
        <v>20.204000000000001</v>
      </c>
      <c r="GH70" s="58">
        <v>110.53</v>
      </c>
      <c r="GI70" s="58">
        <v>51.683</v>
      </c>
      <c r="GJ70" s="58">
        <v>58.845999999999997</v>
      </c>
      <c r="GK70" s="58">
        <v>70.213999999999999</v>
      </c>
      <c r="GL70" s="58">
        <v>47.350999999999999</v>
      </c>
      <c r="GM70" s="58">
        <v>22.863</v>
      </c>
      <c r="GN70" s="58">
        <v>131.75700000000001</v>
      </c>
      <c r="GO70" s="58">
        <v>62.308</v>
      </c>
      <c r="GP70" s="58">
        <v>69.448999999999998</v>
      </c>
      <c r="GQ70" s="58">
        <v>121.97</v>
      </c>
      <c r="GR70" s="58">
        <v>60.323999999999998</v>
      </c>
      <c r="GS70" s="58">
        <v>61.646000000000001</v>
      </c>
      <c r="GT70" s="58">
        <v>610.53700000000003</v>
      </c>
      <c r="GU70" s="58">
        <v>367.46699999999998</v>
      </c>
      <c r="GV70" s="58">
        <v>243.07</v>
      </c>
      <c r="GW70" s="58">
        <v>275.63299999999998</v>
      </c>
      <c r="GX70" s="58">
        <v>189.54</v>
      </c>
      <c r="GY70" s="58">
        <v>86.093000000000004</v>
      </c>
      <c r="GZ70" s="58">
        <v>334.90499999999997</v>
      </c>
      <c r="HA70" s="58">
        <v>177.92699999999999</v>
      </c>
      <c r="HB70" s="58">
        <v>156.977</v>
      </c>
      <c r="HC70" s="58">
        <v>62.662999999999997</v>
      </c>
      <c r="HD70" s="58">
        <v>43.012999999999998</v>
      </c>
      <c r="HE70" s="58">
        <v>19.649999999999999</v>
      </c>
      <c r="HF70" s="58">
        <v>28.07</v>
      </c>
      <c r="HG70" s="58">
        <v>19.782</v>
      </c>
      <c r="HH70" s="58">
        <v>8.2880000000000003</v>
      </c>
      <c r="HI70" s="58">
        <v>6.1749999999999998</v>
      </c>
      <c r="HJ70" s="58">
        <v>4.6260000000000003</v>
      </c>
      <c r="HK70" s="58">
        <v>1.5489999999999999</v>
      </c>
      <c r="HL70" s="58">
        <v>2.137</v>
      </c>
      <c r="HM70" s="58">
        <v>1.7230000000000001</v>
      </c>
      <c r="HN70" s="58">
        <v>0.41399999999999998</v>
      </c>
      <c r="HO70" s="58">
        <v>4.0380000000000003</v>
      </c>
      <c r="HP70" s="58">
        <v>2.903</v>
      </c>
      <c r="HQ70" s="58">
        <v>1.135</v>
      </c>
      <c r="HR70" s="58">
        <v>21.893999999999998</v>
      </c>
      <c r="HS70" s="58">
        <v>15.156000000000001</v>
      </c>
      <c r="HT70" s="58">
        <v>6.7389999999999999</v>
      </c>
      <c r="HU70" s="58">
        <v>39.875</v>
      </c>
      <c r="HV70" s="58">
        <v>26.908999999999999</v>
      </c>
      <c r="HW70" s="58">
        <v>12.965999999999999</v>
      </c>
      <c r="HX70" s="58">
        <v>12.628</v>
      </c>
      <c r="HY70" s="58">
        <v>7.8419999999999996</v>
      </c>
      <c r="HZ70" s="58">
        <v>4.7859999999999996</v>
      </c>
      <c r="IA70" s="58">
        <v>27.247</v>
      </c>
      <c r="IB70" s="58">
        <v>19.067</v>
      </c>
      <c r="IC70" s="58">
        <v>8.18</v>
      </c>
      <c r="ID70" s="58">
        <v>18.803000000000001</v>
      </c>
      <c r="IE70" s="58">
        <v>12.468</v>
      </c>
      <c r="IF70" s="58">
        <v>6.335</v>
      </c>
      <c r="IG70" s="58">
        <v>43.86</v>
      </c>
      <c r="IH70" s="58">
        <v>30.545000000000002</v>
      </c>
      <c r="II70" s="58">
        <v>13.315</v>
      </c>
      <c r="IJ70" s="58">
        <v>29.385000000000002</v>
      </c>
      <c r="IK70" s="58">
        <v>20.79</v>
      </c>
      <c r="IL70" s="58">
        <v>8.5939999999999994</v>
      </c>
      <c r="IM70" s="58">
        <v>4142.2520000000004</v>
      </c>
      <c r="IN70" s="58">
        <v>2215.0450000000001</v>
      </c>
      <c r="IO70" s="58">
        <v>1927.2080000000001</v>
      </c>
      <c r="IP70" s="58">
        <v>2874.8780000000002</v>
      </c>
      <c r="IQ70" s="58">
        <v>1781.9469999999999</v>
      </c>
    </row>
    <row r="71" spans="1:251">
      <c r="A71" s="5">
        <v>43647</v>
      </c>
      <c r="B71" s="58">
        <v>14.554</v>
      </c>
      <c r="C71" s="58">
        <v>17.442</v>
      </c>
      <c r="D71" s="58">
        <v>398.04</v>
      </c>
      <c r="E71" s="58">
        <v>234.00700000000001</v>
      </c>
      <c r="F71" s="58">
        <v>164.03399999999999</v>
      </c>
      <c r="G71" s="58">
        <v>197.26</v>
      </c>
      <c r="H71" s="58">
        <v>151.41999999999999</v>
      </c>
      <c r="I71" s="58">
        <v>45.84</v>
      </c>
      <c r="J71" s="58">
        <v>200.78</v>
      </c>
      <c r="K71" s="58">
        <v>82.585999999999999</v>
      </c>
      <c r="L71" s="58">
        <v>118.194</v>
      </c>
      <c r="M71" s="58">
        <v>223.83099999999999</v>
      </c>
      <c r="N71" s="58">
        <v>172.61199999999999</v>
      </c>
      <c r="O71" s="58">
        <v>51.219000000000001</v>
      </c>
      <c r="P71" s="58">
        <v>214.45400000000001</v>
      </c>
      <c r="Q71" s="58">
        <v>86.478999999999999</v>
      </c>
      <c r="R71" s="58">
        <v>127.97499999999999</v>
      </c>
      <c r="S71" s="58">
        <v>221.923</v>
      </c>
      <c r="T71" s="58">
        <v>99.290999999999997</v>
      </c>
      <c r="U71" s="58">
        <v>122.63200000000001</v>
      </c>
      <c r="V71" s="58">
        <v>2757.5439999999999</v>
      </c>
      <c r="W71" s="58">
        <v>1479.1010000000001</v>
      </c>
      <c r="X71" s="58">
        <v>1278.443</v>
      </c>
      <c r="Y71" s="58">
        <v>2080.694</v>
      </c>
      <c r="Z71" s="58">
        <v>1355.1010000000001</v>
      </c>
      <c r="AA71" s="58">
        <v>725.59299999999996</v>
      </c>
      <c r="AB71" s="58">
        <v>676.85</v>
      </c>
      <c r="AC71" s="58">
        <v>123.999</v>
      </c>
      <c r="AD71" s="58">
        <v>552.851</v>
      </c>
      <c r="AE71" s="58">
        <v>358.92899999999997</v>
      </c>
      <c r="AF71" s="58">
        <v>192.25399999999999</v>
      </c>
      <c r="AG71" s="58">
        <v>166.67500000000001</v>
      </c>
      <c r="AH71" s="58">
        <v>67.268000000000001</v>
      </c>
      <c r="AI71" s="58">
        <v>39.719000000000001</v>
      </c>
      <c r="AJ71" s="58">
        <v>27.548999999999999</v>
      </c>
      <c r="AK71" s="58">
        <v>38.811999999999998</v>
      </c>
      <c r="AL71" s="58">
        <v>31.373000000000001</v>
      </c>
      <c r="AM71" s="58">
        <v>7.4390000000000001</v>
      </c>
      <c r="AN71" s="58">
        <v>18.981000000000002</v>
      </c>
      <c r="AO71" s="58">
        <v>14.223000000000001</v>
      </c>
      <c r="AP71" s="58">
        <v>4.758</v>
      </c>
      <c r="AQ71" s="58">
        <v>19.831</v>
      </c>
      <c r="AR71" s="58">
        <v>17.149999999999999</v>
      </c>
      <c r="AS71" s="58">
        <v>2.681</v>
      </c>
      <c r="AT71" s="58">
        <v>28.457000000000001</v>
      </c>
      <c r="AU71" s="58">
        <v>8.3460000000000001</v>
      </c>
      <c r="AV71" s="58">
        <v>20.11</v>
      </c>
      <c r="AW71" s="58">
        <v>325.17899999999997</v>
      </c>
      <c r="AX71" s="58">
        <v>171.26</v>
      </c>
      <c r="AY71" s="58">
        <v>153.91900000000001</v>
      </c>
      <c r="AZ71" s="58">
        <v>153.23099999999999</v>
      </c>
      <c r="BA71" s="58">
        <v>118.389</v>
      </c>
      <c r="BB71" s="58">
        <v>34.841000000000001</v>
      </c>
      <c r="BC71" s="58">
        <v>171.94800000000001</v>
      </c>
      <c r="BD71" s="58">
        <v>52.87</v>
      </c>
      <c r="BE71" s="58">
        <v>119.078</v>
      </c>
      <c r="BF71" s="58">
        <v>178.75899999999999</v>
      </c>
      <c r="BG71" s="58">
        <v>138.137</v>
      </c>
      <c r="BH71" s="58">
        <v>40.622999999999998</v>
      </c>
      <c r="BI71" s="58">
        <v>180.17</v>
      </c>
      <c r="BJ71" s="58">
        <v>54.118000000000002</v>
      </c>
      <c r="BK71" s="58">
        <v>126.05200000000001</v>
      </c>
      <c r="BL71" s="58">
        <v>190.929</v>
      </c>
      <c r="BM71" s="58">
        <v>67.093000000000004</v>
      </c>
      <c r="BN71" s="58">
        <v>123.83499999999999</v>
      </c>
      <c r="BO71" s="58">
        <v>2616.422</v>
      </c>
      <c r="BP71" s="58">
        <v>1337.8789999999999</v>
      </c>
      <c r="BQ71" s="58">
        <v>1278.5419999999999</v>
      </c>
      <c r="BR71" s="58">
        <v>1968.6089999999999</v>
      </c>
      <c r="BS71" s="58">
        <v>1202.211</v>
      </c>
      <c r="BT71" s="58">
        <v>766.39800000000002</v>
      </c>
      <c r="BU71" s="58">
        <v>647.81299999999999</v>
      </c>
      <c r="BV71" s="58">
        <v>135.66900000000001</v>
      </c>
      <c r="BW71" s="58">
        <v>512.14400000000001</v>
      </c>
      <c r="BX71" s="58">
        <v>308.56099999999998</v>
      </c>
      <c r="BY71" s="58">
        <v>144.91399999999999</v>
      </c>
      <c r="BZ71" s="58">
        <v>163.648</v>
      </c>
      <c r="CA71" s="58">
        <v>64.001000000000005</v>
      </c>
      <c r="CB71" s="58">
        <v>36.89</v>
      </c>
      <c r="CC71" s="58">
        <v>27.111999999999998</v>
      </c>
      <c r="CD71" s="58">
        <v>31.640999999999998</v>
      </c>
      <c r="CE71" s="58">
        <v>21.210999999999999</v>
      </c>
      <c r="CF71" s="58">
        <v>10.43</v>
      </c>
      <c r="CG71" s="58">
        <v>19.75</v>
      </c>
      <c r="CH71" s="58">
        <v>11.047000000000001</v>
      </c>
      <c r="CI71" s="58">
        <v>8.7029999999999994</v>
      </c>
      <c r="CJ71" s="58">
        <v>11.891</v>
      </c>
      <c r="CK71" s="58">
        <v>10.164</v>
      </c>
      <c r="CL71" s="58">
        <v>1.726</v>
      </c>
      <c r="CM71" s="58">
        <v>32.360999999999997</v>
      </c>
      <c r="CN71" s="58">
        <v>15.679</v>
      </c>
      <c r="CO71" s="58">
        <v>16.681999999999999</v>
      </c>
      <c r="CP71" s="58">
        <v>277.04500000000002</v>
      </c>
      <c r="CQ71" s="58">
        <v>128.054</v>
      </c>
      <c r="CR71" s="58">
        <v>148.99100000000001</v>
      </c>
      <c r="CS71" s="58">
        <v>114.446</v>
      </c>
      <c r="CT71" s="58">
        <v>77.269000000000005</v>
      </c>
      <c r="CU71" s="58">
        <v>37.177</v>
      </c>
      <c r="CV71" s="58">
        <v>162.59899999999999</v>
      </c>
      <c r="CW71" s="58">
        <v>50.784999999999997</v>
      </c>
      <c r="CX71" s="58">
        <v>111.81399999999999</v>
      </c>
      <c r="CY71" s="58">
        <v>135.67500000000001</v>
      </c>
      <c r="CZ71" s="58">
        <v>91.262</v>
      </c>
      <c r="DA71" s="58">
        <v>44.412999999999997</v>
      </c>
      <c r="DB71" s="58">
        <v>172.887</v>
      </c>
      <c r="DC71" s="58">
        <v>53.652000000000001</v>
      </c>
      <c r="DD71" s="58">
        <v>119.235</v>
      </c>
      <c r="DE71" s="58">
        <v>182.34899999999999</v>
      </c>
      <c r="DF71" s="58">
        <v>61.832000000000001</v>
      </c>
      <c r="DG71" s="58">
        <v>120.517</v>
      </c>
      <c r="DH71" s="58">
        <v>2500.6260000000002</v>
      </c>
      <c r="DI71" s="58">
        <v>1378.0060000000001</v>
      </c>
      <c r="DJ71" s="58">
        <v>1122.6199999999999</v>
      </c>
      <c r="DK71" s="58">
        <v>1545.2660000000001</v>
      </c>
      <c r="DL71" s="58">
        <v>1016.9880000000001</v>
      </c>
      <c r="DM71" s="58">
        <v>528.27700000000004</v>
      </c>
      <c r="DN71" s="58">
        <v>955.36</v>
      </c>
      <c r="DO71" s="58">
        <v>361.01799999999997</v>
      </c>
      <c r="DP71" s="58">
        <v>594.34299999999996</v>
      </c>
      <c r="DQ71" s="58">
        <v>276.24900000000002</v>
      </c>
      <c r="DR71" s="58">
        <v>157.024</v>
      </c>
      <c r="DS71" s="58">
        <v>119.22499999999999</v>
      </c>
      <c r="DT71" s="58">
        <v>85.451999999999998</v>
      </c>
      <c r="DU71" s="58">
        <v>54.722000000000001</v>
      </c>
      <c r="DV71" s="58">
        <v>30.728999999999999</v>
      </c>
      <c r="DW71" s="58">
        <v>26.702000000000002</v>
      </c>
      <c r="DX71" s="58">
        <v>22.555</v>
      </c>
      <c r="DY71" s="58">
        <v>4.1470000000000002</v>
      </c>
      <c r="DZ71" s="58">
        <v>14.881</v>
      </c>
      <c r="EA71" s="58">
        <v>13.944000000000001</v>
      </c>
      <c r="EB71" s="58">
        <v>0.93700000000000006</v>
      </c>
      <c r="EC71" s="58">
        <v>11.821999999999999</v>
      </c>
      <c r="ED71" s="58">
        <v>8.6110000000000007</v>
      </c>
      <c r="EE71" s="58">
        <v>3.2109999999999999</v>
      </c>
      <c r="EF71" s="58">
        <v>58.75</v>
      </c>
      <c r="EG71" s="58">
        <v>32.167999999999999</v>
      </c>
      <c r="EH71" s="58">
        <v>26.582000000000001</v>
      </c>
      <c r="EI71" s="58">
        <v>219.08</v>
      </c>
      <c r="EJ71" s="58">
        <v>120.55500000000001</v>
      </c>
      <c r="EK71" s="58">
        <v>98.525999999999996</v>
      </c>
      <c r="EL71" s="58">
        <v>72.338999999999999</v>
      </c>
      <c r="EM71" s="58">
        <v>51.706000000000003</v>
      </c>
      <c r="EN71" s="58">
        <v>20.632000000000001</v>
      </c>
      <c r="EO71" s="58">
        <v>146.74199999999999</v>
      </c>
      <c r="EP71" s="58">
        <v>68.847999999999999</v>
      </c>
      <c r="EQ71" s="58">
        <v>77.893000000000001</v>
      </c>
      <c r="ER71" s="58">
        <v>93.352999999999994</v>
      </c>
      <c r="ES71" s="58">
        <v>69.629000000000005</v>
      </c>
      <c r="ET71" s="58">
        <v>23.725000000000001</v>
      </c>
      <c r="EU71" s="58">
        <v>182.89500000000001</v>
      </c>
      <c r="EV71" s="58">
        <v>87.394999999999996</v>
      </c>
      <c r="EW71" s="58">
        <v>95.5</v>
      </c>
      <c r="EX71" s="58">
        <v>161.62200000000001</v>
      </c>
      <c r="EY71" s="58">
        <v>82.792000000000002</v>
      </c>
      <c r="EZ71" s="58">
        <v>78.83</v>
      </c>
      <c r="FA71" s="58">
        <v>1898.579</v>
      </c>
      <c r="FB71" s="58">
        <v>1012.913</v>
      </c>
      <c r="FC71" s="58">
        <v>885.66499999999996</v>
      </c>
      <c r="FD71" s="58">
        <v>1288.489</v>
      </c>
      <c r="FE71" s="58">
        <v>828.91</v>
      </c>
      <c r="FF71" s="58">
        <v>459.57900000000001</v>
      </c>
      <c r="FG71" s="58">
        <v>610.09</v>
      </c>
      <c r="FH71" s="58">
        <v>184.00299999999999</v>
      </c>
      <c r="FI71" s="58">
        <v>426.08600000000001</v>
      </c>
      <c r="FJ71" s="58">
        <v>219.03899999999999</v>
      </c>
      <c r="FK71" s="58">
        <v>122.706</v>
      </c>
      <c r="FL71" s="58">
        <v>96.332999999999998</v>
      </c>
      <c r="FM71" s="58">
        <v>59.834000000000003</v>
      </c>
      <c r="FN71" s="58">
        <v>38.530999999999999</v>
      </c>
      <c r="FO71" s="58">
        <v>21.303999999999998</v>
      </c>
      <c r="FP71" s="58">
        <v>21.215</v>
      </c>
      <c r="FQ71" s="58">
        <v>18.459</v>
      </c>
      <c r="FR71" s="58">
        <v>2.7559999999999998</v>
      </c>
      <c r="FS71" s="58">
        <v>12.997999999999999</v>
      </c>
      <c r="FT71" s="58">
        <v>12.515000000000001</v>
      </c>
      <c r="FU71" s="58">
        <v>0.48299999999999998</v>
      </c>
      <c r="FV71" s="58">
        <v>8.2170000000000005</v>
      </c>
      <c r="FW71" s="58">
        <v>5.944</v>
      </c>
      <c r="FX71" s="58">
        <v>2.274</v>
      </c>
      <c r="FY71" s="58">
        <v>38.619</v>
      </c>
      <c r="FZ71" s="58">
        <v>20.071000000000002</v>
      </c>
      <c r="GA71" s="58">
        <v>18.547999999999998</v>
      </c>
      <c r="GB71" s="58">
        <v>182.82300000000001</v>
      </c>
      <c r="GC71" s="58">
        <v>98.888999999999996</v>
      </c>
      <c r="GD71" s="58">
        <v>83.933999999999997</v>
      </c>
      <c r="GE71" s="58">
        <v>64.893000000000001</v>
      </c>
      <c r="GF71" s="58">
        <v>46.570999999999998</v>
      </c>
      <c r="GG71" s="58">
        <v>18.321999999999999</v>
      </c>
      <c r="GH71" s="58">
        <v>117.93</v>
      </c>
      <c r="GI71" s="58">
        <v>52.317999999999998</v>
      </c>
      <c r="GJ71" s="58">
        <v>65.611999999999995</v>
      </c>
      <c r="GK71" s="58">
        <v>80.97</v>
      </c>
      <c r="GL71" s="58">
        <v>60.947000000000003</v>
      </c>
      <c r="GM71" s="58">
        <v>20.023</v>
      </c>
      <c r="GN71" s="58">
        <v>138.06899999999999</v>
      </c>
      <c r="GO71" s="58">
        <v>61.759</v>
      </c>
      <c r="GP71" s="58">
        <v>76.31</v>
      </c>
      <c r="GQ71" s="58">
        <v>130.928</v>
      </c>
      <c r="GR71" s="58">
        <v>64.834000000000003</v>
      </c>
      <c r="GS71" s="58">
        <v>66.094999999999999</v>
      </c>
      <c r="GT71" s="58">
        <v>602.04700000000003</v>
      </c>
      <c r="GU71" s="58">
        <v>365.09199999999998</v>
      </c>
      <c r="GV71" s="58">
        <v>236.95500000000001</v>
      </c>
      <c r="GW71" s="58">
        <v>256.77699999999999</v>
      </c>
      <c r="GX71" s="58">
        <v>188.078</v>
      </c>
      <c r="GY71" s="58">
        <v>68.697999999999993</v>
      </c>
      <c r="GZ71" s="58">
        <v>345.27100000000002</v>
      </c>
      <c r="HA71" s="58">
        <v>177.01400000000001</v>
      </c>
      <c r="HB71" s="58">
        <v>168.256</v>
      </c>
      <c r="HC71" s="58">
        <v>57.209000000000003</v>
      </c>
      <c r="HD71" s="58">
        <v>34.317999999999998</v>
      </c>
      <c r="HE71" s="58">
        <v>22.890999999999998</v>
      </c>
      <c r="HF71" s="58">
        <v>25.617999999999999</v>
      </c>
      <c r="HG71" s="58">
        <v>16.192</v>
      </c>
      <c r="HH71" s="58">
        <v>9.4260000000000002</v>
      </c>
      <c r="HI71" s="58">
        <v>5.4870000000000001</v>
      </c>
      <c r="HJ71" s="58">
        <v>4.0960000000000001</v>
      </c>
      <c r="HK71" s="58">
        <v>1.391</v>
      </c>
      <c r="HL71" s="58">
        <v>1.883</v>
      </c>
      <c r="HM71" s="58">
        <v>1.429</v>
      </c>
      <c r="HN71" s="58">
        <v>0.45400000000000001</v>
      </c>
      <c r="HO71" s="58">
        <v>3.6040000000000001</v>
      </c>
      <c r="HP71" s="58">
        <v>2.6669999999999998</v>
      </c>
      <c r="HQ71" s="58">
        <v>0.93700000000000006</v>
      </c>
      <c r="HR71" s="58">
        <v>20.131</v>
      </c>
      <c r="HS71" s="58">
        <v>12.096</v>
      </c>
      <c r="HT71" s="58">
        <v>8.0350000000000001</v>
      </c>
      <c r="HU71" s="58">
        <v>36.256999999999998</v>
      </c>
      <c r="HV71" s="58">
        <v>21.664999999999999</v>
      </c>
      <c r="HW71" s="58">
        <v>14.592000000000001</v>
      </c>
      <c r="HX71" s="58">
        <v>7.4459999999999997</v>
      </c>
      <c r="HY71" s="58">
        <v>5.1349999999999998</v>
      </c>
      <c r="HZ71" s="58">
        <v>2.31</v>
      </c>
      <c r="IA71" s="58">
        <v>28.811</v>
      </c>
      <c r="IB71" s="58">
        <v>16.53</v>
      </c>
      <c r="IC71" s="58">
        <v>12.281000000000001</v>
      </c>
      <c r="ID71" s="58">
        <v>12.382999999999999</v>
      </c>
      <c r="IE71" s="58">
        <v>8.6820000000000004</v>
      </c>
      <c r="IF71" s="58">
        <v>3.7010000000000001</v>
      </c>
      <c r="IG71" s="58">
        <v>44.826000000000001</v>
      </c>
      <c r="IH71" s="58">
        <v>25.635999999999999</v>
      </c>
      <c r="II71" s="58">
        <v>19.190000000000001</v>
      </c>
      <c r="IJ71" s="58">
        <v>30.693999999999999</v>
      </c>
      <c r="IK71" s="58">
        <v>17.959</v>
      </c>
      <c r="IL71" s="58">
        <v>12.734999999999999</v>
      </c>
      <c r="IM71" s="58">
        <v>4140.8450000000003</v>
      </c>
      <c r="IN71" s="58">
        <v>2217.1350000000002</v>
      </c>
      <c r="IO71" s="58">
        <v>1923.71</v>
      </c>
      <c r="IP71" s="58">
        <v>2902.3090000000002</v>
      </c>
      <c r="IQ71" s="58">
        <v>1787.578</v>
      </c>
    </row>
    <row r="72" spans="1:251">
      <c r="A72" s="5">
        <v>43678</v>
      </c>
      <c r="B72" s="58">
        <v>17.596</v>
      </c>
      <c r="C72" s="58">
        <v>17.515999999999998</v>
      </c>
      <c r="D72" s="58">
        <v>404.62400000000002</v>
      </c>
      <c r="E72" s="58">
        <v>241.07900000000001</v>
      </c>
      <c r="F72" s="58">
        <v>163.54499999999999</v>
      </c>
      <c r="G72" s="58">
        <v>194.68899999999999</v>
      </c>
      <c r="H72" s="58">
        <v>147.84899999999999</v>
      </c>
      <c r="I72" s="58">
        <v>46.84</v>
      </c>
      <c r="J72" s="58">
        <v>209.935</v>
      </c>
      <c r="K72" s="58">
        <v>93.23</v>
      </c>
      <c r="L72" s="58">
        <v>116.705</v>
      </c>
      <c r="M72" s="58">
        <v>219.61600000000001</v>
      </c>
      <c r="N72" s="58">
        <v>168.387</v>
      </c>
      <c r="O72" s="58">
        <v>51.228000000000002</v>
      </c>
      <c r="P72" s="58">
        <v>223.446</v>
      </c>
      <c r="Q72" s="58">
        <v>98.370999999999995</v>
      </c>
      <c r="R72" s="58">
        <v>125.075</v>
      </c>
      <c r="S72" s="58">
        <v>224.45099999999999</v>
      </c>
      <c r="T72" s="58">
        <v>104.976</v>
      </c>
      <c r="U72" s="58">
        <v>119.47499999999999</v>
      </c>
      <c r="V72" s="58">
        <v>2769.5590000000002</v>
      </c>
      <c r="W72" s="58">
        <v>1480.894</v>
      </c>
      <c r="X72" s="58">
        <v>1288.664</v>
      </c>
      <c r="Y72" s="58">
        <v>2079.6480000000001</v>
      </c>
      <c r="Z72" s="58">
        <v>1354.453</v>
      </c>
      <c r="AA72" s="58">
        <v>725.19500000000005</v>
      </c>
      <c r="AB72" s="58">
        <v>689.91</v>
      </c>
      <c r="AC72" s="58">
        <v>126.441</v>
      </c>
      <c r="AD72" s="58">
        <v>563.46900000000005</v>
      </c>
      <c r="AE72" s="58">
        <v>343.65800000000002</v>
      </c>
      <c r="AF72" s="58">
        <v>187.441</v>
      </c>
      <c r="AG72" s="58">
        <v>156.21700000000001</v>
      </c>
      <c r="AH72" s="58">
        <v>60.683</v>
      </c>
      <c r="AI72" s="58">
        <v>37.491</v>
      </c>
      <c r="AJ72" s="58">
        <v>23.192</v>
      </c>
      <c r="AK72" s="58">
        <v>33.029000000000003</v>
      </c>
      <c r="AL72" s="58">
        <v>25.405999999999999</v>
      </c>
      <c r="AM72" s="58">
        <v>7.6230000000000002</v>
      </c>
      <c r="AN72" s="58">
        <v>16.713000000000001</v>
      </c>
      <c r="AO72" s="58">
        <v>13.286</v>
      </c>
      <c r="AP72" s="58">
        <v>3.427</v>
      </c>
      <c r="AQ72" s="58">
        <v>16.315999999999999</v>
      </c>
      <c r="AR72" s="58">
        <v>12.119</v>
      </c>
      <c r="AS72" s="58">
        <v>4.1959999999999997</v>
      </c>
      <c r="AT72" s="58">
        <v>27.654</v>
      </c>
      <c r="AU72" s="58">
        <v>12.085000000000001</v>
      </c>
      <c r="AV72" s="58">
        <v>15.569000000000001</v>
      </c>
      <c r="AW72" s="58">
        <v>310.36700000000002</v>
      </c>
      <c r="AX72" s="58">
        <v>168.614</v>
      </c>
      <c r="AY72" s="58">
        <v>141.75200000000001</v>
      </c>
      <c r="AZ72" s="58">
        <v>146.071</v>
      </c>
      <c r="BA72" s="58">
        <v>117.462</v>
      </c>
      <c r="BB72" s="58">
        <v>28.608000000000001</v>
      </c>
      <c r="BC72" s="58">
        <v>164.29599999999999</v>
      </c>
      <c r="BD72" s="58">
        <v>51.152000000000001</v>
      </c>
      <c r="BE72" s="58">
        <v>113.14400000000001</v>
      </c>
      <c r="BF72" s="58">
        <v>167.40299999999999</v>
      </c>
      <c r="BG72" s="58">
        <v>132.233</v>
      </c>
      <c r="BH72" s="58">
        <v>35.17</v>
      </c>
      <c r="BI72" s="58">
        <v>176.25399999999999</v>
      </c>
      <c r="BJ72" s="58">
        <v>55.207000000000001</v>
      </c>
      <c r="BK72" s="58">
        <v>121.047</v>
      </c>
      <c r="BL72" s="58">
        <v>181.00899999999999</v>
      </c>
      <c r="BM72" s="58">
        <v>64.438000000000002</v>
      </c>
      <c r="BN72" s="58">
        <v>116.571</v>
      </c>
      <c r="BO72" s="58">
        <v>2624.0070000000001</v>
      </c>
      <c r="BP72" s="58">
        <v>1339.481</v>
      </c>
      <c r="BQ72" s="58">
        <v>1284.5260000000001</v>
      </c>
      <c r="BR72" s="58">
        <v>1970.4280000000001</v>
      </c>
      <c r="BS72" s="58">
        <v>1204.046</v>
      </c>
      <c r="BT72" s="58">
        <v>766.38199999999995</v>
      </c>
      <c r="BU72" s="58">
        <v>653.58000000000004</v>
      </c>
      <c r="BV72" s="58">
        <v>135.435</v>
      </c>
      <c r="BW72" s="58">
        <v>518.14400000000001</v>
      </c>
      <c r="BX72" s="58">
        <v>312.33699999999999</v>
      </c>
      <c r="BY72" s="58">
        <v>146.904</v>
      </c>
      <c r="BZ72" s="58">
        <v>165.43299999999999</v>
      </c>
      <c r="CA72" s="58">
        <v>62.427</v>
      </c>
      <c r="CB72" s="58">
        <v>35.021999999999998</v>
      </c>
      <c r="CC72" s="58">
        <v>27.405000000000001</v>
      </c>
      <c r="CD72" s="58">
        <v>33.286000000000001</v>
      </c>
      <c r="CE72" s="58">
        <v>25.425999999999998</v>
      </c>
      <c r="CF72" s="58">
        <v>7.86</v>
      </c>
      <c r="CG72" s="58">
        <v>16.559000000000001</v>
      </c>
      <c r="CH72" s="58">
        <v>13.645</v>
      </c>
      <c r="CI72" s="58">
        <v>2.9140000000000001</v>
      </c>
      <c r="CJ72" s="58">
        <v>16.727</v>
      </c>
      <c r="CK72" s="58">
        <v>11.781000000000001</v>
      </c>
      <c r="CL72" s="58">
        <v>4.9459999999999997</v>
      </c>
      <c r="CM72" s="58">
        <v>29.141999999999999</v>
      </c>
      <c r="CN72" s="58">
        <v>9.5960000000000001</v>
      </c>
      <c r="CO72" s="58">
        <v>19.545000000000002</v>
      </c>
      <c r="CP72" s="58">
        <v>275.63099999999997</v>
      </c>
      <c r="CQ72" s="58">
        <v>124.746</v>
      </c>
      <c r="CR72" s="58">
        <v>150.88499999999999</v>
      </c>
      <c r="CS72" s="58">
        <v>123.256</v>
      </c>
      <c r="CT72" s="58">
        <v>81.691000000000003</v>
      </c>
      <c r="CU72" s="58">
        <v>41.564999999999998</v>
      </c>
      <c r="CV72" s="58">
        <v>152.375</v>
      </c>
      <c r="CW72" s="58">
        <v>43.055</v>
      </c>
      <c r="CX72" s="58">
        <v>109.32</v>
      </c>
      <c r="CY72" s="58">
        <v>147.649</v>
      </c>
      <c r="CZ72" s="58">
        <v>100.398</v>
      </c>
      <c r="DA72" s="58">
        <v>47.252000000000002</v>
      </c>
      <c r="DB72" s="58">
        <v>164.68799999999999</v>
      </c>
      <c r="DC72" s="58">
        <v>46.506</v>
      </c>
      <c r="DD72" s="58">
        <v>118.182</v>
      </c>
      <c r="DE72" s="58">
        <v>168.934</v>
      </c>
      <c r="DF72" s="58">
        <v>56.7</v>
      </c>
      <c r="DG72" s="58">
        <v>112.23399999999999</v>
      </c>
      <c r="DH72" s="58">
        <v>2504.864</v>
      </c>
      <c r="DI72" s="58">
        <v>1362.1880000000001</v>
      </c>
      <c r="DJ72" s="58">
        <v>1142.6759999999999</v>
      </c>
      <c r="DK72" s="58">
        <v>1545.425</v>
      </c>
      <c r="DL72" s="58">
        <v>1013.1849999999999</v>
      </c>
      <c r="DM72" s="58">
        <v>532.24</v>
      </c>
      <c r="DN72" s="58">
        <v>959.44</v>
      </c>
      <c r="DO72" s="58">
        <v>349.00299999999999</v>
      </c>
      <c r="DP72" s="58">
        <v>610.43600000000004</v>
      </c>
      <c r="DQ72" s="58">
        <v>291.59300000000002</v>
      </c>
      <c r="DR72" s="58">
        <v>166.43700000000001</v>
      </c>
      <c r="DS72" s="58">
        <v>125.15600000000001</v>
      </c>
      <c r="DT72" s="58">
        <v>94.572999999999993</v>
      </c>
      <c r="DU72" s="58">
        <v>63.398000000000003</v>
      </c>
      <c r="DV72" s="58">
        <v>31.175999999999998</v>
      </c>
      <c r="DW72" s="58">
        <v>36.997999999999998</v>
      </c>
      <c r="DX72" s="58">
        <v>30.016999999999999</v>
      </c>
      <c r="DY72" s="58">
        <v>6.9820000000000002</v>
      </c>
      <c r="DZ72" s="58">
        <v>25.527999999999999</v>
      </c>
      <c r="EA72" s="58">
        <v>20.381</v>
      </c>
      <c r="EB72" s="58">
        <v>5.1470000000000002</v>
      </c>
      <c r="EC72" s="58">
        <v>11.471</v>
      </c>
      <c r="ED72" s="58">
        <v>9.6359999999999992</v>
      </c>
      <c r="EE72" s="58">
        <v>1.835</v>
      </c>
      <c r="EF72" s="58">
        <v>57.575000000000003</v>
      </c>
      <c r="EG72" s="58">
        <v>33.381</v>
      </c>
      <c r="EH72" s="58">
        <v>24.193999999999999</v>
      </c>
      <c r="EI72" s="58">
        <v>232.184</v>
      </c>
      <c r="EJ72" s="58">
        <v>127.03</v>
      </c>
      <c r="EK72" s="58">
        <v>105.154</v>
      </c>
      <c r="EL72" s="58">
        <v>73.596000000000004</v>
      </c>
      <c r="EM72" s="58">
        <v>54.734999999999999</v>
      </c>
      <c r="EN72" s="58">
        <v>18.861000000000001</v>
      </c>
      <c r="EO72" s="58">
        <v>158.58799999999999</v>
      </c>
      <c r="EP72" s="58">
        <v>72.296000000000006</v>
      </c>
      <c r="EQ72" s="58">
        <v>86.293000000000006</v>
      </c>
      <c r="ER72" s="58">
        <v>105.602</v>
      </c>
      <c r="ES72" s="58">
        <v>79.759</v>
      </c>
      <c r="ET72" s="58">
        <v>25.843</v>
      </c>
      <c r="EU72" s="58">
        <v>185.99100000000001</v>
      </c>
      <c r="EV72" s="58">
        <v>86.677999999999997</v>
      </c>
      <c r="EW72" s="58">
        <v>99.313000000000002</v>
      </c>
      <c r="EX72" s="58">
        <v>184.11600000000001</v>
      </c>
      <c r="EY72" s="58">
        <v>92.676000000000002</v>
      </c>
      <c r="EZ72" s="58">
        <v>91.44</v>
      </c>
      <c r="FA72" s="58">
        <v>1913.67</v>
      </c>
      <c r="FB72" s="58">
        <v>1011.2190000000001</v>
      </c>
      <c r="FC72" s="58">
        <v>902.45100000000002</v>
      </c>
      <c r="FD72" s="58">
        <v>1291.079</v>
      </c>
      <c r="FE72" s="58">
        <v>833.31299999999999</v>
      </c>
      <c r="FF72" s="58">
        <v>457.76600000000002</v>
      </c>
      <c r="FG72" s="58">
        <v>622.59100000000001</v>
      </c>
      <c r="FH72" s="58">
        <v>177.90600000000001</v>
      </c>
      <c r="FI72" s="58">
        <v>444.685</v>
      </c>
      <c r="FJ72" s="58">
        <v>231.94200000000001</v>
      </c>
      <c r="FK72" s="58">
        <v>127.36799999999999</v>
      </c>
      <c r="FL72" s="58">
        <v>104.57299999999999</v>
      </c>
      <c r="FM72" s="58">
        <v>66.73</v>
      </c>
      <c r="FN72" s="58">
        <v>44.014000000000003</v>
      </c>
      <c r="FO72" s="58">
        <v>22.716000000000001</v>
      </c>
      <c r="FP72" s="58">
        <v>27.850999999999999</v>
      </c>
      <c r="FQ72" s="58">
        <v>23.443999999999999</v>
      </c>
      <c r="FR72" s="58">
        <v>4.4059999999999997</v>
      </c>
      <c r="FS72" s="58">
        <v>20.026</v>
      </c>
      <c r="FT72" s="58">
        <v>16.266999999999999</v>
      </c>
      <c r="FU72" s="58">
        <v>3.7589999999999999</v>
      </c>
      <c r="FV72" s="58">
        <v>7.8250000000000002</v>
      </c>
      <c r="FW72" s="58">
        <v>7.1779999999999999</v>
      </c>
      <c r="FX72" s="58">
        <v>0.64700000000000002</v>
      </c>
      <c r="FY72" s="58">
        <v>38.880000000000003</v>
      </c>
      <c r="FZ72" s="58">
        <v>20.57</v>
      </c>
      <c r="GA72" s="58">
        <v>18.309999999999999</v>
      </c>
      <c r="GB72" s="58">
        <v>194.63399999999999</v>
      </c>
      <c r="GC72" s="58">
        <v>102.077</v>
      </c>
      <c r="GD72" s="58">
        <v>92.558000000000007</v>
      </c>
      <c r="GE72" s="58">
        <v>66.316999999999993</v>
      </c>
      <c r="GF72" s="58">
        <v>50.332000000000001</v>
      </c>
      <c r="GG72" s="58">
        <v>15.984999999999999</v>
      </c>
      <c r="GH72" s="58">
        <v>128.31800000000001</v>
      </c>
      <c r="GI72" s="58">
        <v>51.744999999999997</v>
      </c>
      <c r="GJ72" s="58">
        <v>76.572999999999993</v>
      </c>
      <c r="GK72" s="58">
        <v>89.600999999999999</v>
      </c>
      <c r="GL72" s="58">
        <v>69.209999999999994</v>
      </c>
      <c r="GM72" s="58">
        <v>20.390999999999998</v>
      </c>
      <c r="GN72" s="58">
        <v>142.34100000000001</v>
      </c>
      <c r="GO72" s="58">
        <v>58.158999999999999</v>
      </c>
      <c r="GP72" s="58">
        <v>84.182000000000002</v>
      </c>
      <c r="GQ72" s="58">
        <v>148.34299999999999</v>
      </c>
      <c r="GR72" s="58">
        <v>68.012</v>
      </c>
      <c r="GS72" s="58">
        <v>80.331999999999994</v>
      </c>
      <c r="GT72" s="58">
        <v>591.19399999999996</v>
      </c>
      <c r="GU72" s="58">
        <v>350.96899999999999</v>
      </c>
      <c r="GV72" s="58">
        <v>240.226</v>
      </c>
      <c r="GW72" s="58">
        <v>254.346</v>
      </c>
      <c r="GX72" s="58">
        <v>179.87200000000001</v>
      </c>
      <c r="GY72" s="58">
        <v>74.474000000000004</v>
      </c>
      <c r="GZ72" s="58">
        <v>336.84899999999999</v>
      </c>
      <c r="HA72" s="58">
        <v>171.09700000000001</v>
      </c>
      <c r="HB72" s="58">
        <v>165.75200000000001</v>
      </c>
      <c r="HC72" s="58">
        <v>59.651000000000003</v>
      </c>
      <c r="HD72" s="58">
        <v>39.069000000000003</v>
      </c>
      <c r="HE72" s="58">
        <v>20.582000000000001</v>
      </c>
      <c r="HF72" s="58">
        <v>27.843</v>
      </c>
      <c r="HG72" s="58">
        <v>19.382999999999999</v>
      </c>
      <c r="HH72" s="58">
        <v>8.4600000000000009</v>
      </c>
      <c r="HI72" s="58">
        <v>9.1479999999999997</v>
      </c>
      <c r="HJ72" s="58">
        <v>6.5720000000000001</v>
      </c>
      <c r="HK72" s="58">
        <v>2.5750000000000002</v>
      </c>
      <c r="HL72" s="58">
        <v>5.5019999999999998</v>
      </c>
      <c r="HM72" s="58">
        <v>4.1139999999999999</v>
      </c>
      <c r="HN72" s="58">
        <v>1.3879999999999999</v>
      </c>
      <c r="HO72" s="58">
        <v>3.645</v>
      </c>
      <c r="HP72" s="58">
        <v>2.4580000000000002</v>
      </c>
      <c r="HQ72" s="58">
        <v>1.1870000000000001</v>
      </c>
      <c r="HR72" s="58">
        <v>18.695</v>
      </c>
      <c r="HS72" s="58">
        <v>12.811</v>
      </c>
      <c r="HT72" s="58">
        <v>5.8840000000000003</v>
      </c>
      <c r="HU72" s="58">
        <v>37.549999999999997</v>
      </c>
      <c r="HV72" s="58">
        <v>24.954000000000001</v>
      </c>
      <c r="HW72" s="58">
        <v>12.596</v>
      </c>
      <c r="HX72" s="58">
        <v>7.2789999999999999</v>
      </c>
      <c r="HY72" s="58">
        <v>4.4029999999999996</v>
      </c>
      <c r="HZ72" s="58">
        <v>2.8759999999999999</v>
      </c>
      <c r="IA72" s="58">
        <v>30.271000000000001</v>
      </c>
      <c r="IB72" s="58">
        <v>20.550999999999998</v>
      </c>
      <c r="IC72" s="58">
        <v>9.7200000000000006</v>
      </c>
      <c r="ID72" s="58">
        <v>16.001000000000001</v>
      </c>
      <c r="IE72" s="58">
        <v>10.548999999999999</v>
      </c>
      <c r="IF72" s="58">
        <v>5.452</v>
      </c>
      <c r="IG72" s="58">
        <v>43.65</v>
      </c>
      <c r="IH72" s="58">
        <v>28.518999999999998</v>
      </c>
      <c r="II72" s="58">
        <v>15.131</v>
      </c>
      <c r="IJ72" s="58">
        <v>35.773000000000003</v>
      </c>
      <c r="IK72" s="58">
        <v>24.664999999999999</v>
      </c>
      <c r="IL72" s="58">
        <v>11.108000000000001</v>
      </c>
      <c r="IM72" s="58">
        <v>4132.2820000000002</v>
      </c>
      <c r="IN72" s="58">
        <v>2213.6410000000001</v>
      </c>
      <c r="IO72" s="58">
        <v>1918.6410000000001</v>
      </c>
      <c r="IP72" s="58">
        <v>2859.6880000000001</v>
      </c>
      <c r="IQ72" s="58">
        <v>1779.491</v>
      </c>
    </row>
    <row r="73" spans="1:251">
      <c r="A73" s="5">
        <v>43709</v>
      </c>
      <c r="B73" s="58">
        <v>13.41</v>
      </c>
      <c r="C73" s="58">
        <v>17.265999999999998</v>
      </c>
      <c r="D73" s="58">
        <v>384.18900000000002</v>
      </c>
      <c r="E73" s="58">
        <v>230.749</v>
      </c>
      <c r="F73" s="58">
        <v>153.44</v>
      </c>
      <c r="G73" s="58">
        <v>182.51</v>
      </c>
      <c r="H73" s="58">
        <v>135.649</v>
      </c>
      <c r="I73" s="58">
        <v>46.860999999999997</v>
      </c>
      <c r="J73" s="58">
        <v>201.679</v>
      </c>
      <c r="K73" s="58">
        <v>95.1</v>
      </c>
      <c r="L73" s="58">
        <v>106.57899999999999</v>
      </c>
      <c r="M73" s="58">
        <v>205.44900000000001</v>
      </c>
      <c r="N73" s="58">
        <v>154.25200000000001</v>
      </c>
      <c r="O73" s="58">
        <v>51.197000000000003</v>
      </c>
      <c r="P73" s="58">
        <v>214.09</v>
      </c>
      <c r="Q73" s="58">
        <v>97.989000000000004</v>
      </c>
      <c r="R73" s="58">
        <v>116.101</v>
      </c>
      <c r="S73" s="58">
        <v>215.70699999999999</v>
      </c>
      <c r="T73" s="58">
        <v>106.57599999999999</v>
      </c>
      <c r="U73" s="58">
        <v>109.131</v>
      </c>
      <c r="V73" s="58">
        <v>2799.7809999999999</v>
      </c>
      <c r="W73" s="58">
        <v>1494.5150000000001</v>
      </c>
      <c r="X73" s="58">
        <v>1305.2660000000001</v>
      </c>
      <c r="Y73" s="58">
        <v>2104.2089999999998</v>
      </c>
      <c r="Z73" s="58">
        <v>1369.3520000000001</v>
      </c>
      <c r="AA73" s="58">
        <v>734.85699999999997</v>
      </c>
      <c r="AB73" s="58">
        <v>695.572</v>
      </c>
      <c r="AC73" s="58">
        <v>125.163</v>
      </c>
      <c r="AD73" s="58">
        <v>570.40899999999999</v>
      </c>
      <c r="AE73" s="58">
        <v>352.73099999999999</v>
      </c>
      <c r="AF73" s="58">
        <v>181.28700000000001</v>
      </c>
      <c r="AG73" s="58">
        <v>171.44499999999999</v>
      </c>
      <c r="AH73" s="58">
        <v>57.95</v>
      </c>
      <c r="AI73" s="58">
        <v>30.481999999999999</v>
      </c>
      <c r="AJ73" s="58">
        <v>27.468</v>
      </c>
      <c r="AK73" s="58">
        <v>32.192</v>
      </c>
      <c r="AL73" s="58">
        <v>23.02</v>
      </c>
      <c r="AM73" s="58">
        <v>9.1709999999999994</v>
      </c>
      <c r="AN73" s="58">
        <v>17.975000000000001</v>
      </c>
      <c r="AO73" s="58">
        <v>11.441000000000001</v>
      </c>
      <c r="AP73" s="58">
        <v>6.5339999999999998</v>
      </c>
      <c r="AQ73" s="58">
        <v>14.217000000000001</v>
      </c>
      <c r="AR73" s="58">
        <v>11.579000000000001</v>
      </c>
      <c r="AS73" s="58">
        <v>2.6379999999999999</v>
      </c>
      <c r="AT73" s="58">
        <v>25.759</v>
      </c>
      <c r="AU73" s="58">
        <v>7.4619999999999997</v>
      </c>
      <c r="AV73" s="58">
        <v>18.297000000000001</v>
      </c>
      <c r="AW73" s="58">
        <v>314.11200000000002</v>
      </c>
      <c r="AX73" s="58">
        <v>161.62799999999999</v>
      </c>
      <c r="AY73" s="58">
        <v>152.48400000000001</v>
      </c>
      <c r="AZ73" s="58">
        <v>153.71100000000001</v>
      </c>
      <c r="BA73" s="58">
        <v>114.85899999999999</v>
      </c>
      <c r="BB73" s="58">
        <v>38.851999999999997</v>
      </c>
      <c r="BC73" s="58">
        <v>160.40100000000001</v>
      </c>
      <c r="BD73" s="58">
        <v>46.768999999999998</v>
      </c>
      <c r="BE73" s="58">
        <v>113.63200000000001</v>
      </c>
      <c r="BF73" s="58">
        <v>180.548</v>
      </c>
      <c r="BG73" s="58">
        <v>133.41800000000001</v>
      </c>
      <c r="BH73" s="58">
        <v>47.13</v>
      </c>
      <c r="BI73" s="58">
        <v>172.18299999999999</v>
      </c>
      <c r="BJ73" s="58">
        <v>47.868000000000002</v>
      </c>
      <c r="BK73" s="58">
        <v>124.31399999999999</v>
      </c>
      <c r="BL73" s="58">
        <v>178.376</v>
      </c>
      <c r="BM73" s="58">
        <v>58.210999999999999</v>
      </c>
      <c r="BN73" s="58">
        <v>120.166</v>
      </c>
      <c r="BO73" s="58">
        <v>2623.8409999999999</v>
      </c>
      <c r="BP73" s="58">
        <v>1332.377</v>
      </c>
      <c r="BQ73" s="58">
        <v>1291.463</v>
      </c>
      <c r="BR73" s="58">
        <v>1977.0429999999999</v>
      </c>
      <c r="BS73" s="58">
        <v>1204.0429999999999</v>
      </c>
      <c r="BT73" s="58">
        <v>773</v>
      </c>
      <c r="BU73" s="58">
        <v>646.798</v>
      </c>
      <c r="BV73" s="58">
        <v>128.334</v>
      </c>
      <c r="BW73" s="58">
        <v>518.46400000000006</v>
      </c>
      <c r="BX73" s="58">
        <v>318.29700000000003</v>
      </c>
      <c r="BY73" s="58">
        <v>153.27799999999999</v>
      </c>
      <c r="BZ73" s="58">
        <v>165.01900000000001</v>
      </c>
      <c r="CA73" s="58">
        <v>64.325000000000003</v>
      </c>
      <c r="CB73" s="58">
        <v>39.917999999999999</v>
      </c>
      <c r="CC73" s="58">
        <v>24.407</v>
      </c>
      <c r="CD73" s="58">
        <v>37.668999999999997</v>
      </c>
      <c r="CE73" s="58">
        <v>29.96</v>
      </c>
      <c r="CF73" s="58">
        <v>7.7089999999999996</v>
      </c>
      <c r="CG73" s="58">
        <v>14.331</v>
      </c>
      <c r="CH73" s="58">
        <v>11.172000000000001</v>
      </c>
      <c r="CI73" s="58">
        <v>3.1589999999999998</v>
      </c>
      <c r="CJ73" s="58">
        <v>23.338000000000001</v>
      </c>
      <c r="CK73" s="58">
        <v>18.788</v>
      </c>
      <c r="CL73" s="58">
        <v>4.55</v>
      </c>
      <c r="CM73" s="58">
        <v>26.655999999999999</v>
      </c>
      <c r="CN73" s="58">
        <v>9.9580000000000002</v>
      </c>
      <c r="CO73" s="58">
        <v>16.698</v>
      </c>
      <c r="CP73" s="58">
        <v>274.11900000000003</v>
      </c>
      <c r="CQ73" s="58">
        <v>124.50700000000001</v>
      </c>
      <c r="CR73" s="58">
        <v>149.61199999999999</v>
      </c>
      <c r="CS73" s="58">
        <v>122.922</v>
      </c>
      <c r="CT73" s="58">
        <v>82.694000000000003</v>
      </c>
      <c r="CU73" s="58">
        <v>40.228000000000002</v>
      </c>
      <c r="CV73" s="58">
        <v>151.197</v>
      </c>
      <c r="CW73" s="58">
        <v>41.813000000000002</v>
      </c>
      <c r="CX73" s="58">
        <v>109.38500000000001</v>
      </c>
      <c r="CY73" s="58">
        <v>155.74299999999999</v>
      </c>
      <c r="CZ73" s="58">
        <v>108.38500000000001</v>
      </c>
      <c r="DA73" s="58">
        <v>47.357999999999997</v>
      </c>
      <c r="DB73" s="58">
        <v>162.554</v>
      </c>
      <c r="DC73" s="58">
        <v>44.893000000000001</v>
      </c>
      <c r="DD73" s="58">
        <v>117.661</v>
      </c>
      <c r="DE73" s="58">
        <v>165.529</v>
      </c>
      <c r="DF73" s="58">
        <v>52.984999999999999</v>
      </c>
      <c r="DG73" s="58">
        <v>112.544</v>
      </c>
      <c r="DH73" s="58">
        <v>2505.2640000000001</v>
      </c>
      <c r="DI73" s="58">
        <v>1372.143</v>
      </c>
      <c r="DJ73" s="58">
        <v>1133.1210000000001</v>
      </c>
      <c r="DK73" s="58">
        <v>1567.559</v>
      </c>
      <c r="DL73" s="58">
        <v>1019.256</v>
      </c>
      <c r="DM73" s="58">
        <v>548.30399999999997</v>
      </c>
      <c r="DN73" s="58">
        <v>937.70399999999995</v>
      </c>
      <c r="DO73" s="58">
        <v>352.887</v>
      </c>
      <c r="DP73" s="58">
        <v>584.81700000000001</v>
      </c>
      <c r="DQ73" s="58">
        <v>284.49299999999999</v>
      </c>
      <c r="DR73" s="58">
        <v>165.17599999999999</v>
      </c>
      <c r="DS73" s="58">
        <v>119.316</v>
      </c>
      <c r="DT73" s="58">
        <v>85.039000000000001</v>
      </c>
      <c r="DU73" s="58">
        <v>60.816000000000003</v>
      </c>
      <c r="DV73" s="58">
        <v>24.222999999999999</v>
      </c>
      <c r="DW73" s="58">
        <v>34.091999999999999</v>
      </c>
      <c r="DX73" s="58">
        <v>28.021000000000001</v>
      </c>
      <c r="DY73" s="58">
        <v>6.0709999999999997</v>
      </c>
      <c r="DZ73" s="58">
        <v>18.318000000000001</v>
      </c>
      <c r="EA73" s="58">
        <v>15.035</v>
      </c>
      <c r="EB73" s="58">
        <v>3.2829999999999999</v>
      </c>
      <c r="EC73" s="58">
        <v>15.773999999999999</v>
      </c>
      <c r="ED73" s="58">
        <v>12.986000000000001</v>
      </c>
      <c r="EE73" s="58">
        <v>2.7879999999999998</v>
      </c>
      <c r="EF73" s="58">
        <v>50.947000000000003</v>
      </c>
      <c r="EG73" s="58">
        <v>32.793999999999997</v>
      </c>
      <c r="EH73" s="58">
        <v>18.152000000000001</v>
      </c>
      <c r="EI73" s="58">
        <v>224.52799999999999</v>
      </c>
      <c r="EJ73" s="58">
        <v>122.764</v>
      </c>
      <c r="EK73" s="58">
        <v>101.76300000000001</v>
      </c>
      <c r="EL73" s="58">
        <v>79.289000000000001</v>
      </c>
      <c r="EM73" s="58">
        <v>54.426000000000002</v>
      </c>
      <c r="EN73" s="58">
        <v>24.863</v>
      </c>
      <c r="EO73" s="58">
        <v>145.239</v>
      </c>
      <c r="EP73" s="58">
        <v>68.337999999999994</v>
      </c>
      <c r="EQ73" s="58">
        <v>76.900999999999996</v>
      </c>
      <c r="ER73" s="58">
        <v>107.041</v>
      </c>
      <c r="ES73" s="58">
        <v>76.292000000000002</v>
      </c>
      <c r="ET73" s="58">
        <v>30.748999999999999</v>
      </c>
      <c r="EU73" s="58">
        <v>177.452</v>
      </c>
      <c r="EV73" s="58">
        <v>88.885000000000005</v>
      </c>
      <c r="EW73" s="58">
        <v>88.566999999999993</v>
      </c>
      <c r="EX73" s="58">
        <v>163.55699999999999</v>
      </c>
      <c r="EY73" s="58">
        <v>83.373999999999995</v>
      </c>
      <c r="EZ73" s="58">
        <v>80.183999999999997</v>
      </c>
      <c r="FA73" s="58">
        <v>1916.19</v>
      </c>
      <c r="FB73" s="58">
        <v>1020.967</v>
      </c>
      <c r="FC73" s="58">
        <v>895.22199999999998</v>
      </c>
      <c r="FD73" s="58">
        <v>1313.3710000000001</v>
      </c>
      <c r="FE73" s="58">
        <v>843.45399999999995</v>
      </c>
      <c r="FF73" s="58">
        <v>469.91699999999997</v>
      </c>
      <c r="FG73" s="58">
        <v>602.81899999999996</v>
      </c>
      <c r="FH73" s="58">
        <v>177.51300000000001</v>
      </c>
      <c r="FI73" s="58">
        <v>425.30599999999998</v>
      </c>
      <c r="FJ73" s="58">
        <v>229.85599999999999</v>
      </c>
      <c r="FK73" s="58">
        <v>126.95399999999999</v>
      </c>
      <c r="FL73" s="58">
        <v>102.902</v>
      </c>
      <c r="FM73" s="58">
        <v>59.878999999999998</v>
      </c>
      <c r="FN73" s="58">
        <v>41.274000000000001</v>
      </c>
      <c r="FO73" s="58">
        <v>18.605</v>
      </c>
      <c r="FP73" s="58">
        <v>26.321999999999999</v>
      </c>
      <c r="FQ73" s="58">
        <v>23.259</v>
      </c>
      <c r="FR73" s="58">
        <v>3.0630000000000002</v>
      </c>
      <c r="FS73" s="58">
        <v>13.288</v>
      </c>
      <c r="FT73" s="58">
        <v>12.029</v>
      </c>
      <c r="FU73" s="58">
        <v>1.2589999999999999</v>
      </c>
      <c r="FV73" s="58">
        <v>13.034000000000001</v>
      </c>
      <c r="FW73" s="58">
        <v>11.231</v>
      </c>
      <c r="FX73" s="58">
        <v>1.804</v>
      </c>
      <c r="FY73" s="58">
        <v>33.555999999999997</v>
      </c>
      <c r="FZ73" s="58">
        <v>18.015000000000001</v>
      </c>
      <c r="GA73" s="58">
        <v>15.542</v>
      </c>
      <c r="GB73" s="58">
        <v>189.202</v>
      </c>
      <c r="GC73" s="58">
        <v>98.844999999999999</v>
      </c>
      <c r="GD73" s="58">
        <v>90.356999999999999</v>
      </c>
      <c r="GE73" s="58">
        <v>71.697999999999993</v>
      </c>
      <c r="GF73" s="58">
        <v>49.996000000000002</v>
      </c>
      <c r="GG73" s="58">
        <v>21.702999999999999</v>
      </c>
      <c r="GH73" s="58">
        <v>117.503</v>
      </c>
      <c r="GI73" s="58">
        <v>48.85</v>
      </c>
      <c r="GJ73" s="58">
        <v>68.653999999999996</v>
      </c>
      <c r="GK73" s="58">
        <v>92.956000000000003</v>
      </c>
      <c r="GL73" s="58">
        <v>68.375</v>
      </c>
      <c r="GM73" s="58">
        <v>24.581</v>
      </c>
      <c r="GN73" s="58">
        <v>136.9</v>
      </c>
      <c r="GO73" s="58">
        <v>58.579000000000001</v>
      </c>
      <c r="GP73" s="58">
        <v>78.320999999999998</v>
      </c>
      <c r="GQ73" s="58">
        <v>130.792</v>
      </c>
      <c r="GR73" s="58">
        <v>60.878</v>
      </c>
      <c r="GS73" s="58">
        <v>69.912999999999997</v>
      </c>
      <c r="GT73" s="58">
        <v>589.07399999999996</v>
      </c>
      <c r="GU73" s="58">
        <v>351.17599999999999</v>
      </c>
      <c r="GV73" s="58">
        <v>237.898</v>
      </c>
      <c r="GW73" s="58">
        <v>254.18899999999999</v>
      </c>
      <c r="GX73" s="58">
        <v>175.80099999999999</v>
      </c>
      <c r="GY73" s="58">
        <v>78.387</v>
      </c>
      <c r="GZ73" s="58">
        <v>334.88499999999999</v>
      </c>
      <c r="HA73" s="58">
        <v>175.374</v>
      </c>
      <c r="HB73" s="58">
        <v>159.511</v>
      </c>
      <c r="HC73" s="58">
        <v>54.636000000000003</v>
      </c>
      <c r="HD73" s="58">
        <v>38.222999999999999</v>
      </c>
      <c r="HE73" s="58">
        <v>16.414000000000001</v>
      </c>
      <c r="HF73" s="58">
        <v>25.16</v>
      </c>
      <c r="HG73" s="58">
        <v>19.542000000000002</v>
      </c>
      <c r="HH73" s="58">
        <v>5.6189999999999998</v>
      </c>
      <c r="HI73" s="58">
        <v>7.77</v>
      </c>
      <c r="HJ73" s="58">
        <v>4.7619999999999996</v>
      </c>
      <c r="HK73" s="58">
        <v>3.008</v>
      </c>
      <c r="HL73" s="58">
        <v>5.03</v>
      </c>
      <c r="HM73" s="58">
        <v>3.0070000000000001</v>
      </c>
      <c r="HN73" s="58">
        <v>2.024</v>
      </c>
      <c r="HO73" s="58">
        <v>2.74</v>
      </c>
      <c r="HP73" s="58">
        <v>1.7549999999999999</v>
      </c>
      <c r="HQ73" s="58">
        <v>0.98399999999999999</v>
      </c>
      <c r="HR73" s="58">
        <v>17.39</v>
      </c>
      <c r="HS73" s="58">
        <v>14.78</v>
      </c>
      <c r="HT73" s="58">
        <v>2.6110000000000002</v>
      </c>
      <c r="HU73" s="58">
        <v>35.326000000000001</v>
      </c>
      <c r="HV73" s="58">
        <v>23.919</v>
      </c>
      <c r="HW73" s="58">
        <v>11.407</v>
      </c>
      <c r="HX73" s="58">
        <v>7.5910000000000002</v>
      </c>
      <c r="HY73" s="58">
        <v>4.43</v>
      </c>
      <c r="HZ73" s="58">
        <v>3.16</v>
      </c>
      <c r="IA73" s="58">
        <v>27.734999999999999</v>
      </c>
      <c r="IB73" s="58">
        <v>19.489000000000001</v>
      </c>
      <c r="IC73" s="58">
        <v>8.2469999999999999</v>
      </c>
      <c r="ID73" s="58">
        <v>14.085000000000001</v>
      </c>
      <c r="IE73" s="58">
        <v>7.9169999999999998</v>
      </c>
      <c r="IF73" s="58">
        <v>6.1680000000000001</v>
      </c>
      <c r="IG73" s="58">
        <v>40.551000000000002</v>
      </c>
      <c r="IH73" s="58">
        <v>30.306000000000001</v>
      </c>
      <c r="II73" s="58">
        <v>10.244999999999999</v>
      </c>
      <c r="IJ73" s="58">
        <v>32.765999999999998</v>
      </c>
      <c r="IK73" s="58">
        <v>22.495000000000001</v>
      </c>
      <c r="IL73" s="58">
        <v>10.27</v>
      </c>
      <c r="IM73" s="58">
        <v>4137.8469999999998</v>
      </c>
      <c r="IN73" s="58">
        <v>2207.616</v>
      </c>
      <c r="IO73" s="58">
        <v>1930.231</v>
      </c>
      <c r="IP73" s="58">
        <v>2888.9720000000002</v>
      </c>
      <c r="IQ73" s="58">
        <v>1793.91</v>
      </c>
    </row>
    <row r="74" spans="1:251">
      <c r="A74" s="5">
        <v>43739</v>
      </c>
      <c r="B74" s="58">
        <v>14.215</v>
      </c>
      <c r="C74" s="58">
        <v>19.472999999999999</v>
      </c>
      <c r="D74" s="58">
        <v>386.20400000000001</v>
      </c>
      <c r="E74" s="58">
        <v>219.10300000000001</v>
      </c>
      <c r="F74" s="58">
        <v>167.101</v>
      </c>
      <c r="G74" s="58">
        <v>189.602</v>
      </c>
      <c r="H74" s="58">
        <v>142.40899999999999</v>
      </c>
      <c r="I74" s="58">
        <v>47.192999999999998</v>
      </c>
      <c r="J74" s="58">
        <v>196.602</v>
      </c>
      <c r="K74" s="58">
        <v>76.694000000000003</v>
      </c>
      <c r="L74" s="58">
        <v>119.908</v>
      </c>
      <c r="M74" s="58">
        <v>212.93</v>
      </c>
      <c r="N74" s="58">
        <v>161.596</v>
      </c>
      <c r="O74" s="58">
        <v>51.334000000000003</v>
      </c>
      <c r="P74" s="58">
        <v>208.94900000000001</v>
      </c>
      <c r="Q74" s="58">
        <v>79.527000000000001</v>
      </c>
      <c r="R74" s="58">
        <v>129.423</v>
      </c>
      <c r="S74" s="58">
        <v>216.74600000000001</v>
      </c>
      <c r="T74" s="58">
        <v>92.150999999999996</v>
      </c>
      <c r="U74" s="58">
        <v>124.59399999999999</v>
      </c>
      <c r="V74" s="58">
        <v>2807.2939999999999</v>
      </c>
      <c r="W74" s="58">
        <v>1498.335</v>
      </c>
      <c r="X74" s="58">
        <v>1308.9590000000001</v>
      </c>
      <c r="Y74" s="58">
        <v>2095.1439999999998</v>
      </c>
      <c r="Z74" s="58">
        <v>1371.49</v>
      </c>
      <c r="AA74" s="58">
        <v>723.65300000000002</v>
      </c>
      <c r="AB74" s="58">
        <v>712.15</v>
      </c>
      <c r="AC74" s="58">
        <v>126.845</v>
      </c>
      <c r="AD74" s="58">
        <v>585.30499999999995</v>
      </c>
      <c r="AE74" s="58">
        <v>348.34199999999998</v>
      </c>
      <c r="AF74" s="58">
        <v>181.059</v>
      </c>
      <c r="AG74" s="58">
        <v>167.28299999999999</v>
      </c>
      <c r="AH74" s="58">
        <v>49.698999999999998</v>
      </c>
      <c r="AI74" s="58">
        <v>26.943000000000001</v>
      </c>
      <c r="AJ74" s="58">
        <v>22.754999999999999</v>
      </c>
      <c r="AK74" s="58">
        <v>28.286000000000001</v>
      </c>
      <c r="AL74" s="58">
        <v>21.39</v>
      </c>
      <c r="AM74" s="58">
        <v>6.8959999999999999</v>
      </c>
      <c r="AN74" s="58">
        <v>16.084</v>
      </c>
      <c r="AO74" s="58">
        <v>12.91</v>
      </c>
      <c r="AP74" s="58">
        <v>3.1739999999999999</v>
      </c>
      <c r="AQ74" s="58">
        <v>12.202999999999999</v>
      </c>
      <c r="AR74" s="58">
        <v>8.4809999999999999</v>
      </c>
      <c r="AS74" s="58">
        <v>3.722</v>
      </c>
      <c r="AT74" s="58">
        <v>21.411999999999999</v>
      </c>
      <c r="AU74" s="58">
        <v>5.5529999999999999</v>
      </c>
      <c r="AV74" s="58">
        <v>15.86</v>
      </c>
      <c r="AW74" s="58">
        <v>321.04199999999997</v>
      </c>
      <c r="AX74" s="58">
        <v>166.898</v>
      </c>
      <c r="AY74" s="58">
        <v>154.14400000000001</v>
      </c>
      <c r="AZ74" s="58">
        <v>158.06800000000001</v>
      </c>
      <c r="BA74" s="58">
        <v>120.64100000000001</v>
      </c>
      <c r="BB74" s="58">
        <v>37.426000000000002</v>
      </c>
      <c r="BC74" s="58">
        <v>162.97499999999999</v>
      </c>
      <c r="BD74" s="58">
        <v>46.256999999999998</v>
      </c>
      <c r="BE74" s="58">
        <v>116.718</v>
      </c>
      <c r="BF74" s="58">
        <v>176.047</v>
      </c>
      <c r="BG74" s="58">
        <v>133.572</v>
      </c>
      <c r="BH74" s="58">
        <v>42.475000000000001</v>
      </c>
      <c r="BI74" s="58">
        <v>172.29499999999999</v>
      </c>
      <c r="BJ74" s="58">
        <v>47.485999999999997</v>
      </c>
      <c r="BK74" s="58">
        <v>124.80800000000001</v>
      </c>
      <c r="BL74" s="58">
        <v>179.05799999999999</v>
      </c>
      <c r="BM74" s="58">
        <v>59.165999999999997</v>
      </c>
      <c r="BN74" s="58">
        <v>119.892</v>
      </c>
      <c r="BO74" s="58">
        <v>2626.4119999999998</v>
      </c>
      <c r="BP74" s="58">
        <v>1339.6849999999999</v>
      </c>
      <c r="BQ74" s="58">
        <v>1286.7280000000001</v>
      </c>
      <c r="BR74" s="58">
        <v>1966.32</v>
      </c>
      <c r="BS74" s="58">
        <v>1206.9780000000001</v>
      </c>
      <c r="BT74" s="58">
        <v>759.34199999999998</v>
      </c>
      <c r="BU74" s="58">
        <v>660.09199999999998</v>
      </c>
      <c r="BV74" s="58">
        <v>132.70699999999999</v>
      </c>
      <c r="BW74" s="58">
        <v>527.38599999999997</v>
      </c>
      <c r="BX74" s="58">
        <v>313.63</v>
      </c>
      <c r="BY74" s="58">
        <v>142.185</v>
      </c>
      <c r="BZ74" s="58">
        <v>171.44399999999999</v>
      </c>
      <c r="CA74" s="58">
        <v>61.674999999999997</v>
      </c>
      <c r="CB74" s="58">
        <v>31.588999999999999</v>
      </c>
      <c r="CC74" s="58">
        <v>30.085999999999999</v>
      </c>
      <c r="CD74" s="58">
        <v>28.138999999999999</v>
      </c>
      <c r="CE74" s="58">
        <v>21.077999999999999</v>
      </c>
      <c r="CF74" s="58">
        <v>7.0609999999999999</v>
      </c>
      <c r="CG74" s="58">
        <v>20.016999999999999</v>
      </c>
      <c r="CH74" s="58">
        <v>14.659000000000001</v>
      </c>
      <c r="CI74" s="58">
        <v>5.3570000000000002</v>
      </c>
      <c r="CJ74" s="58">
        <v>8.1219999999999999</v>
      </c>
      <c r="CK74" s="58">
        <v>6.4189999999999996</v>
      </c>
      <c r="CL74" s="58">
        <v>1.7030000000000001</v>
      </c>
      <c r="CM74" s="58">
        <v>33.536000000000001</v>
      </c>
      <c r="CN74" s="58">
        <v>10.510999999999999</v>
      </c>
      <c r="CO74" s="58">
        <v>23.024999999999999</v>
      </c>
      <c r="CP74" s="58">
        <v>278.15300000000002</v>
      </c>
      <c r="CQ74" s="58">
        <v>125.123</v>
      </c>
      <c r="CR74" s="58">
        <v>153.03</v>
      </c>
      <c r="CS74" s="58">
        <v>124.185</v>
      </c>
      <c r="CT74" s="58">
        <v>81.462999999999994</v>
      </c>
      <c r="CU74" s="58">
        <v>42.722000000000001</v>
      </c>
      <c r="CV74" s="58">
        <v>153.96799999999999</v>
      </c>
      <c r="CW74" s="58">
        <v>43.66</v>
      </c>
      <c r="CX74" s="58">
        <v>110.30800000000001</v>
      </c>
      <c r="CY74" s="58">
        <v>143.24199999999999</v>
      </c>
      <c r="CZ74" s="58">
        <v>95.739000000000004</v>
      </c>
      <c r="DA74" s="58">
        <v>47.503</v>
      </c>
      <c r="DB74" s="58">
        <v>170.38800000000001</v>
      </c>
      <c r="DC74" s="58">
        <v>46.447000000000003</v>
      </c>
      <c r="DD74" s="58">
        <v>123.941</v>
      </c>
      <c r="DE74" s="58">
        <v>173.98500000000001</v>
      </c>
      <c r="DF74" s="58">
        <v>58.32</v>
      </c>
      <c r="DG74" s="58">
        <v>115.66500000000001</v>
      </c>
      <c r="DH74" s="58">
        <v>2478.8760000000002</v>
      </c>
      <c r="DI74" s="58">
        <v>1358.9359999999999</v>
      </c>
      <c r="DJ74" s="58">
        <v>1119.9390000000001</v>
      </c>
      <c r="DK74" s="58">
        <v>1540.547</v>
      </c>
      <c r="DL74" s="58">
        <v>1009.003</v>
      </c>
      <c r="DM74" s="58">
        <v>531.54300000000001</v>
      </c>
      <c r="DN74" s="58">
        <v>938.32899999999995</v>
      </c>
      <c r="DO74" s="58">
        <v>349.93299999999999</v>
      </c>
      <c r="DP74" s="58">
        <v>588.39599999999996</v>
      </c>
      <c r="DQ74" s="58">
        <v>296.11099999999999</v>
      </c>
      <c r="DR74" s="58">
        <v>164.904</v>
      </c>
      <c r="DS74" s="58">
        <v>131.20699999999999</v>
      </c>
      <c r="DT74" s="58">
        <v>83.994</v>
      </c>
      <c r="DU74" s="58">
        <v>51.540999999999997</v>
      </c>
      <c r="DV74" s="58">
        <v>32.453000000000003</v>
      </c>
      <c r="DW74" s="58">
        <v>25.273</v>
      </c>
      <c r="DX74" s="58">
        <v>21.143999999999998</v>
      </c>
      <c r="DY74" s="58">
        <v>4.13</v>
      </c>
      <c r="DZ74" s="58">
        <v>14.178000000000001</v>
      </c>
      <c r="EA74" s="58">
        <v>11.85</v>
      </c>
      <c r="EB74" s="58">
        <v>2.3279999999999998</v>
      </c>
      <c r="EC74" s="58">
        <v>11.096</v>
      </c>
      <c r="ED74" s="58">
        <v>9.2940000000000005</v>
      </c>
      <c r="EE74" s="58">
        <v>1.802</v>
      </c>
      <c r="EF74" s="58">
        <v>58.72</v>
      </c>
      <c r="EG74" s="58">
        <v>30.396999999999998</v>
      </c>
      <c r="EH74" s="58">
        <v>28.323</v>
      </c>
      <c r="EI74" s="58">
        <v>239.8</v>
      </c>
      <c r="EJ74" s="58">
        <v>131.13399999999999</v>
      </c>
      <c r="EK74" s="58">
        <v>108.666</v>
      </c>
      <c r="EL74" s="58">
        <v>84.174999999999997</v>
      </c>
      <c r="EM74" s="58">
        <v>63.100999999999999</v>
      </c>
      <c r="EN74" s="58">
        <v>21.074000000000002</v>
      </c>
      <c r="EO74" s="58">
        <v>155.625</v>
      </c>
      <c r="EP74" s="58">
        <v>68.033000000000001</v>
      </c>
      <c r="EQ74" s="58">
        <v>87.591999999999999</v>
      </c>
      <c r="ER74" s="58">
        <v>103.262</v>
      </c>
      <c r="ES74" s="58">
        <v>79.468000000000004</v>
      </c>
      <c r="ET74" s="58">
        <v>23.792999999999999</v>
      </c>
      <c r="EU74" s="58">
        <v>192.85</v>
      </c>
      <c r="EV74" s="58">
        <v>85.436000000000007</v>
      </c>
      <c r="EW74" s="58">
        <v>107.414</v>
      </c>
      <c r="EX74" s="58">
        <v>169.803</v>
      </c>
      <c r="EY74" s="58">
        <v>79.882999999999996</v>
      </c>
      <c r="EZ74" s="58">
        <v>89.92</v>
      </c>
      <c r="FA74" s="58">
        <v>1901.404</v>
      </c>
      <c r="FB74" s="58">
        <v>1016.42</v>
      </c>
      <c r="FC74" s="58">
        <v>884.98400000000004</v>
      </c>
      <c r="FD74" s="58">
        <v>1285.338</v>
      </c>
      <c r="FE74" s="58">
        <v>828.89700000000005</v>
      </c>
      <c r="FF74" s="58">
        <v>456.44200000000001</v>
      </c>
      <c r="FG74" s="58">
        <v>616.06600000000003</v>
      </c>
      <c r="FH74" s="58">
        <v>187.524</v>
      </c>
      <c r="FI74" s="58">
        <v>428.54199999999997</v>
      </c>
      <c r="FJ74" s="58">
        <v>241.09</v>
      </c>
      <c r="FK74" s="58">
        <v>130.05099999999999</v>
      </c>
      <c r="FL74" s="58">
        <v>111.038</v>
      </c>
      <c r="FM74" s="58">
        <v>62.274000000000001</v>
      </c>
      <c r="FN74" s="58">
        <v>37.319000000000003</v>
      </c>
      <c r="FO74" s="58">
        <v>24.954999999999998</v>
      </c>
      <c r="FP74" s="58">
        <v>19.315999999999999</v>
      </c>
      <c r="FQ74" s="58">
        <v>15.879</v>
      </c>
      <c r="FR74" s="58">
        <v>3.4369999999999998</v>
      </c>
      <c r="FS74" s="58">
        <v>11.24</v>
      </c>
      <c r="FT74" s="58">
        <v>9.1189999999999998</v>
      </c>
      <c r="FU74" s="58">
        <v>2.121</v>
      </c>
      <c r="FV74" s="58">
        <v>8.0760000000000005</v>
      </c>
      <c r="FW74" s="58">
        <v>6.76</v>
      </c>
      <c r="FX74" s="58">
        <v>1.3160000000000001</v>
      </c>
      <c r="FY74" s="58">
        <v>42.957000000000001</v>
      </c>
      <c r="FZ74" s="58">
        <v>21.44</v>
      </c>
      <c r="GA74" s="58">
        <v>21.518000000000001</v>
      </c>
      <c r="GB74" s="58">
        <v>203.29400000000001</v>
      </c>
      <c r="GC74" s="58">
        <v>108.72</v>
      </c>
      <c r="GD74" s="58">
        <v>94.573999999999998</v>
      </c>
      <c r="GE74" s="58">
        <v>77.063000000000002</v>
      </c>
      <c r="GF74" s="58">
        <v>57.725999999999999</v>
      </c>
      <c r="GG74" s="58">
        <v>19.338000000000001</v>
      </c>
      <c r="GH74" s="58">
        <v>126.23099999999999</v>
      </c>
      <c r="GI74" s="58">
        <v>50.994</v>
      </c>
      <c r="GJ74" s="58">
        <v>75.236999999999995</v>
      </c>
      <c r="GK74" s="58">
        <v>90.897000000000006</v>
      </c>
      <c r="GL74" s="58">
        <v>69.533000000000001</v>
      </c>
      <c r="GM74" s="58">
        <v>21.364000000000001</v>
      </c>
      <c r="GN74" s="58">
        <v>150.19300000000001</v>
      </c>
      <c r="GO74" s="58">
        <v>60.518999999999998</v>
      </c>
      <c r="GP74" s="58">
        <v>89.674000000000007</v>
      </c>
      <c r="GQ74" s="58">
        <v>137.471</v>
      </c>
      <c r="GR74" s="58">
        <v>60.113</v>
      </c>
      <c r="GS74" s="58">
        <v>77.358000000000004</v>
      </c>
      <c r="GT74" s="58">
        <v>577.471</v>
      </c>
      <c r="GU74" s="58">
        <v>342.51600000000002</v>
      </c>
      <c r="GV74" s="58">
        <v>234.95500000000001</v>
      </c>
      <c r="GW74" s="58">
        <v>255.208</v>
      </c>
      <c r="GX74" s="58">
        <v>180.107</v>
      </c>
      <c r="GY74" s="58">
        <v>75.102000000000004</v>
      </c>
      <c r="GZ74" s="58">
        <v>322.26299999999998</v>
      </c>
      <c r="HA74" s="58">
        <v>162.40899999999999</v>
      </c>
      <c r="HB74" s="58">
        <v>159.85300000000001</v>
      </c>
      <c r="HC74" s="58">
        <v>55.021999999999998</v>
      </c>
      <c r="HD74" s="58">
        <v>34.853000000000002</v>
      </c>
      <c r="HE74" s="58">
        <v>20.169</v>
      </c>
      <c r="HF74" s="58">
        <v>21.72</v>
      </c>
      <c r="HG74" s="58">
        <v>14.222</v>
      </c>
      <c r="HH74" s="58">
        <v>7.4980000000000002</v>
      </c>
      <c r="HI74" s="58">
        <v>5.9569999999999999</v>
      </c>
      <c r="HJ74" s="58">
        <v>5.2640000000000002</v>
      </c>
      <c r="HK74" s="58">
        <v>0.69299999999999995</v>
      </c>
      <c r="HL74" s="58">
        <v>2.9380000000000002</v>
      </c>
      <c r="HM74" s="58">
        <v>2.7309999999999999</v>
      </c>
      <c r="HN74" s="58">
        <v>0.20699999999999999</v>
      </c>
      <c r="HO74" s="58">
        <v>3.02</v>
      </c>
      <c r="HP74" s="58">
        <v>2.5329999999999999</v>
      </c>
      <c r="HQ74" s="58">
        <v>0.48599999999999999</v>
      </c>
      <c r="HR74" s="58">
        <v>15.763</v>
      </c>
      <c r="HS74" s="58">
        <v>8.9570000000000007</v>
      </c>
      <c r="HT74" s="58">
        <v>6.806</v>
      </c>
      <c r="HU74" s="58">
        <v>36.506</v>
      </c>
      <c r="HV74" s="58">
        <v>22.414000000000001</v>
      </c>
      <c r="HW74" s="58">
        <v>14.092000000000001</v>
      </c>
      <c r="HX74" s="58">
        <v>7.1109999999999998</v>
      </c>
      <c r="HY74" s="58">
        <v>5.375</v>
      </c>
      <c r="HZ74" s="58">
        <v>1.736</v>
      </c>
      <c r="IA74" s="58">
        <v>29.393999999999998</v>
      </c>
      <c r="IB74" s="58">
        <v>17.039000000000001</v>
      </c>
      <c r="IC74" s="58">
        <v>12.355</v>
      </c>
      <c r="ID74" s="58">
        <v>12.365</v>
      </c>
      <c r="IE74" s="58">
        <v>9.9359999999999999</v>
      </c>
      <c r="IF74" s="58">
        <v>2.4289999999999998</v>
      </c>
      <c r="IG74" s="58">
        <v>42.656999999999996</v>
      </c>
      <c r="IH74" s="58">
        <v>24.917000000000002</v>
      </c>
      <c r="II74" s="58">
        <v>17.739999999999998</v>
      </c>
      <c r="IJ74" s="58">
        <v>32.332000000000001</v>
      </c>
      <c r="IK74" s="58">
        <v>19.77</v>
      </c>
      <c r="IL74" s="58">
        <v>12.561999999999999</v>
      </c>
      <c r="IM74" s="58">
        <v>4111.192</v>
      </c>
      <c r="IN74" s="58">
        <v>2187.0120000000002</v>
      </c>
      <c r="IO74" s="58">
        <v>1924.1790000000001</v>
      </c>
      <c r="IP74" s="58">
        <v>2869.5790000000002</v>
      </c>
      <c r="IQ74" s="58">
        <v>1772.297</v>
      </c>
    </row>
    <row r="75" spans="1:251">
      <c r="A75" s="5">
        <v>43770</v>
      </c>
      <c r="B75" s="58">
        <v>9.1129999999999995</v>
      </c>
      <c r="C75" s="58">
        <v>21.128</v>
      </c>
      <c r="D75" s="58">
        <v>416.96100000000001</v>
      </c>
      <c r="E75" s="58">
        <v>234.24199999999999</v>
      </c>
      <c r="F75" s="58">
        <v>182.72</v>
      </c>
      <c r="G75" s="58">
        <v>190.31700000000001</v>
      </c>
      <c r="H75" s="58">
        <v>144.74199999999999</v>
      </c>
      <c r="I75" s="58">
        <v>45.575000000000003</v>
      </c>
      <c r="J75" s="58">
        <v>226.64400000000001</v>
      </c>
      <c r="K75" s="58">
        <v>89.498999999999995</v>
      </c>
      <c r="L75" s="58">
        <v>137.14500000000001</v>
      </c>
      <c r="M75" s="58">
        <v>209.62200000000001</v>
      </c>
      <c r="N75" s="58">
        <v>161.25399999999999</v>
      </c>
      <c r="O75" s="58">
        <v>48.368000000000002</v>
      </c>
      <c r="P75" s="58">
        <v>242.24799999999999</v>
      </c>
      <c r="Q75" s="58">
        <v>92.090999999999994</v>
      </c>
      <c r="R75" s="58">
        <v>150.15700000000001</v>
      </c>
      <c r="S75" s="58">
        <v>245.16800000000001</v>
      </c>
      <c r="T75" s="58">
        <v>104.967</v>
      </c>
      <c r="U75" s="58">
        <v>140.19999999999999</v>
      </c>
      <c r="V75" s="58">
        <v>2815.12</v>
      </c>
      <c r="W75" s="58">
        <v>1503.163</v>
      </c>
      <c r="X75" s="58">
        <v>1311.9570000000001</v>
      </c>
      <c r="Y75" s="58">
        <v>2113.9009999999998</v>
      </c>
      <c r="Z75" s="58">
        <v>1375.9659999999999</v>
      </c>
      <c r="AA75" s="58">
        <v>737.93499999999995</v>
      </c>
      <c r="AB75" s="58">
        <v>701.21799999999996</v>
      </c>
      <c r="AC75" s="58">
        <v>127.197</v>
      </c>
      <c r="AD75" s="58">
        <v>574.02200000000005</v>
      </c>
      <c r="AE75" s="58">
        <v>332.39499999999998</v>
      </c>
      <c r="AF75" s="58">
        <v>177.733</v>
      </c>
      <c r="AG75" s="58">
        <v>154.66200000000001</v>
      </c>
      <c r="AH75" s="58">
        <v>57.518999999999998</v>
      </c>
      <c r="AI75" s="58">
        <v>28.510999999999999</v>
      </c>
      <c r="AJ75" s="58">
        <v>29.007999999999999</v>
      </c>
      <c r="AK75" s="58">
        <v>27.047999999999998</v>
      </c>
      <c r="AL75" s="58">
        <v>18.713000000000001</v>
      </c>
      <c r="AM75" s="58">
        <v>8.3360000000000003</v>
      </c>
      <c r="AN75" s="58">
        <v>16.03</v>
      </c>
      <c r="AO75" s="58">
        <v>11.56</v>
      </c>
      <c r="AP75" s="58">
        <v>4.47</v>
      </c>
      <c r="AQ75" s="58">
        <v>11.018000000000001</v>
      </c>
      <c r="AR75" s="58">
        <v>7.1529999999999996</v>
      </c>
      <c r="AS75" s="58">
        <v>3.8660000000000001</v>
      </c>
      <c r="AT75" s="58">
        <v>30.47</v>
      </c>
      <c r="AU75" s="58">
        <v>9.798</v>
      </c>
      <c r="AV75" s="58">
        <v>20.672000000000001</v>
      </c>
      <c r="AW75" s="58">
        <v>301.78199999999998</v>
      </c>
      <c r="AX75" s="58">
        <v>161.99799999999999</v>
      </c>
      <c r="AY75" s="58">
        <v>139.78399999999999</v>
      </c>
      <c r="AZ75" s="58">
        <v>145.22</v>
      </c>
      <c r="BA75" s="58">
        <v>115.229</v>
      </c>
      <c r="BB75" s="58">
        <v>29.992000000000001</v>
      </c>
      <c r="BC75" s="58">
        <v>156.56200000000001</v>
      </c>
      <c r="BD75" s="58">
        <v>46.768999999999998</v>
      </c>
      <c r="BE75" s="58">
        <v>109.792</v>
      </c>
      <c r="BF75" s="58">
        <v>165.36099999999999</v>
      </c>
      <c r="BG75" s="58">
        <v>128.29900000000001</v>
      </c>
      <c r="BH75" s="58">
        <v>37.061999999999998</v>
      </c>
      <c r="BI75" s="58">
        <v>167.03399999999999</v>
      </c>
      <c r="BJ75" s="58">
        <v>49.433999999999997</v>
      </c>
      <c r="BK75" s="58">
        <v>117.6</v>
      </c>
      <c r="BL75" s="58">
        <v>172.59200000000001</v>
      </c>
      <c r="BM75" s="58">
        <v>58.329000000000001</v>
      </c>
      <c r="BN75" s="58">
        <v>114.26300000000001</v>
      </c>
      <c r="BO75" s="58">
        <v>2622.384</v>
      </c>
      <c r="BP75" s="58">
        <v>1341.5319999999999</v>
      </c>
      <c r="BQ75" s="58">
        <v>1280.8520000000001</v>
      </c>
      <c r="BR75" s="58">
        <v>1972.3409999999999</v>
      </c>
      <c r="BS75" s="58">
        <v>1220.1479999999999</v>
      </c>
      <c r="BT75" s="58">
        <v>752.19299999999998</v>
      </c>
      <c r="BU75" s="58">
        <v>650.04300000000001</v>
      </c>
      <c r="BV75" s="58">
        <v>121.384</v>
      </c>
      <c r="BW75" s="58">
        <v>528.65899999999999</v>
      </c>
      <c r="BX75" s="58">
        <v>299.55500000000001</v>
      </c>
      <c r="BY75" s="58">
        <v>141.29599999999999</v>
      </c>
      <c r="BZ75" s="58">
        <v>158.25899999999999</v>
      </c>
      <c r="CA75" s="58">
        <v>60.058999999999997</v>
      </c>
      <c r="CB75" s="58">
        <v>35.433999999999997</v>
      </c>
      <c r="CC75" s="58">
        <v>24.625</v>
      </c>
      <c r="CD75" s="58">
        <v>28.206</v>
      </c>
      <c r="CE75" s="58">
        <v>22.544</v>
      </c>
      <c r="CF75" s="58">
        <v>5.6619999999999999</v>
      </c>
      <c r="CG75" s="58">
        <v>15.557</v>
      </c>
      <c r="CH75" s="58">
        <v>11.334</v>
      </c>
      <c r="CI75" s="58">
        <v>4.2229999999999999</v>
      </c>
      <c r="CJ75" s="58">
        <v>12.648999999999999</v>
      </c>
      <c r="CK75" s="58">
        <v>11.21</v>
      </c>
      <c r="CL75" s="58">
        <v>1.4379999999999999</v>
      </c>
      <c r="CM75" s="58">
        <v>31.853000000000002</v>
      </c>
      <c r="CN75" s="58">
        <v>12.89</v>
      </c>
      <c r="CO75" s="58">
        <v>18.963000000000001</v>
      </c>
      <c r="CP75" s="58">
        <v>262.41699999999997</v>
      </c>
      <c r="CQ75" s="58">
        <v>119.56399999999999</v>
      </c>
      <c r="CR75" s="58">
        <v>142.85300000000001</v>
      </c>
      <c r="CS75" s="58">
        <v>123.913</v>
      </c>
      <c r="CT75" s="58">
        <v>86.635000000000005</v>
      </c>
      <c r="CU75" s="58">
        <v>37.277000000000001</v>
      </c>
      <c r="CV75" s="58">
        <v>138.505</v>
      </c>
      <c r="CW75" s="58">
        <v>32.929000000000002</v>
      </c>
      <c r="CX75" s="58">
        <v>105.57599999999999</v>
      </c>
      <c r="CY75" s="58">
        <v>142.30199999999999</v>
      </c>
      <c r="CZ75" s="58">
        <v>101.005</v>
      </c>
      <c r="DA75" s="58">
        <v>41.296999999999997</v>
      </c>
      <c r="DB75" s="58">
        <v>157.25299999999999</v>
      </c>
      <c r="DC75" s="58">
        <v>40.290999999999997</v>
      </c>
      <c r="DD75" s="58">
        <v>116.962</v>
      </c>
      <c r="DE75" s="58">
        <v>154.06200000000001</v>
      </c>
      <c r="DF75" s="58">
        <v>44.262999999999998</v>
      </c>
      <c r="DG75" s="58">
        <v>109.79900000000001</v>
      </c>
      <c r="DH75" s="58">
        <v>2546.4169999999999</v>
      </c>
      <c r="DI75" s="58">
        <v>1380.165</v>
      </c>
      <c r="DJ75" s="58">
        <v>1166.252</v>
      </c>
      <c r="DK75" s="58">
        <v>1595.799</v>
      </c>
      <c r="DL75" s="58">
        <v>1033.0129999999999</v>
      </c>
      <c r="DM75" s="58">
        <v>562.78599999999994</v>
      </c>
      <c r="DN75" s="58">
        <v>950.61800000000005</v>
      </c>
      <c r="DO75" s="58">
        <v>347.15199999999999</v>
      </c>
      <c r="DP75" s="58">
        <v>603.46600000000001</v>
      </c>
      <c r="DQ75" s="58">
        <v>296.27</v>
      </c>
      <c r="DR75" s="58">
        <v>171.96100000000001</v>
      </c>
      <c r="DS75" s="58">
        <v>124.309</v>
      </c>
      <c r="DT75" s="58">
        <v>85.272000000000006</v>
      </c>
      <c r="DU75" s="58">
        <v>54.677999999999997</v>
      </c>
      <c r="DV75" s="58">
        <v>30.594000000000001</v>
      </c>
      <c r="DW75" s="58">
        <v>31.888999999999999</v>
      </c>
      <c r="DX75" s="58">
        <v>28.055</v>
      </c>
      <c r="DY75" s="58">
        <v>3.8330000000000002</v>
      </c>
      <c r="DZ75" s="58">
        <v>21.189</v>
      </c>
      <c r="EA75" s="58">
        <v>17.728999999999999</v>
      </c>
      <c r="EB75" s="58">
        <v>3.4590000000000001</v>
      </c>
      <c r="EC75" s="58">
        <v>10.7</v>
      </c>
      <c r="ED75" s="58">
        <v>10.326000000000001</v>
      </c>
      <c r="EE75" s="58">
        <v>0.374</v>
      </c>
      <c r="EF75" s="58">
        <v>53.383000000000003</v>
      </c>
      <c r="EG75" s="58">
        <v>26.622</v>
      </c>
      <c r="EH75" s="58">
        <v>26.760999999999999</v>
      </c>
      <c r="EI75" s="58">
        <v>239.83500000000001</v>
      </c>
      <c r="EJ75" s="58">
        <v>133.97999999999999</v>
      </c>
      <c r="EK75" s="58">
        <v>105.855</v>
      </c>
      <c r="EL75" s="58">
        <v>90.231999999999999</v>
      </c>
      <c r="EM75" s="58">
        <v>67.552000000000007</v>
      </c>
      <c r="EN75" s="58">
        <v>22.678999999999998</v>
      </c>
      <c r="EO75" s="58">
        <v>149.60300000000001</v>
      </c>
      <c r="EP75" s="58">
        <v>66.427999999999997</v>
      </c>
      <c r="EQ75" s="58">
        <v>83.176000000000002</v>
      </c>
      <c r="ER75" s="58">
        <v>113.85</v>
      </c>
      <c r="ES75" s="58">
        <v>88.602000000000004</v>
      </c>
      <c r="ET75" s="58">
        <v>25.248000000000001</v>
      </c>
      <c r="EU75" s="58">
        <v>182.41900000000001</v>
      </c>
      <c r="EV75" s="58">
        <v>83.358999999999995</v>
      </c>
      <c r="EW75" s="58">
        <v>99.06</v>
      </c>
      <c r="EX75" s="58">
        <v>170.792</v>
      </c>
      <c r="EY75" s="58">
        <v>84.156999999999996</v>
      </c>
      <c r="EZ75" s="58">
        <v>86.635000000000005</v>
      </c>
      <c r="FA75" s="58">
        <v>1926.654</v>
      </c>
      <c r="FB75" s="58">
        <v>1021.098</v>
      </c>
      <c r="FC75" s="58">
        <v>905.55600000000004</v>
      </c>
      <c r="FD75" s="58">
        <v>1322.1969999999999</v>
      </c>
      <c r="FE75" s="58">
        <v>839.97500000000002</v>
      </c>
      <c r="FF75" s="58">
        <v>482.22199999999998</v>
      </c>
      <c r="FG75" s="58">
        <v>604.45699999999999</v>
      </c>
      <c r="FH75" s="58">
        <v>181.12299999999999</v>
      </c>
      <c r="FI75" s="58">
        <v>423.334</v>
      </c>
      <c r="FJ75" s="58">
        <v>238.06100000000001</v>
      </c>
      <c r="FK75" s="58">
        <v>130.36500000000001</v>
      </c>
      <c r="FL75" s="58">
        <v>107.696</v>
      </c>
      <c r="FM75" s="58">
        <v>64.055999999999997</v>
      </c>
      <c r="FN75" s="58">
        <v>39.435000000000002</v>
      </c>
      <c r="FO75" s="58">
        <v>24.620999999999999</v>
      </c>
      <c r="FP75" s="58">
        <v>26.963000000000001</v>
      </c>
      <c r="FQ75" s="58">
        <v>23.757999999999999</v>
      </c>
      <c r="FR75" s="58">
        <v>3.2040000000000002</v>
      </c>
      <c r="FS75" s="58">
        <v>17.471</v>
      </c>
      <c r="FT75" s="58">
        <v>14.266999999999999</v>
      </c>
      <c r="FU75" s="58">
        <v>3.2040000000000002</v>
      </c>
      <c r="FV75" s="58">
        <v>9.4920000000000009</v>
      </c>
      <c r="FW75" s="58">
        <v>9.4920000000000009</v>
      </c>
      <c r="FX75" s="58">
        <v>0</v>
      </c>
      <c r="FY75" s="58">
        <v>37.093000000000004</v>
      </c>
      <c r="FZ75" s="58">
        <v>15.676</v>
      </c>
      <c r="GA75" s="58">
        <v>21.416</v>
      </c>
      <c r="GB75" s="58">
        <v>197.673</v>
      </c>
      <c r="GC75" s="58">
        <v>103.42100000000001</v>
      </c>
      <c r="GD75" s="58">
        <v>94.251999999999995</v>
      </c>
      <c r="GE75" s="58">
        <v>80.628</v>
      </c>
      <c r="GF75" s="58">
        <v>58.203000000000003</v>
      </c>
      <c r="GG75" s="58">
        <v>22.423999999999999</v>
      </c>
      <c r="GH75" s="58">
        <v>117.045</v>
      </c>
      <c r="GI75" s="58">
        <v>45.218000000000004</v>
      </c>
      <c r="GJ75" s="58">
        <v>71.828000000000003</v>
      </c>
      <c r="GK75" s="58">
        <v>100.79600000000001</v>
      </c>
      <c r="GL75" s="58">
        <v>76.177000000000007</v>
      </c>
      <c r="GM75" s="58">
        <v>24.619</v>
      </c>
      <c r="GN75" s="58">
        <v>137.26499999999999</v>
      </c>
      <c r="GO75" s="58">
        <v>54.188000000000002</v>
      </c>
      <c r="GP75" s="58">
        <v>83.076999999999998</v>
      </c>
      <c r="GQ75" s="58">
        <v>134.51599999999999</v>
      </c>
      <c r="GR75" s="58">
        <v>59.484000000000002</v>
      </c>
      <c r="GS75" s="58">
        <v>75.031999999999996</v>
      </c>
      <c r="GT75" s="58">
        <v>619.76300000000003</v>
      </c>
      <c r="GU75" s="58">
        <v>359.06700000000001</v>
      </c>
      <c r="GV75" s="58">
        <v>260.69600000000003</v>
      </c>
      <c r="GW75" s="58">
        <v>273.60199999999998</v>
      </c>
      <c r="GX75" s="58">
        <v>193.03800000000001</v>
      </c>
      <c r="GY75" s="58">
        <v>80.563999999999993</v>
      </c>
      <c r="GZ75" s="58">
        <v>346.161</v>
      </c>
      <c r="HA75" s="58">
        <v>166.029</v>
      </c>
      <c r="HB75" s="58">
        <v>180.13200000000001</v>
      </c>
      <c r="HC75" s="58">
        <v>58.209000000000003</v>
      </c>
      <c r="HD75" s="58">
        <v>41.595999999999997</v>
      </c>
      <c r="HE75" s="58">
        <v>16.611999999999998</v>
      </c>
      <c r="HF75" s="58">
        <v>21.216000000000001</v>
      </c>
      <c r="HG75" s="58">
        <v>15.243</v>
      </c>
      <c r="HH75" s="58">
        <v>5.9740000000000002</v>
      </c>
      <c r="HI75" s="58">
        <v>4.9260000000000002</v>
      </c>
      <c r="HJ75" s="58">
        <v>4.2969999999999997</v>
      </c>
      <c r="HK75" s="58">
        <v>0.629</v>
      </c>
      <c r="HL75" s="58">
        <v>3.718</v>
      </c>
      <c r="HM75" s="58">
        <v>3.4630000000000001</v>
      </c>
      <c r="HN75" s="58">
        <v>0.255</v>
      </c>
      <c r="HO75" s="58">
        <v>1.208</v>
      </c>
      <c r="HP75" s="58">
        <v>0.83399999999999996</v>
      </c>
      <c r="HQ75" s="58">
        <v>0.374</v>
      </c>
      <c r="HR75" s="58">
        <v>16.29</v>
      </c>
      <c r="HS75" s="58">
        <v>10.946</v>
      </c>
      <c r="HT75" s="58">
        <v>5.3449999999999998</v>
      </c>
      <c r="HU75" s="58">
        <v>42.161999999999999</v>
      </c>
      <c r="HV75" s="58">
        <v>30.559000000000001</v>
      </c>
      <c r="HW75" s="58">
        <v>11.602</v>
      </c>
      <c r="HX75" s="58">
        <v>9.6039999999999992</v>
      </c>
      <c r="HY75" s="58">
        <v>9.3490000000000002</v>
      </c>
      <c r="HZ75" s="58">
        <v>0.255</v>
      </c>
      <c r="IA75" s="58">
        <v>32.558</v>
      </c>
      <c r="IB75" s="58">
        <v>21.21</v>
      </c>
      <c r="IC75" s="58">
        <v>11.348000000000001</v>
      </c>
      <c r="ID75" s="58">
        <v>13.054</v>
      </c>
      <c r="IE75" s="58">
        <v>12.425000000000001</v>
      </c>
      <c r="IF75" s="58">
        <v>0.629</v>
      </c>
      <c r="IG75" s="58">
        <v>45.155000000000001</v>
      </c>
      <c r="IH75" s="58">
        <v>29.170999999999999</v>
      </c>
      <c r="II75" s="58">
        <v>15.983000000000001</v>
      </c>
      <c r="IJ75" s="58">
        <v>36.274999999999999</v>
      </c>
      <c r="IK75" s="58">
        <v>24.672999999999998</v>
      </c>
      <c r="IL75" s="58">
        <v>11.602</v>
      </c>
      <c r="IM75" s="58">
        <v>4124.32</v>
      </c>
      <c r="IN75" s="58">
        <v>2189.723</v>
      </c>
      <c r="IO75" s="58">
        <v>1934.597</v>
      </c>
      <c r="IP75" s="58">
        <v>2890.741</v>
      </c>
      <c r="IQ75" s="58">
        <v>1786.8969999999999</v>
      </c>
    </row>
    <row r="76" spans="1:251">
      <c r="A76" s="5">
        <v>43800</v>
      </c>
      <c r="B76" s="58">
        <v>13.912000000000001</v>
      </c>
      <c r="C76" s="58">
        <v>19.18</v>
      </c>
      <c r="D76" s="58">
        <v>416.94</v>
      </c>
      <c r="E76" s="58">
        <v>229.184</v>
      </c>
      <c r="F76" s="58">
        <v>187.755</v>
      </c>
      <c r="G76" s="58">
        <v>192.66499999999999</v>
      </c>
      <c r="H76" s="58">
        <v>138.94300000000001</v>
      </c>
      <c r="I76" s="58">
        <v>53.720999999999997</v>
      </c>
      <c r="J76" s="58">
        <v>224.27500000000001</v>
      </c>
      <c r="K76" s="58">
        <v>90.241</v>
      </c>
      <c r="L76" s="58">
        <v>134.03399999999999</v>
      </c>
      <c r="M76" s="58">
        <v>217.54</v>
      </c>
      <c r="N76" s="58">
        <v>159.90100000000001</v>
      </c>
      <c r="O76" s="58">
        <v>57.64</v>
      </c>
      <c r="P76" s="58">
        <v>240.756</v>
      </c>
      <c r="Q76" s="58">
        <v>95.757999999999996</v>
      </c>
      <c r="R76" s="58">
        <v>144.99799999999999</v>
      </c>
      <c r="S76" s="58">
        <v>242.74700000000001</v>
      </c>
      <c r="T76" s="58">
        <v>103.908</v>
      </c>
      <c r="U76" s="58">
        <v>138.839</v>
      </c>
      <c r="V76" s="58">
        <v>2818.3649999999998</v>
      </c>
      <c r="W76" s="58">
        <v>1509.5119999999999</v>
      </c>
      <c r="X76" s="58">
        <v>1308.8530000000001</v>
      </c>
      <c r="Y76" s="58">
        <v>2117.4</v>
      </c>
      <c r="Z76" s="58">
        <v>1376.9490000000001</v>
      </c>
      <c r="AA76" s="58">
        <v>740.45</v>
      </c>
      <c r="AB76" s="58">
        <v>700.96500000000003</v>
      </c>
      <c r="AC76" s="58">
        <v>132.56299999999999</v>
      </c>
      <c r="AD76" s="58">
        <v>568.40200000000004</v>
      </c>
      <c r="AE76" s="58">
        <v>338.38900000000001</v>
      </c>
      <c r="AF76" s="58">
        <v>180.12299999999999</v>
      </c>
      <c r="AG76" s="58">
        <v>158.26599999999999</v>
      </c>
      <c r="AH76" s="58">
        <v>54.533000000000001</v>
      </c>
      <c r="AI76" s="58">
        <v>27.053000000000001</v>
      </c>
      <c r="AJ76" s="58">
        <v>27.48</v>
      </c>
      <c r="AK76" s="58">
        <v>22.626999999999999</v>
      </c>
      <c r="AL76" s="58">
        <v>17.899000000000001</v>
      </c>
      <c r="AM76" s="58">
        <v>4.7279999999999998</v>
      </c>
      <c r="AN76" s="58">
        <v>11.760999999999999</v>
      </c>
      <c r="AO76" s="58">
        <v>9.2739999999999991</v>
      </c>
      <c r="AP76" s="58">
        <v>2.4870000000000001</v>
      </c>
      <c r="AQ76" s="58">
        <v>10.866</v>
      </c>
      <c r="AR76" s="58">
        <v>8.625</v>
      </c>
      <c r="AS76" s="58">
        <v>2.2410000000000001</v>
      </c>
      <c r="AT76" s="58">
        <v>31.905999999999999</v>
      </c>
      <c r="AU76" s="58">
        <v>9.1539999999999999</v>
      </c>
      <c r="AV76" s="58">
        <v>22.751999999999999</v>
      </c>
      <c r="AW76" s="58">
        <v>306.73</v>
      </c>
      <c r="AX76" s="58">
        <v>165.70099999999999</v>
      </c>
      <c r="AY76" s="58">
        <v>141.029</v>
      </c>
      <c r="AZ76" s="58">
        <v>149.714</v>
      </c>
      <c r="BA76" s="58">
        <v>115.435</v>
      </c>
      <c r="BB76" s="58">
        <v>34.279000000000003</v>
      </c>
      <c r="BC76" s="58">
        <v>157.01599999999999</v>
      </c>
      <c r="BD76" s="58">
        <v>50.265999999999998</v>
      </c>
      <c r="BE76" s="58">
        <v>106.75</v>
      </c>
      <c r="BF76" s="58">
        <v>164.85599999999999</v>
      </c>
      <c r="BG76" s="58">
        <v>125.849</v>
      </c>
      <c r="BH76" s="58">
        <v>39.006999999999998</v>
      </c>
      <c r="BI76" s="58">
        <v>173.53299999999999</v>
      </c>
      <c r="BJ76" s="58">
        <v>54.274999999999999</v>
      </c>
      <c r="BK76" s="58">
        <v>119.258</v>
      </c>
      <c r="BL76" s="58">
        <v>168.77699999999999</v>
      </c>
      <c r="BM76" s="58">
        <v>59.54</v>
      </c>
      <c r="BN76" s="58">
        <v>109.23699999999999</v>
      </c>
      <c r="BO76" s="58">
        <v>2636.2069999999999</v>
      </c>
      <c r="BP76" s="58">
        <v>1355.2080000000001</v>
      </c>
      <c r="BQ76" s="58">
        <v>1280.999</v>
      </c>
      <c r="BR76" s="58">
        <v>1985.335</v>
      </c>
      <c r="BS76" s="58">
        <v>1222.5409999999999</v>
      </c>
      <c r="BT76" s="58">
        <v>762.79300000000001</v>
      </c>
      <c r="BU76" s="58">
        <v>650.87300000000005</v>
      </c>
      <c r="BV76" s="58">
        <v>132.667</v>
      </c>
      <c r="BW76" s="58">
        <v>518.20600000000002</v>
      </c>
      <c r="BX76" s="58">
        <v>300.04500000000002</v>
      </c>
      <c r="BY76" s="58">
        <v>147.434</v>
      </c>
      <c r="BZ76" s="58">
        <v>152.61099999999999</v>
      </c>
      <c r="CA76" s="58">
        <v>55.771000000000001</v>
      </c>
      <c r="CB76" s="58">
        <v>30.669</v>
      </c>
      <c r="CC76" s="58">
        <v>25.102</v>
      </c>
      <c r="CD76" s="58">
        <v>31.096</v>
      </c>
      <c r="CE76" s="58">
        <v>21.253</v>
      </c>
      <c r="CF76" s="58">
        <v>9.843</v>
      </c>
      <c r="CG76" s="58">
        <v>17.7</v>
      </c>
      <c r="CH76" s="58">
        <v>12.638</v>
      </c>
      <c r="CI76" s="58">
        <v>5.0620000000000003</v>
      </c>
      <c r="CJ76" s="58">
        <v>13.396000000000001</v>
      </c>
      <c r="CK76" s="58">
        <v>8.6150000000000002</v>
      </c>
      <c r="CL76" s="58">
        <v>4.7809999999999997</v>
      </c>
      <c r="CM76" s="58">
        <v>24.675000000000001</v>
      </c>
      <c r="CN76" s="58">
        <v>9.4160000000000004</v>
      </c>
      <c r="CO76" s="58">
        <v>15.259</v>
      </c>
      <c r="CP76" s="58">
        <v>265.27100000000002</v>
      </c>
      <c r="CQ76" s="58">
        <v>129.33099999999999</v>
      </c>
      <c r="CR76" s="58">
        <v>135.94</v>
      </c>
      <c r="CS76" s="58">
        <v>120.07899999999999</v>
      </c>
      <c r="CT76" s="58">
        <v>85.796999999999997</v>
      </c>
      <c r="CU76" s="58">
        <v>34.281999999999996</v>
      </c>
      <c r="CV76" s="58">
        <v>145.19200000000001</v>
      </c>
      <c r="CW76" s="58">
        <v>43.533999999999999</v>
      </c>
      <c r="CX76" s="58">
        <v>101.65900000000001</v>
      </c>
      <c r="CY76" s="58">
        <v>143.13900000000001</v>
      </c>
      <c r="CZ76" s="58">
        <v>100.64400000000001</v>
      </c>
      <c r="DA76" s="58">
        <v>42.494999999999997</v>
      </c>
      <c r="DB76" s="58">
        <v>156.90600000000001</v>
      </c>
      <c r="DC76" s="58">
        <v>46.79</v>
      </c>
      <c r="DD76" s="58">
        <v>110.116</v>
      </c>
      <c r="DE76" s="58">
        <v>162.892</v>
      </c>
      <c r="DF76" s="58">
        <v>56.171999999999997</v>
      </c>
      <c r="DG76" s="58">
        <v>106.72</v>
      </c>
      <c r="DH76" s="58">
        <v>2523.9430000000002</v>
      </c>
      <c r="DI76" s="58">
        <v>1369.5260000000001</v>
      </c>
      <c r="DJ76" s="58">
        <v>1154.4159999999999</v>
      </c>
      <c r="DK76" s="58">
        <v>1585.625</v>
      </c>
      <c r="DL76" s="58">
        <v>1020.966</v>
      </c>
      <c r="DM76" s="58">
        <v>564.65899999999999</v>
      </c>
      <c r="DN76" s="58">
        <v>938.31700000000001</v>
      </c>
      <c r="DO76" s="58">
        <v>348.56</v>
      </c>
      <c r="DP76" s="58">
        <v>589.75699999999995</v>
      </c>
      <c r="DQ76" s="58">
        <v>291.46100000000001</v>
      </c>
      <c r="DR76" s="58">
        <v>163.648</v>
      </c>
      <c r="DS76" s="58">
        <v>127.812</v>
      </c>
      <c r="DT76" s="58">
        <v>84.251000000000005</v>
      </c>
      <c r="DU76" s="58">
        <v>48.789000000000001</v>
      </c>
      <c r="DV76" s="58">
        <v>35.463000000000001</v>
      </c>
      <c r="DW76" s="58">
        <v>29.541</v>
      </c>
      <c r="DX76" s="58">
        <v>20.57</v>
      </c>
      <c r="DY76" s="58">
        <v>8.9710000000000001</v>
      </c>
      <c r="DZ76" s="58">
        <v>18.783999999999999</v>
      </c>
      <c r="EA76" s="58">
        <v>12.069000000000001</v>
      </c>
      <c r="EB76" s="58">
        <v>6.7149999999999999</v>
      </c>
      <c r="EC76" s="58">
        <v>10.757</v>
      </c>
      <c r="ED76" s="58">
        <v>8.5020000000000007</v>
      </c>
      <c r="EE76" s="58">
        <v>2.2559999999999998</v>
      </c>
      <c r="EF76" s="58">
        <v>54.71</v>
      </c>
      <c r="EG76" s="58">
        <v>28.219000000000001</v>
      </c>
      <c r="EH76" s="58">
        <v>26.492000000000001</v>
      </c>
      <c r="EI76" s="58">
        <v>241.29900000000001</v>
      </c>
      <c r="EJ76" s="58">
        <v>135.78899999999999</v>
      </c>
      <c r="EK76" s="58">
        <v>105.51</v>
      </c>
      <c r="EL76" s="58">
        <v>94.751999999999995</v>
      </c>
      <c r="EM76" s="58">
        <v>69.278999999999996</v>
      </c>
      <c r="EN76" s="58">
        <v>25.472999999999999</v>
      </c>
      <c r="EO76" s="58">
        <v>146.547</v>
      </c>
      <c r="EP76" s="58">
        <v>66.510000000000005</v>
      </c>
      <c r="EQ76" s="58">
        <v>80.037000000000006</v>
      </c>
      <c r="ER76" s="58">
        <v>114.089</v>
      </c>
      <c r="ES76" s="58">
        <v>82.662999999999997</v>
      </c>
      <c r="ET76" s="58">
        <v>31.425000000000001</v>
      </c>
      <c r="EU76" s="58">
        <v>177.37200000000001</v>
      </c>
      <c r="EV76" s="58">
        <v>80.984999999999999</v>
      </c>
      <c r="EW76" s="58">
        <v>96.387</v>
      </c>
      <c r="EX76" s="58">
        <v>165.33099999999999</v>
      </c>
      <c r="EY76" s="58">
        <v>78.578999999999994</v>
      </c>
      <c r="EZ76" s="58">
        <v>86.751999999999995</v>
      </c>
      <c r="FA76" s="58">
        <v>1927.6469999999999</v>
      </c>
      <c r="FB76" s="58">
        <v>1020.082</v>
      </c>
      <c r="FC76" s="58">
        <v>907.56399999999996</v>
      </c>
      <c r="FD76" s="58">
        <v>1318.9459999999999</v>
      </c>
      <c r="FE76" s="58">
        <v>833.303</v>
      </c>
      <c r="FF76" s="58">
        <v>485.64299999999997</v>
      </c>
      <c r="FG76" s="58">
        <v>608.70000000000005</v>
      </c>
      <c r="FH76" s="58">
        <v>186.779</v>
      </c>
      <c r="FI76" s="58">
        <v>421.92099999999999</v>
      </c>
      <c r="FJ76" s="58">
        <v>238.55699999999999</v>
      </c>
      <c r="FK76" s="58">
        <v>128.64099999999999</v>
      </c>
      <c r="FL76" s="58">
        <v>109.91500000000001</v>
      </c>
      <c r="FM76" s="58">
        <v>64.507999999999996</v>
      </c>
      <c r="FN76" s="58">
        <v>36.457999999999998</v>
      </c>
      <c r="FO76" s="58">
        <v>28.05</v>
      </c>
      <c r="FP76" s="58">
        <v>25.818000000000001</v>
      </c>
      <c r="FQ76" s="58">
        <v>17.332999999999998</v>
      </c>
      <c r="FR76" s="58">
        <v>8.4849999999999994</v>
      </c>
      <c r="FS76" s="58">
        <v>16.286999999999999</v>
      </c>
      <c r="FT76" s="58">
        <v>10.058999999999999</v>
      </c>
      <c r="FU76" s="58">
        <v>6.2290000000000001</v>
      </c>
      <c r="FV76" s="58">
        <v>9.5310000000000006</v>
      </c>
      <c r="FW76" s="58">
        <v>7.2750000000000004</v>
      </c>
      <c r="FX76" s="58">
        <v>2.2559999999999998</v>
      </c>
      <c r="FY76" s="58">
        <v>38.69</v>
      </c>
      <c r="FZ76" s="58">
        <v>19.125</v>
      </c>
      <c r="GA76" s="58">
        <v>19.565999999999999</v>
      </c>
      <c r="GB76" s="58">
        <v>203.88</v>
      </c>
      <c r="GC76" s="58">
        <v>109.36499999999999</v>
      </c>
      <c r="GD76" s="58">
        <v>94.516000000000005</v>
      </c>
      <c r="GE76" s="58">
        <v>81.025999999999996</v>
      </c>
      <c r="GF76" s="58">
        <v>58.89</v>
      </c>
      <c r="GG76" s="58">
        <v>22.135000000000002</v>
      </c>
      <c r="GH76" s="58">
        <v>122.855</v>
      </c>
      <c r="GI76" s="58">
        <v>50.473999999999997</v>
      </c>
      <c r="GJ76" s="58">
        <v>72.381</v>
      </c>
      <c r="GK76" s="58">
        <v>98.561999999999998</v>
      </c>
      <c r="GL76" s="58">
        <v>70.960999999999999</v>
      </c>
      <c r="GM76" s="58">
        <v>27.600999999999999</v>
      </c>
      <c r="GN76" s="58">
        <v>139.995</v>
      </c>
      <c r="GO76" s="58">
        <v>57.68</v>
      </c>
      <c r="GP76" s="58">
        <v>82.313999999999993</v>
      </c>
      <c r="GQ76" s="58">
        <v>139.142</v>
      </c>
      <c r="GR76" s="58">
        <v>60.533000000000001</v>
      </c>
      <c r="GS76" s="58">
        <v>78.61</v>
      </c>
      <c r="GT76" s="58">
        <v>596.29600000000005</v>
      </c>
      <c r="GU76" s="58">
        <v>349.44400000000002</v>
      </c>
      <c r="GV76" s="58">
        <v>246.852</v>
      </c>
      <c r="GW76" s="58">
        <v>266.67899999999997</v>
      </c>
      <c r="GX76" s="58">
        <v>187.66300000000001</v>
      </c>
      <c r="GY76" s="58">
        <v>79.016000000000005</v>
      </c>
      <c r="GZ76" s="58">
        <v>329.61700000000002</v>
      </c>
      <c r="HA76" s="58">
        <v>161.78100000000001</v>
      </c>
      <c r="HB76" s="58">
        <v>167.83600000000001</v>
      </c>
      <c r="HC76" s="58">
        <v>52.904000000000003</v>
      </c>
      <c r="HD76" s="58">
        <v>35.006999999999998</v>
      </c>
      <c r="HE76" s="58">
        <v>17.896999999999998</v>
      </c>
      <c r="HF76" s="58">
        <v>19.742999999999999</v>
      </c>
      <c r="HG76" s="58">
        <v>12.331</v>
      </c>
      <c r="HH76" s="58">
        <v>7.4119999999999999</v>
      </c>
      <c r="HI76" s="58">
        <v>3.7229999999999999</v>
      </c>
      <c r="HJ76" s="58">
        <v>3.2370000000000001</v>
      </c>
      <c r="HK76" s="58">
        <v>0.48599999999999999</v>
      </c>
      <c r="HL76" s="58">
        <v>2.496</v>
      </c>
      <c r="HM76" s="58">
        <v>2.0099999999999998</v>
      </c>
      <c r="HN76" s="58">
        <v>0.48599999999999999</v>
      </c>
      <c r="HO76" s="58">
        <v>1.2270000000000001</v>
      </c>
      <c r="HP76" s="58">
        <v>1.2270000000000001</v>
      </c>
      <c r="HQ76" s="58">
        <v>0</v>
      </c>
      <c r="HR76" s="58">
        <v>16.02</v>
      </c>
      <c r="HS76" s="58">
        <v>9.0939999999999994</v>
      </c>
      <c r="HT76" s="58">
        <v>6.9260000000000002</v>
      </c>
      <c r="HU76" s="58">
        <v>37.418999999999997</v>
      </c>
      <c r="HV76" s="58">
        <v>26.425000000000001</v>
      </c>
      <c r="HW76" s="58">
        <v>10.994</v>
      </c>
      <c r="HX76" s="58">
        <v>13.727</v>
      </c>
      <c r="HY76" s="58">
        <v>10.388</v>
      </c>
      <c r="HZ76" s="58">
        <v>3.3380000000000001</v>
      </c>
      <c r="IA76" s="58">
        <v>23.692</v>
      </c>
      <c r="IB76" s="58">
        <v>16.036000000000001</v>
      </c>
      <c r="IC76" s="58">
        <v>7.6559999999999997</v>
      </c>
      <c r="ID76" s="58">
        <v>15.526999999999999</v>
      </c>
      <c r="IE76" s="58">
        <v>11.702</v>
      </c>
      <c r="IF76" s="58">
        <v>3.8239999999999998</v>
      </c>
      <c r="IG76" s="58">
        <v>37.377000000000002</v>
      </c>
      <c r="IH76" s="58">
        <v>23.305</v>
      </c>
      <c r="II76" s="58">
        <v>14.071999999999999</v>
      </c>
      <c r="IJ76" s="58">
        <v>26.189</v>
      </c>
      <c r="IK76" s="58">
        <v>18.045999999999999</v>
      </c>
      <c r="IL76" s="58">
        <v>8.1419999999999995</v>
      </c>
      <c r="IM76" s="58">
        <v>4176.4790000000003</v>
      </c>
      <c r="IN76" s="58">
        <v>2214.8139999999999</v>
      </c>
      <c r="IO76" s="58">
        <v>1961.665</v>
      </c>
      <c r="IP76" s="58">
        <v>2928.453</v>
      </c>
      <c r="IQ76" s="58">
        <v>1798.644</v>
      </c>
    </row>
    <row r="77" spans="1:251">
      <c r="A77" s="5">
        <v>43831</v>
      </c>
      <c r="B77" s="58">
        <v>16.282</v>
      </c>
      <c r="C77" s="58">
        <v>25.942</v>
      </c>
      <c r="D77" s="58">
        <v>428.10300000000001</v>
      </c>
      <c r="E77" s="58">
        <v>240.303</v>
      </c>
      <c r="F77" s="58">
        <v>187.79900000000001</v>
      </c>
      <c r="G77" s="58">
        <v>212.30199999999999</v>
      </c>
      <c r="H77" s="58">
        <v>160.76499999999999</v>
      </c>
      <c r="I77" s="58">
        <v>51.536999999999999</v>
      </c>
      <c r="J77" s="58">
        <v>215.80099999999999</v>
      </c>
      <c r="K77" s="58">
        <v>79.537999999999997</v>
      </c>
      <c r="L77" s="58">
        <v>136.26300000000001</v>
      </c>
      <c r="M77" s="58">
        <v>247.03299999999999</v>
      </c>
      <c r="N77" s="58">
        <v>187.33699999999999</v>
      </c>
      <c r="O77" s="58">
        <v>59.695999999999998</v>
      </c>
      <c r="P77" s="58">
        <v>230.846</v>
      </c>
      <c r="Q77" s="58">
        <v>85.043000000000006</v>
      </c>
      <c r="R77" s="58">
        <v>145.803</v>
      </c>
      <c r="S77" s="58">
        <v>245.816</v>
      </c>
      <c r="T77" s="58">
        <v>103.9</v>
      </c>
      <c r="U77" s="58">
        <v>141.917</v>
      </c>
      <c r="V77" s="58">
        <v>2784.2420000000002</v>
      </c>
      <c r="W77" s="58">
        <v>1493.3710000000001</v>
      </c>
      <c r="X77" s="58">
        <v>1290.8710000000001</v>
      </c>
      <c r="Y77" s="58">
        <v>2093.5520000000001</v>
      </c>
      <c r="Z77" s="58">
        <v>1366.3309999999999</v>
      </c>
      <c r="AA77" s="58">
        <v>727.221</v>
      </c>
      <c r="AB77" s="58">
        <v>690.68899999999996</v>
      </c>
      <c r="AC77" s="58">
        <v>127.04</v>
      </c>
      <c r="AD77" s="58">
        <v>563.65</v>
      </c>
      <c r="AE77" s="58">
        <v>357.55700000000002</v>
      </c>
      <c r="AF77" s="58">
        <v>194.66900000000001</v>
      </c>
      <c r="AG77" s="58">
        <v>162.88800000000001</v>
      </c>
      <c r="AH77" s="58">
        <v>69.771000000000001</v>
      </c>
      <c r="AI77" s="58">
        <v>42.603000000000002</v>
      </c>
      <c r="AJ77" s="58">
        <v>27.167999999999999</v>
      </c>
      <c r="AK77" s="58">
        <v>39.953000000000003</v>
      </c>
      <c r="AL77" s="58">
        <v>32.405000000000001</v>
      </c>
      <c r="AM77" s="58">
        <v>7.5490000000000004</v>
      </c>
      <c r="AN77" s="58">
        <v>16.509</v>
      </c>
      <c r="AO77" s="58">
        <v>14.106999999999999</v>
      </c>
      <c r="AP77" s="58">
        <v>2.4020000000000001</v>
      </c>
      <c r="AQ77" s="58">
        <v>23.445</v>
      </c>
      <c r="AR77" s="58">
        <v>18.297999999999998</v>
      </c>
      <c r="AS77" s="58">
        <v>5.1470000000000002</v>
      </c>
      <c r="AT77" s="58">
        <v>29.818000000000001</v>
      </c>
      <c r="AU77" s="58">
        <v>10.198</v>
      </c>
      <c r="AV77" s="58">
        <v>19.62</v>
      </c>
      <c r="AW77" s="58">
        <v>315.197</v>
      </c>
      <c r="AX77" s="58">
        <v>167.02799999999999</v>
      </c>
      <c r="AY77" s="58">
        <v>148.16999999999999</v>
      </c>
      <c r="AZ77" s="58">
        <v>150.464</v>
      </c>
      <c r="BA77" s="58">
        <v>118.261</v>
      </c>
      <c r="BB77" s="58">
        <v>32.203000000000003</v>
      </c>
      <c r="BC77" s="58">
        <v>164.733</v>
      </c>
      <c r="BD77" s="58">
        <v>48.767000000000003</v>
      </c>
      <c r="BE77" s="58">
        <v>115.96599999999999</v>
      </c>
      <c r="BF77" s="58">
        <v>181.596</v>
      </c>
      <c r="BG77" s="58">
        <v>143.43799999999999</v>
      </c>
      <c r="BH77" s="58">
        <v>38.158000000000001</v>
      </c>
      <c r="BI77" s="58">
        <v>175.96100000000001</v>
      </c>
      <c r="BJ77" s="58">
        <v>51.231000000000002</v>
      </c>
      <c r="BK77" s="58">
        <v>124.73</v>
      </c>
      <c r="BL77" s="58">
        <v>181.24199999999999</v>
      </c>
      <c r="BM77" s="58">
        <v>62.874000000000002</v>
      </c>
      <c r="BN77" s="58">
        <v>118.36799999999999</v>
      </c>
      <c r="BO77" s="58">
        <v>2585.0140000000001</v>
      </c>
      <c r="BP77" s="58">
        <v>1343.701</v>
      </c>
      <c r="BQ77" s="58">
        <v>1241.3130000000001</v>
      </c>
      <c r="BR77" s="58">
        <v>1960.0909999999999</v>
      </c>
      <c r="BS77" s="58">
        <v>1209.9760000000001</v>
      </c>
      <c r="BT77" s="58">
        <v>750.11500000000001</v>
      </c>
      <c r="BU77" s="58">
        <v>624.923</v>
      </c>
      <c r="BV77" s="58">
        <v>133.72499999999999</v>
      </c>
      <c r="BW77" s="58">
        <v>491.19799999999998</v>
      </c>
      <c r="BX77" s="58">
        <v>320.76600000000002</v>
      </c>
      <c r="BY77" s="58">
        <v>165.38399999999999</v>
      </c>
      <c r="BZ77" s="58">
        <v>155.38300000000001</v>
      </c>
      <c r="CA77" s="58">
        <v>83.673000000000002</v>
      </c>
      <c r="CB77" s="58">
        <v>48.378999999999998</v>
      </c>
      <c r="CC77" s="58">
        <v>35.293999999999997</v>
      </c>
      <c r="CD77" s="58">
        <v>49.755000000000003</v>
      </c>
      <c r="CE77" s="58">
        <v>34.151000000000003</v>
      </c>
      <c r="CF77" s="58">
        <v>15.605</v>
      </c>
      <c r="CG77" s="58">
        <v>27.413</v>
      </c>
      <c r="CH77" s="58">
        <v>19.297000000000001</v>
      </c>
      <c r="CI77" s="58">
        <v>8.1159999999999997</v>
      </c>
      <c r="CJ77" s="58">
        <v>22.341999999999999</v>
      </c>
      <c r="CK77" s="58">
        <v>14.853</v>
      </c>
      <c r="CL77" s="58">
        <v>7.4889999999999999</v>
      </c>
      <c r="CM77" s="58">
        <v>33.917999999999999</v>
      </c>
      <c r="CN77" s="58">
        <v>14.228999999999999</v>
      </c>
      <c r="CO77" s="58">
        <v>19.689</v>
      </c>
      <c r="CP77" s="58">
        <v>269.95699999999999</v>
      </c>
      <c r="CQ77" s="58">
        <v>131.21100000000001</v>
      </c>
      <c r="CR77" s="58">
        <v>138.745</v>
      </c>
      <c r="CS77" s="58">
        <v>120.309</v>
      </c>
      <c r="CT77" s="58">
        <v>86.093999999999994</v>
      </c>
      <c r="CU77" s="58">
        <v>34.215000000000003</v>
      </c>
      <c r="CV77" s="58">
        <v>149.648</v>
      </c>
      <c r="CW77" s="58">
        <v>45.118000000000002</v>
      </c>
      <c r="CX77" s="58">
        <v>104.53</v>
      </c>
      <c r="CY77" s="58">
        <v>161.666</v>
      </c>
      <c r="CZ77" s="58">
        <v>115.358</v>
      </c>
      <c r="DA77" s="58">
        <v>46.308</v>
      </c>
      <c r="DB77" s="58">
        <v>159.1</v>
      </c>
      <c r="DC77" s="58">
        <v>50.024999999999999</v>
      </c>
      <c r="DD77" s="58">
        <v>109.075</v>
      </c>
      <c r="DE77" s="58">
        <v>177.06100000000001</v>
      </c>
      <c r="DF77" s="58">
        <v>64.415000000000006</v>
      </c>
      <c r="DG77" s="58">
        <v>112.64700000000001</v>
      </c>
      <c r="DH77" s="58">
        <v>2439.9929999999999</v>
      </c>
      <c r="DI77" s="58">
        <v>1323.6679999999999</v>
      </c>
      <c r="DJ77" s="58">
        <v>1116.325</v>
      </c>
      <c r="DK77" s="58">
        <v>1537.982</v>
      </c>
      <c r="DL77" s="58">
        <v>994.97500000000002</v>
      </c>
      <c r="DM77" s="58">
        <v>543.00699999999995</v>
      </c>
      <c r="DN77" s="58">
        <v>902.01099999999997</v>
      </c>
      <c r="DO77" s="58">
        <v>328.69299999999998</v>
      </c>
      <c r="DP77" s="58">
        <v>573.31799999999998</v>
      </c>
      <c r="DQ77" s="58">
        <v>305.31799999999998</v>
      </c>
      <c r="DR77" s="58">
        <v>162.50399999999999</v>
      </c>
      <c r="DS77" s="58">
        <v>142.81299999999999</v>
      </c>
      <c r="DT77" s="58">
        <v>95.947000000000003</v>
      </c>
      <c r="DU77" s="58">
        <v>61.101999999999997</v>
      </c>
      <c r="DV77" s="58">
        <v>34.844999999999999</v>
      </c>
      <c r="DW77" s="58">
        <v>39.856000000000002</v>
      </c>
      <c r="DX77" s="58">
        <v>31.349</v>
      </c>
      <c r="DY77" s="58">
        <v>8.5069999999999997</v>
      </c>
      <c r="DZ77" s="58">
        <v>22.72</v>
      </c>
      <c r="EA77" s="58">
        <v>19.006</v>
      </c>
      <c r="EB77" s="58">
        <v>3.714</v>
      </c>
      <c r="EC77" s="58">
        <v>17.135999999999999</v>
      </c>
      <c r="ED77" s="58">
        <v>12.343</v>
      </c>
      <c r="EE77" s="58">
        <v>4.7930000000000001</v>
      </c>
      <c r="EF77" s="58">
        <v>56.091000000000001</v>
      </c>
      <c r="EG77" s="58">
        <v>29.753</v>
      </c>
      <c r="EH77" s="58">
        <v>26.338000000000001</v>
      </c>
      <c r="EI77" s="58">
        <v>237.691</v>
      </c>
      <c r="EJ77" s="58">
        <v>117.46899999999999</v>
      </c>
      <c r="EK77" s="58">
        <v>120.221</v>
      </c>
      <c r="EL77" s="58">
        <v>78.798000000000002</v>
      </c>
      <c r="EM77" s="58">
        <v>55.241999999999997</v>
      </c>
      <c r="EN77" s="58">
        <v>23.556000000000001</v>
      </c>
      <c r="EO77" s="58">
        <v>158.892</v>
      </c>
      <c r="EP77" s="58">
        <v>62.226999999999997</v>
      </c>
      <c r="EQ77" s="58">
        <v>96.665000000000006</v>
      </c>
      <c r="ER77" s="58">
        <v>113.264</v>
      </c>
      <c r="ES77" s="58">
        <v>82.879000000000005</v>
      </c>
      <c r="ET77" s="58">
        <v>30.385000000000002</v>
      </c>
      <c r="EU77" s="58">
        <v>192.054</v>
      </c>
      <c r="EV77" s="58">
        <v>79.626000000000005</v>
      </c>
      <c r="EW77" s="58">
        <v>112.428</v>
      </c>
      <c r="EX77" s="58">
        <v>181.61199999999999</v>
      </c>
      <c r="EY77" s="58">
        <v>81.233000000000004</v>
      </c>
      <c r="EZ77" s="58">
        <v>100.379</v>
      </c>
      <c r="FA77" s="58">
        <v>1883.174</v>
      </c>
      <c r="FB77" s="58">
        <v>996.45399999999995</v>
      </c>
      <c r="FC77" s="58">
        <v>886.72</v>
      </c>
      <c r="FD77" s="58">
        <v>1277.3240000000001</v>
      </c>
      <c r="FE77" s="58">
        <v>810.08699999999999</v>
      </c>
      <c r="FF77" s="58">
        <v>467.23700000000002</v>
      </c>
      <c r="FG77" s="58">
        <v>605.85</v>
      </c>
      <c r="FH77" s="58">
        <v>186.36699999999999</v>
      </c>
      <c r="FI77" s="58">
        <v>419.483</v>
      </c>
      <c r="FJ77" s="58">
        <v>249.113</v>
      </c>
      <c r="FK77" s="58">
        <v>126.22199999999999</v>
      </c>
      <c r="FL77" s="58">
        <v>122.89</v>
      </c>
      <c r="FM77" s="58">
        <v>70.867999999999995</v>
      </c>
      <c r="FN77" s="58">
        <v>44.332999999999998</v>
      </c>
      <c r="FO77" s="58">
        <v>26.533999999999999</v>
      </c>
      <c r="FP77" s="58">
        <v>32.325000000000003</v>
      </c>
      <c r="FQ77" s="58">
        <v>24.416</v>
      </c>
      <c r="FR77" s="58">
        <v>7.9089999999999998</v>
      </c>
      <c r="FS77" s="58">
        <v>18.509</v>
      </c>
      <c r="FT77" s="58">
        <v>15.215999999999999</v>
      </c>
      <c r="FU77" s="58">
        <v>3.2930000000000001</v>
      </c>
      <c r="FV77" s="58">
        <v>13.816000000000001</v>
      </c>
      <c r="FW77" s="58">
        <v>9.1999999999999993</v>
      </c>
      <c r="FX77" s="58">
        <v>4.6159999999999997</v>
      </c>
      <c r="FY77" s="58">
        <v>38.542000000000002</v>
      </c>
      <c r="FZ77" s="58">
        <v>19.917000000000002</v>
      </c>
      <c r="GA77" s="58">
        <v>18.625</v>
      </c>
      <c r="GB77" s="58">
        <v>200.869</v>
      </c>
      <c r="GC77" s="58">
        <v>94.876999999999995</v>
      </c>
      <c r="GD77" s="58">
        <v>105.992</v>
      </c>
      <c r="GE77" s="58">
        <v>70.105999999999995</v>
      </c>
      <c r="GF77" s="58">
        <v>47.817999999999998</v>
      </c>
      <c r="GG77" s="58">
        <v>22.288</v>
      </c>
      <c r="GH77" s="58">
        <v>130.762</v>
      </c>
      <c r="GI77" s="58">
        <v>47.058999999999997</v>
      </c>
      <c r="GJ77" s="58">
        <v>83.703999999999994</v>
      </c>
      <c r="GK77" s="58">
        <v>97.605999999999995</v>
      </c>
      <c r="GL77" s="58">
        <v>69.087000000000003</v>
      </c>
      <c r="GM77" s="58">
        <v>28.518999999999998</v>
      </c>
      <c r="GN77" s="58">
        <v>151.50700000000001</v>
      </c>
      <c r="GO77" s="58">
        <v>57.134999999999998</v>
      </c>
      <c r="GP77" s="58">
        <v>94.370999999999995</v>
      </c>
      <c r="GQ77" s="58">
        <v>149.27099999999999</v>
      </c>
      <c r="GR77" s="58">
        <v>62.274000000000001</v>
      </c>
      <c r="GS77" s="58">
        <v>86.997</v>
      </c>
      <c r="GT77" s="58">
        <v>556.81899999999996</v>
      </c>
      <c r="GU77" s="58">
        <v>327.21300000000002</v>
      </c>
      <c r="GV77" s="58">
        <v>229.60599999999999</v>
      </c>
      <c r="GW77" s="58">
        <v>260.65800000000002</v>
      </c>
      <c r="GX77" s="58">
        <v>184.88800000000001</v>
      </c>
      <c r="GY77" s="58">
        <v>75.77</v>
      </c>
      <c r="GZ77" s="58">
        <v>296.161</v>
      </c>
      <c r="HA77" s="58">
        <v>142.32499999999999</v>
      </c>
      <c r="HB77" s="58">
        <v>153.83600000000001</v>
      </c>
      <c r="HC77" s="58">
        <v>56.204999999999998</v>
      </c>
      <c r="HD77" s="58">
        <v>36.281999999999996</v>
      </c>
      <c r="HE77" s="58">
        <v>19.922999999999998</v>
      </c>
      <c r="HF77" s="58">
        <v>25.079000000000001</v>
      </c>
      <c r="HG77" s="58">
        <v>16.768999999999998</v>
      </c>
      <c r="HH77" s="58">
        <v>8.3109999999999999</v>
      </c>
      <c r="HI77" s="58">
        <v>7.5309999999999997</v>
      </c>
      <c r="HJ77" s="58">
        <v>6.9329999999999998</v>
      </c>
      <c r="HK77" s="58">
        <v>0.59799999999999998</v>
      </c>
      <c r="HL77" s="58">
        <v>4.2110000000000003</v>
      </c>
      <c r="HM77" s="58">
        <v>3.79</v>
      </c>
      <c r="HN77" s="58">
        <v>0.42099999999999999</v>
      </c>
      <c r="HO77" s="58">
        <v>3.32</v>
      </c>
      <c r="HP77" s="58">
        <v>3.1429999999999998</v>
      </c>
      <c r="HQ77" s="58">
        <v>0.17699999999999999</v>
      </c>
      <c r="HR77" s="58">
        <v>17.548999999999999</v>
      </c>
      <c r="HS77" s="58">
        <v>9.8360000000000003</v>
      </c>
      <c r="HT77" s="58">
        <v>7.7119999999999997</v>
      </c>
      <c r="HU77" s="58">
        <v>36.822000000000003</v>
      </c>
      <c r="HV77" s="58">
        <v>22.593</v>
      </c>
      <c r="HW77" s="58">
        <v>14.228999999999999</v>
      </c>
      <c r="HX77" s="58">
        <v>8.6920000000000002</v>
      </c>
      <c r="HY77" s="58">
        <v>7.4240000000000004</v>
      </c>
      <c r="HZ77" s="58">
        <v>1.268</v>
      </c>
      <c r="IA77" s="58">
        <v>28.13</v>
      </c>
      <c r="IB77" s="58">
        <v>15.169</v>
      </c>
      <c r="IC77" s="58">
        <v>12.961</v>
      </c>
      <c r="ID77" s="58">
        <v>15.657999999999999</v>
      </c>
      <c r="IE77" s="58">
        <v>13.791</v>
      </c>
      <c r="IF77" s="58">
        <v>1.8660000000000001</v>
      </c>
      <c r="IG77" s="58">
        <v>40.548000000000002</v>
      </c>
      <c r="IH77" s="58">
        <v>22.491</v>
      </c>
      <c r="II77" s="58">
        <v>18.056999999999999</v>
      </c>
      <c r="IJ77" s="58">
        <v>32.341000000000001</v>
      </c>
      <c r="IK77" s="58">
        <v>18.959</v>
      </c>
      <c r="IL77" s="58">
        <v>13.382</v>
      </c>
      <c r="IM77" s="58">
        <v>4076.0819999999999</v>
      </c>
      <c r="IN77" s="58">
        <v>2155.8380000000002</v>
      </c>
      <c r="IO77" s="58">
        <v>1920.2439999999999</v>
      </c>
      <c r="IP77" s="58">
        <v>2889.2080000000001</v>
      </c>
      <c r="IQ77" s="58">
        <v>1764.1010000000001</v>
      </c>
    </row>
    <row r="78" spans="1:251">
      <c r="A78" s="5">
        <v>43862</v>
      </c>
      <c r="B78" s="58">
        <v>15.63</v>
      </c>
      <c r="C78" s="58">
        <v>22.951000000000001</v>
      </c>
      <c r="D78" s="58">
        <v>417.05900000000003</v>
      </c>
      <c r="E78" s="58">
        <v>238.65700000000001</v>
      </c>
      <c r="F78" s="58">
        <v>178.40199999999999</v>
      </c>
      <c r="G78" s="58">
        <v>211.90600000000001</v>
      </c>
      <c r="H78" s="58">
        <v>154.934</v>
      </c>
      <c r="I78" s="58">
        <v>56.972000000000001</v>
      </c>
      <c r="J78" s="58">
        <v>205.154</v>
      </c>
      <c r="K78" s="58">
        <v>83.722999999999999</v>
      </c>
      <c r="L78" s="58">
        <v>121.43</v>
      </c>
      <c r="M78" s="58">
        <v>237.946</v>
      </c>
      <c r="N78" s="58">
        <v>176.04400000000001</v>
      </c>
      <c r="O78" s="58">
        <v>61.902000000000001</v>
      </c>
      <c r="P78" s="58">
        <v>223.62299999999999</v>
      </c>
      <c r="Q78" s="58">
        <v>89.397999999999996</v>
      </c>
      <c r="R78" s="58">
        <v>134.22499999999999</v>
      </c>
      <c r="S78" s="58">
        <v>230.43600000000001</v>
      </c>
      <c r="T78" s="58">
        <v>102.408</v>
      </c>
      <c r="U78" s="58">
        <v>128.02799999999999</v>
      </c>
      <c r="V78" s="58">
        <v>2822.7150000000001</v>
      </c>
      <c r="W78" s="58">
        <v>1515.0450000000001</v>
      </c>
      <c r="X78" s="58">
        <v>1307.67</v>
      </c>
      <c r="Y78" s="58">
        <v>2110.3200000000002</v>
      </c>
      <c r="Z78" s="58">
        <v>1387.943</v>
      </c>
      <c r="AA78" s="58">
        <v>722.37699999999995</v>
      </c>
      <c r="AB78" s="58">
        <v>712.39499999999998</v>
      </c>
      <c r="AC78" s="58">
        <v>127.102</v>
      </c>
      <c r="AD78" s="58">
        <v>585.29300000000001</v>
      </c>
      <c r="AE78" s="58">
        <v>343.84300000000002</v>
      </c>
      <c r="AF78" s="58">
        <v>181.94499999999999</v>
      </c>
      <c r="AG78" s="58">
        <v>161.898</v>
      </c>
      <c r="AH78" s="58">
        <v>71.369</v>
      </c>
      <c r="AI78" s="58">
        <v>36.834000000000003</v>
      </c>
      <c r="AJ78" s="58">
        <v>34.534999999999997</v>
      </c>
      <c r="AK78" s="58">
        <v>33.576000000000001</v>
      </c>
      <c r="AL78" s="58">
        <v>26.771000000000001</v>
      </c>
      <c r="AM78" s="58">
        <v>6.8049999999999997</v>
      </c>
      <c r="AN78" s="58">
        <v>15.324999999999999</v>
      </c>
      <c r="AO78" s="58">
        <v>13.988</v>
      </c>
      <c r="AP78" s="58">
        <v>1.337</v>
      </c>
      <c r="AQ78" s="58">
        <v>18.251000000000001</v>
      </c>
      <c r="AR78" s="58">
        <v>12.782</v>
      </c>
      <c r="AS78" s="58">
        <v>5.468</v>
      </c>
      <c r="AT78" s="58">
        <v>37.792999999999999</v>
      </c>
      <c r="AU78" s="58">
        <v>10.063000000000001</v>
      </c>
      <c r="AV78" s="58">
        <v>27.73</v>
      </c>
      <c r="AW78" s="58">
        <v>302.61700000000002</v>
      </c>
      <c r="AX78" s="58">
        <v>160.56299999999999</v>
      </c>
      <c r="AY78" s="58">
        <v>142.05500000000001</v>
      </c>
      <c r="AZ78" s="58">
        <v>142.93600000000001</v>
      </c>
      <c r="BA78" s="58">
        <v>112.997</v>
      </c>
      <c r="BB78" s="58">
        <v>29.937999999999999</v>
      </c>
      <c r="BC78" s="58">
        <v>159.68199999999999</v>
      </c>
      <c r="BD78" s="58">
        <v>47.564999999999998</v>
      </c>
      <c r="BE78" s="58">
        <v>112.117</v>
      </c>
      <c r="BF78" s="58">
        <v>168.333</v>
      </c>
      <c r="BG78" s="58">
        <v>132.07900000000001</v>
      </c>
      <c r="BH78" s="58">
        <v>36.253999999999998</v>
      </c>
      <c r="BI78" s="58">
        <v>175.51</v>
      </c>
      <c r="BJ78" s="58">
        <v>49.866</v>
      </c>
      <c r="BK78" s="58">
        <v>125.64400000000001</v>
      </c>
      <c r="BL78" s="58">
        <v>175.00700000000001</v>
      </c>
      <c r="BM78" s="58">
        <v>61.554000000000002</v>
      </c>
      <c r="BN78" s="58">
        <v>113.453</v>
      </c>
      <c r="BO78" s="58">
        <v>2643.9140000000002</v>
      </c>
      <c r="BP78" s="58">
        <v>1368.9280000000001</v>
      </c>
      <c r="BQ78" s="58">
        <v>1274.9860000000001</v>
      </c>
      <c r="BR78" s="58">
        <v>2009.711</v>
      </c>
      <c r="BS78" s="58">
        <v>1237.1079999999999</v>
      </c>
      <c r="BT78" s="58">
        <v>772.60299999999995</v>
      </c>
      <c r="BU78" s="58">
        <v>634.20299999999997</v>
      </c>
      <c r="BV78" s="58">
        <v>131.82</v>
      </c>
      <c r="BW78" s="58">
        <v>502.38299999999998</v>
      </c>
      <c r="BX78" s="58">
        <v>323.08199999999999</v>
      </c>
      <c r="BY78" s="58">
        <v>156.24700000000001</v>
      </c>
      <c r="BZ78" s="58">
        <v>166.83500000000001</v>
      </c>
      <c r="CA78" s="58">
        <v>68.352000000000004</v>
      </c>
      <c r="CB78" s="58">
        <v>39.850999999999999</v>
      </c>
      <c r="CC78" s="58">
        <v>28.501000000000001</v>
      </c>
      <c r="CD78" s="58">
        <v>36.701000000000001</v>
      </c>
      <c r="CE78" s="58">
        <v>26.260999999999999</v>
      </c>
      <c r="CF78" s="58">
        <v>10.44</v>
      </c>
      <c r="CG78" s="58">
        <v>20.872</v>
      </c>
      <c r="CH78" s="58">
        <v>13.884</v>
      </c>
      <c r="CI78" s="58">
        <v>6.9870000000000001</v>
      </c>
      <c r="CJ78" s="58">
        <v>15.829000000000001</v>
      </c>
      <c r="CK78" s="58">
        <v>12.375999999999999</v>
      </c>
      <c r="CL78" s="58">
        <v>3.4529999999999998</v>
      </c>
      <c r="CM78" s="58">
        <v>31.65</v>
      </c>
      <c r="CN78" s="58">
        <v>13.59</v>
      </c>
      <c r="CO78" s="58">
        <v>18.059999999999999</v>
      </c>
      <c r="CP78" s="58">
        <v>282.31400000000002</v>
      </c>
      <c r="CQ78" s="58">
        <v>133.387</v>
      </c>
      <c r="CR78" s="58">
        <v>148.92699999999999</v>
      </c>
      <c r="CS78" s="58">
        <v>119.143</v>
      </c>
      <c r="CT78" s="58">
        <v>84.272999999999996</v>
      </c>
      <c r="CU78" s="58">
        <v>34.871000000000002</v>
      </c>
      <c r="CV78" s="58">
        <v>163.17099999999999</v>
      </c>
      <c r="CW78" s="58">
        <v>49.113999999999997</v>
      </c>
      <c r="CX78" s="58">
        <v>114.057</v>
      </c>
      <c r="CY78" s="58">
        <v>145.53800000000001</v>
      </c>
      <c r="CZ78" s="58">
        <v>102.563</v>
      </c>
      <c r="DA78" s="58">
        <v>42.975999999999999</v>
      </c>
      <c r="DB78" s="58">
        <v>177.54400000000001</v>
      </c>
      <c r="DC78" s="58">
        <v>53.685000000000002</v>
      </c>
      <c r="DD78" s="58">
        <v>123.85899999999999</v>
      </c>
      <c r="DE78" s="58">
        <v>184.042</v>
      </c>
      <c r="DF78" s="58">
        <v>62.997999999999998</v>
      </c>
      <c r="DG78" s="58">
        <v>121.044</v>
      </c>
      <c r="DH78" s="58">
        <v>2529.2069999999999</v>
      </c>
      <c r="DI78" s="58">
        <v>1379.99</v>
      </c>
      <c r="DJ78" s="58">
        <v>1149.2170000000001</v>
      </c>
      <c r="DK78" s="58">
        <v>1566.105</v>
      </c>
      <c r="DL78" s="58">
        <v>1026.0319999999999</v>
      </c>
      <c r="DM78" s="58">
        <v>540.07299999999998</v>
      </c>
      <c r="DN78" s="58">
        <v>963.10199999999998</v>
      </c>
      <c r="DO78" s="58">
        <v>353.95800000000003</v>
      </c>
      <c r="DP78" s="58">
        <v>609.14400000000001</v>
      </c>
      <c r="DQ78" s="58">
        <v>292.44099999999997</v>
      </c>
      <c r="DR78" s="58">
        <v>163.75200000000001</v>
      </c>
      <c r="DS78" s="58">
        <v>128.68899999999999</v>
      </c>
      <c r="DT78" s="58">
        <v>85.153999999999996</v>
      </c>
      <c r="DU78" s="58">
        <v>56.01</v>
      </c>
      <c r="DV78" s="58">
        <v>29.143999999999998</v>
      </c>
      <c r="DW78" s="58">
        <v>31.251999999999999</v>
      </c>
      <c r="DX78" s="58">
        <v>24.626999999999999</v>
      </c>
      <c r="DY78" s="58">
        <v>6.625</v>
      </c>
      <c r="DZ78" s="58">
        <v>19.574000000000002</v>
      </c>
      <c r="EA78" s="58">
        <v>16.428000000000001</v>
      </c>
      <c r="EB78" s="58">
        <v>3.1469999999999998</v>
      </c>
      <c r="EC78" s="58">
        <v>11.678000000000001</v>
      </c>
      <c r="ED78" s="58">
        <v>8.1999999999999993</v>
      </c>
      <c r="EE78" s="58">
        <v>3.4780000000000002</v>
      </c>
      <c r="EF78" s="58">
        <v>53.902000000000001</v>
      </c>
      <c r="EG78" s="58">
        <v>31.382000000000001</v>
      </c>
      <c r="EH78" s="58">
        <v>22.52</v>
      </c>
      <c r="EI78" s="58">
        <v>235.35</v>
      </c>
      <c r="EJ78" s="58">
        <v>124.032</v>
      </c>
      <c r="EK78" s="58">
        <v>111.318</v>
      </c>
      <c r="EL78" s="58">
        <v>81.820999999999998</v>
      </c>
      <c r="EM78" s="58">
        <v>62.697000000000003</v>
      </c>
      <c r="EN78" s="58">
        <v>19.123999999999999</v>
      </c>
      <c r="EO78" s="58">
        <v>153.529</v>
      </c>
      <c r="EP78" s="58">
        <v>61.335000000000001</v>
      </c>
      <c r="EQ78" s="58">
        <v>92.194000000000003</v>
      </c>
      <c r="ER78" s="58">
        <v>106.938</v>
      </c>
      <c r="ES78" s="58">
        <v>82.683999999999997</v>
      </c>
      <c r="ET78" s="58">
        <v>24.254000000000001</v>
      </c>
      <c r="EU78" s="58">
        <v>185.50299999999999</v>
      </c>
      <c r="EV78" s="58">
        <v>81.066999999999993</v>
      </c>
      <c r="EW78" s="58">
        <v>104.43600000000001</v>
      </c>
      <c r="EX78" s="58">
        <v>173.10300000000001</v>
      </c>
      <c r="EY78" s="58">
        <v>77.762</v>
      </c>
      <c r="EZ78" s="58">
        <v>95.34</v>
      </c>
      <c r="FA78" s="58">
        <v>1928.93</v>
      </c>
      <c r="FB78" s="58">
        <v>1024.2170000000001</v>
      </c>
      <c r="FC78" s="58">
        <v>904.71400000000006</v>
      </c>
      <c r="FD78" s="58">
        <v>1300.3309999999999</v>
      </c>
      <c r="FE78" s="58">
        <v>836.68</v>
      </c>
      <c r="FF78" s="58">
        <v>463.65100000000001</v>
      </c>
      <c r="FG78" s="58">
        <v>628.6</v>
      </c>
      <c r="FH78" s="58">
        <v>187.53700000000001</v>
      </c>
      <c r="FI78" s="58">
        <v>441.06299999999999</v>
      </c>
      <c r="FJ78" s="58">
        <v>240.47800000000001</v>
      </c>
      <c r="FK78" s="58">
        <v>126.375</v>
      </c>
      <c r="FL78" s="58">
        <v>114.10299999999999</v>
      </c>
      <c r="FM78" s="58">
        <v>62.741</v>
      </c>
      <c r="FN78" s="58">
        <v>40.286000000000001</v>
      </c>
      <c r="FO78" s="58">
        <v>22.454999999999998</v>
      </c>
      <c r="FP78" s="58">
        <v>27.939</v>
      </c>
      <c r="FQ78" s="58">
        <v>21.757999999999999</v>
      </c>
      <c r="FR78" s="58">
        <v>6.1820000000000004</v>
      </c>
      <c r="FS78" s="58">
        <v>16.937000000000001</v>
      </c>
      <c r="FT78" s="58">
        <v>14.233000000000001</v>
      </c>
      <c r="FU78" s="58">
        <v>2.7040000000000002</v>
      </c>
      <c r="FV78" s="58">
        <v>11.003</v>
      </c>
      <c r="FW78" s="58">
        <v>7.5250000000000004</v>
      </c>
      <c r="FX78" s="58">
        <v>3.4780000000000002</v>
      </c>
      <c r="FY78" s="58">
        <v>34.801000000000002</v>
      </c>
      <c r="FZ78" s="58">
        <v>18.527999999999999</v>
      </c>
      <c r="GA78" s="58">
        <v>16.273</v>
      </c>
      <c r="GB78" s="58">
        <v>201.02699999999999</v>
      </c>
      <c r="GC78" s="58">
        <v>99.584999999999994</v>
      </c>
      <c r="GD78" s="58">
        <v>101.443</v>
      </c>
      <c r="GE78" s="58">
        <v>70.850999999999999</v>
      </c>
      <c r="GF78" s="58">
        <v>53.534999999999997</v>
      </c>
      <c r="GG78" s="58">
        <v>17.315999999999999</v>
      </c>
      <c r="GH78" s="58">
        <v>130.17599999999999</v>
      </c>
      <c r="GI78" s="58">
        <v>46.048999999999999</v>
      </c>
      <c r="GJ78" s="58">
        <v>84.126999999999995</v>
      </c>
      <c r="GK78" s="58">
        <v>92.655000000000001</v>
      </c>
      <c r="GL78" s="58">
        <v>70.653000000000006</v>
      </c>
      <c r="GM78" s="58">
        <v>22.003</v>
      </c>
      <c r="GN78" s="58">
        <v>147.82300000000001</v>
      </c>
      <c r="GO78" s="58">
        <v>55.722999999999999</v>
      </c>
      <c r="GP78" s="58">
        <v>92.1</v>
      </c>
      <c r="GQ78" s="58">
        <v>147.113</v>
      </c>
      <c r="GR78" s="58">
        <v>60.281999999999996</v>
      </c>
      <c r="GS78" s="58">
        <v>86.831000000000003</v>
      </c>
      <c r="GT78" s="58">
        <v>600.27700000000004</v>
      </c>
      <c r="GU78" s="58">
        <v>355.77300000000002</v>
      </c>
      <c r="GV78" s="58">
        <v>244.50299999999999</v>
      </c>
      <c r="GW78" s="58">
        <v>265.774</v>
      </c>
      <c r="GX78" s="58">
        <v>189.352</v>
      </c>
      <c r="GY78" s="58">
        <v>76.421999999999997</v>
      </c>
      <c r="GZ78" s="58">
        <v>334.50299999999999</v>
      </c>
      <c r="HA78" s="58">
        <v>166.42099999999999</v>
      </c>
      <c r="HB78" s="58">
        <v>168.08099999999999</v>
      </c>
      <c r="HC78" s="58">
        <v>51.963000000000001</v>
      </c>
      <c r="HD78" s="58">
        <v>37.375999999999998</v>
      </c>
      <c r="HE78" s="58">
        <v>14.586</v>
      </c>
      <c r="HF78" s="58">
        <v>22.413</v>
      </c>
      <c r="HG78" s="58">
        <v>15.724</v>
      </c>
      <c r="HH78" s="58">
        <v>6.6890000000000001</v>
      </c>
      <c r="HI78" s="58">
        <v>3.3119999999999998</v>
      </c>
      <c r="HJ78" s="58">
        <v>2.87</v>
      </c>
      <c r="HK78" s="58">
        <v>0.443</v>
      </c>
      <c r="HL78" s="58">
        <v>2.6379999999999999</v>
      </c>
      <c r="HM78" s="58">
        <v>2.1949999999999998</v>
      </c>
      <c r="HN78" s="58">
        <v>0.443</v>
      </c>
      <c r="HO78" s="58">
        <v>0.67500000000000004</v>
      </c>
      <c r="HP78" s="58">
        <v>0.67500000000000004</v>
      </c>
      <c r="HQ78" s="58">
        <v>0</v>
      </c>
      <c r="HR78" s="58">
        <v>19.100999999999999</v>
      </c>
      <c r="HS78" s="58">
        <v>12.855</v>
      </c>
      <c r="HT78" s="58">
        <v>6.2460000000000004</v>
      </c>
      <c r="HU78" s="58">
        <v>34.323</v>
      </c>
      <c r="HV78" s="58">
        <v>24.448</v>
      </c>
      <c r="HW78" s="58">
        <v>9.875</v>
      </c>
      <c r="HX78" s="58">
        <v>10.97</v>
      </c>
      <c r="HY78" s="58">
        <v>9.1620000000000008</v>
      </c>
      <c r="HZ78" s="58">
        <v>1.8080000000000001</v>
      </c>
      <c r="IA78" s="58">
        <v>23.353000000000002</v>
      </c>
      <c r="IB78" s="58">
        <v>15.286</v>
      </c>
      <c r="IC78" s="58">
        <v>8.0670000000000002</v>
      </c>
      <c r="ID78" s="58">
        <v>14.282999999999999</v>
      </c>
      <c r="IE78" s="58">
        <v>12.032</v>
      </c>
      <c r="IF78" s="58">
        <v>2.2509999999999999</v>
      </c>
      <c r="IG78" s="58">
        <v>37.68</v>
      </c>
      <c r="IH78" s="58">
        <v>25.344999999999999</v>
      </c>
      <c r="II78" s="58">
        <v>12.335000000000001</v>
      </c>
      <c r="IJ78" s="58">
        <v>25.99</v>
      </c>
      <c r="IK78" s="58">
        <v>17.48</v>
      </c>
      <c r="IL78" s="58">
        <v>8.51</v>
      </c>
      <c r="IM78" s="58">
        <v>4135.5469999999996</v>
      </c>
      <c r="IN78" s="58">
        <v>2199.4059999999999</v>
      </c>
      <c r="IO78" s="58">
        <v>1936.14</v>
      </c>
      <c r="IP78" s="58">
        <v>2928.4989999999998</v>
      </c>
      <c r="IQ78" s="58">
        <v>1802.202</v>
      </c>
    </row>
    <row r="79" spans="1:251">
      <c r="A79" s="5">
        <v>43891</v>
      </c>
      <c r="B79" s="58">
        <v>23.263000000000002</v>
      </c>
      <c r="C79" s="58">
        <v>32.834000000000003</v>
      </c>
      <c r="D79" s="58">
        <v>427.50099999999998</v>
      </c>
      <c r="E79" s="58">
        <v>248.12700000000001</v>
      </c>
      <c r="F79" s="58">
        <v>179.374</v>
      </c>
      <c r="G79" s="58">
        <v>213.36</v>
      </c>
      <c r="H79" s="58">
        <v>159.68199999999999</v>
      </c>
      <c r="I79" s="58">
        <v>53.677</v>
      </c>
      <c r="J79" s="58">
        <v>214.14099999999999</v>
      </c>
      <c r="K79" s="58">
        <v>88.444000000000003</v>
      </c>
      <c r="L79" s="58">
        <v>125.697</v>
      </c>
      <c r="M79" s="58">
        <v>233.98699999999999</v>
      </c>
      <c r="N79" s="58">
        <v>172.827</v>
      </c>
      <c r="O79" s="58">
        <v>61.16</v>
      </c>
      <c r="P79" s="58">
        <v>237.36199999999999</v>
      </c>
      <c r="Q79" s="58">
        <v>94.602999999999994</v>
      </c>
      <c r="R79" s="58">
        <v>142.75800000000001</v>
      </c>
      <c r="S79" s="58">
        <v>234.34100000000001</v>
      </c>
      <c r="T79" s="58">
        <v>103.363</v>
      </c>
      <c r="U79" s="58">
        <v>130.97800000000001</v>
      </c>
      <c r="V79" s="58">
        <v>2829.973</v>
      </c>
      <c r="W79" s="58">
        <v>1518.0930000000001</v>
      </c>
      <c r="X79" s="58">
        <v>1311.88</v>
      </c>
      <c r="Y79" s="58">
        <v>2116.3789999999999</v>
      </c>
      <c r="Z79" s="58">
        <v>1385.471</v>
      </c>
      <c r="AA79" s="58">
        <v>730.90800000000002</v>
      </c>
      <c r="AB79" s="58">
        <v>713.59400000000005</v>
      </c>
      <c r="AC79" s="58">
        <v>132.62200000000001</v>
      </c>
      <c r="AD79" s="58">
        <v>580.97199999999998</v>
      </c>
      <c r="AE79" s="58">
        <v>363.29899999999998</v>
      </c>
      <c r="AF79" s="58">
        <v>193.637</v>
      </c>
      <c r="AG79" s="58">
        <v>169.66300000000001</v>
      </c>
      <c r="AH79" s="58">
        <v>78.126000000000005</v>
      </c>
      <c r="AI79" s="58">
        <v>36.74</v>
      </c>
      <c r="AJ79" s="58">
        <v>41.384999999999998</v>
      </c>
      <c r="AK79" s="58">
        <v>34.773000000000003</v>
      </c>
      <c r="AL79" s="58">
        <v>26.437999999999999</v>
      </c>
      <c r="AM79" s="58">
        <v>8.3350000000000009</v>
      </c>
      <c r="AN79" s="58">
        <v>22.16</v>
      </c>
      <c r="AO79" s="58">
        <v>17.997</v>
      </c>
      <c r="AP79" s="58">
        <v>4.1630000000000003</v>
      </c>
      <c r="AQ79" s="58">
        <v>12.613</v>
      </c>
      <c r="AR79" s="58">
        <v>8.44</v>
      </c>
      <c r="AS79" s="58">
        <v>4.1719999999999997</v>
      </c>
      <c r="AT79" s="58">
        <v>43.353000000000002</v>
      </c>
      <c r="AU79" s="58">
        <v>10.303000000000001</v>
      </c>
      <c r="AV79" s="58">
        <v>33.049999999999997</v>
      </c>
      <c r="AW79" s="58">
        <v>318.04399999999998</v>
      </c>
      <c r="AX79" s="58">
        <v>172.464</v>
      </c>
      <c r="AY79" s="58">
        <v>145.58000000000001</v>
      </c>
      <c r="AZ79" s="58">
        <v>155.43199999999999</v>
      </c>
      <c r="BA79" s="58">
        <v>121.452</v>
      </c>
      <c r="BB79" s="58">
        <v>33.979999999999997</v>
      </c>
      <c r="BC79" s="58">
        <v>162.61199999999999</v>
      </c>
      <c r="BD79" s="58">
        <v>51.012</v>
      </c>
      <c r="BE79" s="58">
        <v>111.6</v>
      </c>
      <c r="BF79" s="58">
        <v>181.01599999999999</v>
      </c>
      <c r="BG79" s="58">
        <v>139.62</v>
      </c>
      <c r="BH79" s="58">
        <v>41.395000000000003</v>
      </c>
      <c r="BI79" s="58">
        <v>182.28399999999999</v>
      </c>
      <c r="BJ79" s="58">
        <v>54.015999999999998</v>
      </c>
      <c r="BK79" s="58">
        <v>128.268</v>
      </c>
      <c r="BL79" s="58">
        <v>184.77199999999999</v>
      </c>
      <c r="BM79" s="58">
        <v>69.009</v>
      </c>
      <c r="BN79" s="58">
        <v>115.76300000000001</v>
      </c>
      <c r="BO79" s="58">
        <v>2634.6060000000002</v>
      </c>
      <c r="BP79" s="58">
        <v>1360.884</v>
      </c>
      <c r="BQ79" s="58">
        <v>1273.722</v>
      </c>
      <c r="BR79" s="58">
        <v>1975.671</v>
      </c>
      <c r="BS79" s="58">
        <v>1228.5419999999999</v>
      </c>
      <c r="BT79" s="58">
        <v>747.12900000000002</v>
      </c>
      <c r="BU79" s="58">
        <v>658.93499999999995</v>
      </c>
      <c r="BV79" s="58">
        <v>132.34200000000001</v>
      </c>
      <c r="BW79" s="58">
        <v>526.59299999999996</v>
      </c>
      <c r="BX79" s="58">
        <v>320.30399999999997</v>
      </c>
      <c r="BY79" s="58">
        <v>159.94800000000001</v>
      </c>
      <c r="BZ79" s="58">
        <v>160.35599999999999</v>
      </c>
      <c r="CA79" s="58">
        <v>84.831000000000003</v>
      </c>
      <c r="CB79" s="58">
        <v>56.255000000000003</v>
      </c>
      <c r="CC79" s="58">
        <v>28.576000000000001</v>
      </c>
      <c r="CD79" s="58">
        <v>48.764000000000003</v>
      </c>
      <c r="CE79" s="58">
        <v>39.497</v>
      </c>
      <c r="CF79" s="58">
        <v>9.2669999999999995</v>
      </c>
      <c r="CG79" s="58">
        <v>26.436</v>
      </c>
      <c r="CH79" s="58">
        <v>20.965</v>
      </c>
      <c r="CI79" s="58">
        <v>5.4710000000000001</v>
      </c>
      <c r="CJ79" s="58">
        <v>22.327999999999999</v>
      </c>
      <c r="CK79" s="58">
        <v>18.532</v>
      </c>
      <c r="CL79" s="58">
        <v>3.7959999999999998</v>
      </c>
      <c r="CM79" s="58">
        <v>36.067</v>
      </c>
      <c r="CN79" s="58">
        <v>16.757999999999999</v>
      </c>
      <c r="CO79" s="58">
        <v>19.309000000000001</v>
      </c>
      <c r="CP79" s="58">
        <v>269.64400000000001</v>
      </c>
      <c r="CQ79" s="58">
        <v>124.94199999999999</v>
      </c>
      <c r="CR79" s="58">
        <v>144.702</v>
      </c>
      <c r="CS79" s="58">
        <v>115.607</v>
      </c>
      <c r="CT79" s="58">
        <v>82.542000000000002</v>
      </c>
      <c r="CU79" s="58">
        <v>33.066000000000003</v>
      </c>
      <c r="CV79" s="58">
        <v>154.03700000000001</v>
      </c>
      <c r="CW79" s="58">
        <v>42.401000000000003</v>
      </c>
      <c r="CX79" s="58">
        <v>111.636</v>
      </c>
      <c r="CY79" s="58">
        <v>152.79499999999999</v>
      </c>
      <c r="CZ79" s="58">
        <v>111.53</v>
      </c>
      <c r="DA79" s="58">
        <v>41.265000000000001</v>
      </c>
      <c r="DB79" s="58">
        <v>167.50899999999999</v>
      </c>
      <c r="DC79" s="58">
        <v>48.417999999999999</v>
      </c>
      <c r="DD79" s="58">
        <v>119.09099999999999</v>
      </c>
      <c r="DE79" s="58">
        <v>180.47300000000001</v>
      </c>
      <c r="DF79" s="58">
        <v>63.366</v>
      </c>
      <c r="DG79" s="58">
        <v>117.107</v>
      </c>
      <c r="DH79" s="58">
        <v>2499.9810000000002</v>
      </c>
      <c r="DI79" s="58">
        <v>1356.2650000000001</v>
      </c>
      <c r="DJ79" s="58">
        <v>1143.7159999999999</v>
      </c>
      <c r="DK79" s="58">
        <v>1546.5409999999999</v>
      </c>
      <c r="DL79" s="58">
        <v>1001.802</v>
      </c>
      <c r="DM79" s="58">
        <v>544.73800000000006</v>
      </c>
      <c r="DN79" s="58">
        <v>953.44</v>
      </c>
      <c r="DO79" s="58">
        <v>354.46199999999999</v>
      </c>
      <c r="DP79" s="58">
        <v>598.97799999999995</v>
      </c>
      <c r="DQ79" s="58">
        <v>305.31400000000002</v>
      </c>
      <c r="DR79" s="58">
        <v>168.804</v>
      </c>
      <c r="DS79" s="58">
        <v>136.51</v>
      </c>
      <c r="DT79" s="58">
        <v>98.872</v>
      </c>
      <c r="DU79" s="58">
        <v>64.114999999999995</v>
      </c>
      <c r="DV79" s="58">
        <v>34.756999999999998</v>
      </c>
      <c r="DW79" s="58">
        <v>37.771000000000001</v>
      </c>
      <c r="DX79" s="58">
        <v>29.12</v>
      </c>
      <c r="DY79" s="58">
        <v>8.6509999999999998</v>
      </c>
      <c r="DZ79" s="58">
        <v>24.466999999999999</v>
      </c>
      <c r="EA79" s="58">
        <v>17.792000000000002</v>
      </c>
      <c r="EB79" s="58">
        <v>6.6749999999999998</v>
      </c>
      <c r="EC79" s="58">
        <v>13.304</v>
      </c>
      <c r="ED79" s="58">
        <v>11.327999999999999</v>
      </c>
      <c r="EE79" s="58">
        <v>1.9770000000000001</v>
      </c>
      <c r="EF79" s="58">
        <v>61.100999999999999</v>
      </c>
      <c r="EG79" s="58">
        <v>34.996000000000002</v>
      </c>
      <c r="EH79" s="58">
        <v>26.106000000000002</v>
      </c>
      <c r="EI79" s="58">
        <v>241.19300000000001</v>
      </c>
      <c r="EJ79" s="58">
        <v>123.69499999999999</v>
      </c>
      <c r="EK79" s="58">
        <v>117.498</v>
      </c>
      <c r="EL79" s="58">
        <v>85.534999999999997</v>
      </c>
      <c r="EM79" s="58">
        <v>59.183</v>
      </c>
      <c r="EN79" s="58">
        <v>26.352</v>
      </c>
      <c r="EO79" s="58">
        <v>155.65799999999999</v>
      </c>
      <c r="EP79" s="58">
        <v>64.512</v>
      </c>
      <c r="EQ79" s="58">
        <v>91.146000000000001</v>
      </c>
      <c r="ER79" s="58">
        <v>113.152</v>
      </c>
      <c r="ES79" s="58">
        <v>81.117999999999995</v>
      </c>
      <c r="ET79" s="58">
        <v>32.033999999999999</v>
      </c>
      <c r="EU79" s="58">
        <v>192.16200000000001</v>
      </c>
      <c r="EV79" s="58">
        <v>87.685000000000002</v>
      </c>
      <c r="EW79" s="58">
        <v>104.476</v>
      </c>
      <c r="EX79" s="58">
        <v>180.125</v>
      </c>
      <c r="EY79" s="58">
        <v>82.304000000000002</v>
      </c>
      <c r="EZ79" s="58">
        <v>97.820999999999998</v>
      </c>
      <c r="FA79" s="58">
        <v>1913.2370000000001</v>
      </c>
      <c r="FB79" s="58">
        <v>1010.8920000000001</v>
      </c>
      <c r="FC79" s="58">
        <v>902.34500000000003</v>
      </c>
      <c r="FD79" s="58">
        <v>1290.231</v>
      </c>
      <c r="FE79" s="58">
        <v>820.74400000000003</v>
      </c>
      <c r="FF79" s="58">
        <v>469.488</v>
      </c>
      <c r="FG79" s="58">
        <v>623.00599999999997</v>
      </c>
      <c r="FH79" s="58">
        <v>190.148</v>
      </c>
      <c r="FI79" s="58">
        <v>432.858</v>
      </c>
      <c r="FJ79" s="58">
        <v>252.023</v>
      </c>
      <c r="FK79" s="58">
        <v>132.78800000000001</v>
      </c>
      <c r="FL79" s="58">
        <v>119.235</v>
      </c>
      <c r="FM79" s="58">
        <v>73.759</v>
      </c>
      <c r="FN79" s="58">
        <v>46.826999999999998</v>
      </c>
      <c r="FO79" s="58">
        <v>26.931999999999999</v>
      </c>
      <c r="FP79" s="58">
        <v>35.29</v>
      </c>
      <c r="FQ79" s="58">
        <v>26.638000000000002</v>
      </c>
      <c r="FR79" s="58">
        <v>8.6509999999999998</v>
      </c>
      <c r="FS79" s="58">
        <v>22.97</v>
      </c>
      <c r="FT79" s="58">
        <v>16.295000000000002</v>
      </c>
      <c r="FU79" s="58">
        <v>6.6749999999999998</v>
      </c>
      <c r="FV79" s="58">
        <v>12.32</v>
      </c>
      <c r="FW79" s="58">
        <v>10.343</v>
      </c>
      <c r="FX79" s="58">
        <v>1.9770000000000001</v>
      </c>
      <c r="FY79" s="58">
        <v>38.469000000000001</v>
      </c>
      <c r="FZ79" s="58">
        <v>20.187999999999999</v>
      </c>
      <c r="GA79" s="58">
        <v>18.280999999999999</v>
      </c>
      <c r="GB79" s="58">
        <v>204.86199999999999</v>
      </c>
      <c r="GC79" s="58">
        <v>100.25</v>
      </c>
      <c r="GD79" s="58">
        <v>104.611</v>
      </c>
      <c r="GE79" s="58">
        <v>77.143000000000001</v>
      </c>
      <c r="GF79" s="58">
        <v>51.524999999999999</v>
      </c>
      <c r="GG79" s="58">
        <v>25.617999999999999</v>
      </c>
      <c r="GH79" s="58">
        <v>127.71899999999999</v>
      </c>
      <c r="GI79" s="58">
        <v>48.725000000000001</v>
      </c>
      <c r="GJ79" s="58">
        <v>78.992999999999995</v>
      </c>
      <c r="GK79" s="58">
        <v>102.279</v>
      </c>
      <c r="GL79" s="58">
        <v>70.978999999999999</v>
      </c>
      <c r="GM79" s="58">
        <v>31.3</v>
      </c>
      <c r="GN79" s="58">
        <v>149.74299999999999</v>
      </c>
      <c r="GO79" s="58">
        <v>61.808999999999997</v>
      </c>
      <c r="GP79" s="58">
        <v>87.935000000000002</v>
      </c>
      <c r="GQ79" s="58">
        <v>150.68899999999999</v>
      </c>
      <c r="GR79" s="58">
        <v>65.02</v>
      </c>
      <c r="GS79" s="58">
        <v>85.668000000000006</v>
      </c>
      <c r="GT79" s="58">
        <v>586.74300000000005</v>
      </c>
      <c r="GU79" s="58">
        <v>345.37299999999999</v>
      </c>
      <c r="GV79" s="58">
        <v>241.37</v>
      </c>
      <c r="GW79" s="58">
        <v>256.31</v>
      </c>
      <c r="GX79" s="58">
        <v>181.059</v>
      </c>
      <c r="GY79" s="58">
        <v>75.251000000000005</v>
      </c>
      <c r="GZ79" s="58">
        <v>330.43400000000003</v>
      </c>
      <c r="HA79" s="58">
        <v>164.31399999999999</v>
      </c>
      <c r="HB79" s="58">
        <v>166.12</v>
      </c>
      <c r="HC79" s="58">
        <v>53.290999999999997</v>
      </c>
      <c r="HD79" s="58">
        <v>36.015999999999998</v>
      </c>
      <c r="HE79" s="58">
        <v>17.274999999999999</v>
      </c>
      <c r="HF79" s="58">
        <v>25.114000000000001</v>
      </c>
      <c r="HG79" s="58">
        <v>17.289000000000001</v>
      </c>
      <c r="HH79" s="58">
        <v>7.8250000000000002</v>
      </c>
      <c r="HI79" s="58">
        <v>2.4809999999999999</v>
      </c>
      <c r="HJ79" s="58">
        <v>2.4809999999999999</v>
      </c>
      <c r="HK79" s="58">
        <v>0</v>
      </c>
      <c r="HL79" s="58">
        <v>1.4970000000000001</v>
      </c>
      <c r="HM79" s="58">
        <v>1.4970000000000001</v>
      </c>
      <c r="HN79" s="58">
        <v>0</v>
      </c>
      <c r="HO79" s="58">
        <v>0.98499999999999999</v>
      </c>
      <c r="HP79" s="58">
        <v>0.98499999999999999</v>
      </c>
      <c r="HQ79" s="58">
        <v>0</v>
      </c>
      <c r="HR79" s="58">
        <v>22.632000000000001</v>
      </c>
      <c r="HS79" s="58">
        <v>14.807</v>
      </c>
      <c r="HT79" s="58">
        <v>7.8250000000000002</v>
      </c>
      <c r="HU79" s="58">
        <v>36.331000000000003</v>
      </c>
      <c r="HV79" s="58">
        <v>23.445</v>
      </c>
      <c r="HW79" s="58">
        <v>12.885999999999999</v>
      </c>
      <c r="HX79" s="58">
        <v>8.3919999999999995</v>
      </c>
      <c r="HY79" s="58">
        <v>7.6580000000000004</v>
      </c>
      <c r="HZ79" s="58">
        <v>0.73399999999999999</v>
      </c>
      <c r="IA79" s="58">
        <v>27.939</v>
      </c>
      <c r="IB79" s="58">
        <v>15.787000000000001</v>
      </c>
      <c r="IC79" s="58">
        <v>12.153</v>
      </c>
      <c r="ID79" s="58">
        <v>10.872999999999999</v>
      </c>
      <c r="IE79" s="58">
        <v>10.138999999999999</v>
      </c>
      <c r="IF79" s="58">
        <v>0.73399999999999999</v>
      </c>
      <c r="IG79" s="58">
        <v>42.417999999999999</v>
      </c>
      <c r="IH79" s="58">
        <v>25.876999999999999</v>
      </c>
      <c r="II79" s="58">
        <v>16.542000000000002</v>
      </c>
      <c r="IJ79" s="58">
        <v>29.436</v>
      </c>
      <c r="IK79" s="58">
        <v>17.283000000000001</v>
      </c>
      <c r="IL79" s="58">
        <v>12.153</v>
      </c>
      <c r="IM79" s="58">
        <v>4127.9849999999997</v>
      </c>
      <c r="IN79" s="58">
        <v>2180.4740000000002</v>
      </c>
      <c r="IO79" s="58">
        <v>1947.511</v>
      </c>
      <c r="IP79" s="58">
        <v>2908.1390000000001</v>
      </c>
      <c r="IQ79" s="58">
        <v>1781.7729999999999</v>
      </c>
    </row>
    <row r="80" spans="1:251">
      <c r="A80" s="5">
        <v>43922</v>
      </c>
      <c r="B80" s="58">
        <v>53.915999999999997</v>
      </c>
      <c r="C80" s="58">
        <v>97.57</v>
      </c>
      <c r="D80" s="58">
        <v>421.67200000000003</v>
      </c>
      <c r="E80" s="58">
        <v>244.2</v>
      </c>
      <c r="F80" s="58">
        <v>177.47200000000001</v>
      </c>
      <c r="G80" s="58">
        <v>204.24</v>
      </c>
      <c r="H80" s="58">
        <v>151.59700000000001</v>
      </c>
      <c r="I80" s="58">
        <v>52.643000000000001</v>
      </c>
      <c r="J80" s="58">
        <v>217.43100000000001</v>
      </c>
      <c r="K80" s="58">
        <v>92.602999999999994</v>
      </c>
      <c r="L80" s="58">
        <v>124.82899999999999</v>
      </c>
      <c r="M80" s="58">
        <v>426.745</v>
      </c>
      <c r="N80" s="58">
        <v>285.61500000000001</v>
      </c>
      <c r="O80" s="58">
        <v>141.13</v>
      </c>
      <c r="P80" s="58">
        <v>305.81599999999997</v>
      </c>
      <c r="Q80" s="58">
        <v>121.47799999999999</v>
      </c>
      <c r="R80" s="58">
        <v>184.33799999999999</v>
      </c>
      <c r="S80" s="58">
        <v>445.125</v>
      </c>
      <c r="T80" s="58">
        <v>233.20500000000001</v>
      </c>
      <c r="U80" s="58">
        <v>211.92</v>
      </c>
      <c r="V80" s="58">
        <v>2763.3629999999998</v>
      </c>
      <c r="W80" s="58">
        <v>1485.3019999999999</v>
      </c>
      <c r="X80" s="58">
        <v>1278.0609999999999</v>
      </c>
      <c r="Y80" s="58">
        <v>2090.5529999999999</v>
      </c>
      <c r="Z80" s="58">
        <v>1360.6179999999999</v>
      </c>
      <c r="AA80" s="58">
        <v>729.93499999999995</v>
      </c>
      <c r="AB80" s="58">
        <v>672.81</v>
      </c>
      <c r="AC80" s="58">
        <v>124.684</v>
      </c>
      <c r="AD80" s="58">
        <v>548.12599999999998</v>
      </c>
      <c r="AE80" s="58">
        <v>561.99800000000005</v>
      </c>
      <c r="AF80" s="58">
        <v>300.86700000000002</v>
      </c>
      <c r="AG80" s="58">
        <v>261.13099999999997</v>
      </c>
      <c r="AH80" s="58">
        <v>332.49</v>
      </c>
      <c r="AI80" s="58">
        <v>169.94900000000001</v>
      </c>
      <c r="AJ80" s="58">
        <v>162.541</v>
      </c>
      <c r="AK80" s="58">
        <v>201.71700000000001</v>
      </c>
      <c r="AL80" s="58">
        <v>132.714</v>
      </c>
      <c r="AM80" s="58">
        <v>69.003</v>
      </c>
      <c r="AN80" s="58">
        <v>158.01499999999999</v>
      </c>
      <c r="AO80" s="58">
        <v>98.506</v>
      </c>
      <c r="AP80" s="58">
        <v>59.509</v>
      </c>
      <c r="AQ80" s="58">
        <v>43.701999999999998</v>
      </c>
      <c r="AR80" s="58">
        <v>34.207999999999998</v>
      </c>
      <c r="AS80" s="58">
        <v>9.4939999999999998</v>
      </c>
      <c r="AT80" s="58">
        <v>130.77199999999999</v>
      </c>
      <c r="AU80" s="58">
        <v>37.234000000000002</v>
      </c>
      <c r="AV80" s="58">
        <v>93.537999999999997</v>
      </c>
      <c r="AW80" s="58">
        <v>322.79700000000003</v>
      </c>
      <c r="AX80" s="58">
        <v>179.762</v>
      </c>
      <c r="AY80" s="58">
        <v>143.036</v>
      </c>
      <c r="AZ80" s="58">
        <v>160.892</v>
      </c>
      <c r="BA80" s="58">
        <v>128.63900000000001</v>
      </c>
      <c r="BB80" s="58">
        <v>32.252000000000002</v>
      </c>
      <c r="BC80" s="58">
        <v>161.90600000000001</v>
      </c>
      <c r="BD80" s="58">
        <v>51.122</v>
      </c>
      <c r="BE80" s="58">
        <v>110.783</v>
      </c>
      <c r="BF80" s="58">
        <v>324.536</v>
      </c>
      <c r="BG80" s="58">
        <v>232.97200000000001</v>
      </c>
      <c r="BH80" s="58">
        <v>91.563999999999993</v>
      </c>
      <c r="BI80" s="58">
        <v>237.46199999999999</v>
      </c>
      <c r="BJ80" s="58">
        <v>67.894999999999996</v>
      </c>
      <c r="BK80" s="58">
        <v>169.56700000000001</v>
      </c>
      <c r="BL80" s="58">
        <v>319.92099999999999</v>
      </c>
      <c r="BM80" s="58">
        <v>149.62799999999999</v>
      </c>
      <c r="BN80" s="58">
        <v>170.29300000000001</v>
      </c>
      <c r="BO80" s="58">
        <v>2574.4749999999999</v>
      </c>
      <c r="BP80" s="58">
        <v>1335.89</v>
      </c>
      <c r="BQ80" s="58">
        <v>1238.585</v>
      </c>
      <c r="BR80" s="58">
        <v>1953.06</v>
      </c>
      <c r="BS80" s="58">
        <v>1214.3789999999999</v>
      </c>
      <c r="BT80" s="58">
        <v>738.68100000000004</v>
      </c>
      <c r="BU80" s="58">
        <v>621.41499999999996</v>
      </c>
      <c r="BV80" s="58">
        <v>121.511</v>
      </c>
      <c r="BW80" s="58">
        <v>499.904</v>
      </c>
      <c r="BX80" s="58">
        <v>516.73699999999997</v>
      </c>
      <c r="BY80" s="58">
        <v>253.19</v>
      </c>
      <c r="BZ80" s="58">
        <v>263.54700000000003</v>
      </c>
      <c r="CA80" s="58">
        <v>311.553</v>
      </c>
      <c r="CB80" s="58">
        <v>144.66800000000001</v>
      </c>
      <c r="CC80" s="58">
        <v>166.88399999999999</v>
      </c>
      <c r="CD80" s="58">
        <v>185.07400000000001</v>
      </c>
      <c r="CE80" s="58">
        <v>115.92</v>
      </c>
      <c r="CF80" s="58">
        <v>69.153999999999996</v>
      </c>
      <c r="CG80" s="58">
        <v>144.404</v>
      </c>
      <c r="CH80" s="58">
        <v>86.971999999999994</v>
      </c>
      <c r="CI80" s="58">
        <v>57.432000000000002</v>
      </c>
      <c r="CJ80" s="58">
        <v>40.67</v>
      </c>
      <c r="CK80" s="58">
        <v>28.948</v>
      </c>
      <c r="CL80" s="58">
        <v>11.722</v>
      </c>
      <c r="CM80" s="58">
        <v>126.47799999999999</v>
      </c>
      <c r="CN80" s="58">
        <v>28.748000000000001</v>
      </c>
      <c r="CO80" s="58">
        <v>97.73</v>
      </c>
      <c r="CP80" s="58">
        <v>290.447</v>
      </c>
      <c r="CQ80" s="58">
        <v>143.27600000000001</v>
      </c>
      <c r="CR80" s="58">
        <v>147.172</v>
      </c>
      <c r="CS80" s="58">
        <v>134.49299999999999</v>
      </c>
      <c r="CT80" s="58">
        <v>96.206999999999994</v>
      </c>
      <c r="CU80" s="58">
        <v>38.286000000000001</v>
      </c>
      <c r="CV80" s="58">
        <v>155.95400000000001</v>
      </c>
      <c r="CW80" s="58">
        <v>47.069000000000003</v>
      </c>
      <c r="CX80" s="58">
        <v>108.88500000000001</v>
      </c>
      <c r="CY80" s="58">
        <v>288.36099999999999</v>
      </c>
      <c r="CZ80" s="58">
        <v>191.46199999999999</v>
      </c>
      <c r="DA80" s="58">
        <v>96.9</v>
      </c>
      <c r="DB80" s="58">
        <v>228.375</v>
      </c>
      <c r="DC80" s="58">
        <v>61.728000000000002</v>
      </c>
      <c r="DD80" s="58">
        <v>166.64699999999999</v>
      </c>
      <c r="DE80" s="58">
        <v>300.358</v>
      </c>
      <c r="DF80" s="58">
        <v>134.041</v>
      </c>
      <c r="DG80" s="58">
        <v>166.31700000000001</v>
      </c>
      <c r="DH80" s="58">
        <v>2405.8090000000002</v>
      </c>
      <c r="DI80" s="58">
        <v>1308.6400000000001</v>
      </c>
      <c r="DJ80" s="58">
        <v>1097.1690000000001</v>
      </c>
      <c r="DK80" s="58">
        <v>1524.029</v>
      </c>
      <c r="DL80" s="58">
        <v>986.26099999999997</v>
      </c>
      <c r="DM80" s="58">
        <v>537.76800000000003</v>
      </c>
      <c r="DN80" s="58">
        <v>881.78</v>
      </c>
      <c r="DO80" s="58">
        <v>322.37900000000002</v>
      </c>
      <c r="DP80" s="58">
        <v>559.40200000000004</v>
      </c>
      <c r="DQ80" s="58">
        <v>497.41199999999998</v>
      </c>
      <c r="DR80" s="58">
        <v>266.75799999999998</v>
      </c>
      <c r="DS80" s="58">
        <v>230.65299999999999</v>
      </c>
      <c r="DT80" s="58">
        <v>328.62200000000001</v>
      </c>
      <c r="DU80" s="58">
        <v>181.511</v>
      </c>
      <c r="DV80" s="58">
        <v>147.11000000000001</v>
      </c>
      <c r="DW80" s="58">
        <v>149.55799999999999</v>
      </c>
      <c r="DX80" s="58">
        <v>99.347999999999999</v>
      </c>
      <c r="DY80" s="58">
        <v>50.21</v>
      </c>
      <c r="DZ80" s="58">
        <v>119.75</v>
      </c>
      <c r="EA80" s="58">
        <v>77.231999999999999</v>
      </c>
      <c r="EB80" s="58">
        <v>42.518000000000001</v>
      </c>
      <c r="EC80" s="58">
        <v>29.808</v>
      </c>
      <c r="ED80" s="58">
        <v>22.116</v>
      </c>
      <c r="EE80" s="58">
        <v>7.6920000000000002</v>
      </c>
      <c r="EF80" s="58">
        <v>179.06399999999999</v>
      </c>
      <c r="EG80" s="58">
        <v>82.162999999999997</v>
      </c>
      <c r="EH80" s="58">
        <v>96.900999999999996</v>
      </c>
      <c r="EI80" s="58">
        <v>249.84299999999999</v>
      </c>
      <c r="EJ80" s="58">
        <v>132.35300000000001</v>
      </c>
      <c r="EK80" s="58">
        <v>117.49</v>
      </c>
      <c r="EL80" s="58">
        <v>87.668999999999997</v>
      </c>
      <c r="EM80" s="58">
        <v>66.403000000000006</v>
      </c>
      <c r="EN80" s="58">
        <v>21.265999999999998</v>
      </c>
      <c r="EO80" s="58">
        <v>162.173</v>
      </c>
      <c r="EP80" s="58">
        <v>65.95</v>
      </c>
      <c r="EQ80" s="58">
        <v>96.224000000000004</v>
      </c>
      <c r="ER80" s="58">
        <v>211.22300000000001</v>
      </c>
      <c r="ES80" s="58">
        <v>146.13200000000001</v>
      </c>
      <c r="ET80" s="58">
        <v>65.090999999999994</v>
      </c>
      <c r="EU80" s="58">
        <v>286.18900000000002</v>
      </c>
      <c r="EV80" s="58">
        <v>120.626</v>
      </c>
      <c r="EW80" s="58">
        <v>165.56299999999999</v>
      </c>
      <c r="EX80" s="58">
        <v>281.923</v>
      </c>
      <c r="EY80" s="58">
        <v>143.18199999999999</v>
      </c>
      <c r="EZ80" s="58">
        <v>138.74100000000001</v>
      </c>
      <c r="FA80" s="58">
        <v>1864.0239999999999</v>
      </c>
      <c r="FB80" s="58">
        <v>988.33199999999999</v>
      </c>
      <c r="FC80" s="58">
        <v>875.69200000000001</v>
      </c>
      <c r="FD80" s="58">
        <v>1276.8910000000001</v>
      </c>
      <c r="FE80" s="58">
        <v>813.40200000000004</v>
      </c>
      <c r="FF80" s="58">
        <v>463.48899999999998</v>
      </c>
      <c r="FG80" s="58">
        <v>587.13300000000004</v>
      </c>
      <c r="FH80" s="58">
        <v>174.93</v>
      </c>
      <c r="FI80" s="58">
        <v>412.20299999999997</v>
      </c>
      <c r="FJ80" s="58">
        <v>393.18</v>
      </c>
      <c r="FK80" s="58">
        <v>204.69200000000001</v>
      </c>
      <c r="FL80" s="58">
        <v>188.488</v>
      </c>
      <c r="FM80" s="58">
        <v>250.233</v>
      </c>
      <c r="FN80" s="58">
        <v>136.97300000000001</v>
      </c>
      <c r="FO80" s="58">
        <v>113.26</v>
      </c>
      <c r="FP80" s="58">
        <v>129.50800000000001</v>
      </c>
      <c r="FQ80" s="58">
        <v>83.909000000000006</v>
      </c>
      <c r="FR80" s="58">
        <v>45.597999999999999</v>
      </c>
      <c r="FS80" s="58">
        <v>103.386</v>
      </c>
      <c r="FT80" s="58">
        <v>64.963999999999999</v>
      </c>
      <c r="FU80" s="58">
        <v>38.420999999999999</v>
      </c>
      <c r="FV80" s="58">
        <v>26.122</v>
      </c>
      <c r="FW80" s="58">
        <v>18.945</v>
      </c>
      <c r="FX80" s="58">
        <v>7.1769999999999996</v>
      </c>
      <c r="FY80" s="58">
        <v>120.726</v>
      </c>
      <c r="FZ80" s="58">
        <v>53.064</v>
      </c>
      <c r="GA80" s="58">
        <v>67.661000000000001</v>
      </c>
      <c r="GB80" s="58">
        <v>211.91200000000001</v>
      </c>
      <c r="GC80" s="58">
        <v>107.608</v>
      </c>
      <c r="GD80" s="58">
        <v>104.303</v>
      </c>
      <c r="GE80" s="58">
        <v>80.680000000000007</v>
      </c>
      <c r="GF80" s="58">
        <v>59.588999999999999</v>
      </c>
      <c r="GG80" s="58">
        <v>21.091999999999999</v>
      </c>
      <c r="GH80" s="58">
        <v>131.232</v>
      </c>
      <c r="GI80" s="58">
        <v>48.02</v>
      </c>
      <c r="GJ80" s="58">
        <v>83.212000000000003</v>
      </c>
      <c r="GK80" s="58">
        <v>185.30099999999999</v>
      </c>
      <c r="GL80" s="58">
        <v>124.996</v>
      </c>
      <c r="GM80" s="58">
        <v>60.305</v>
      </c>
      <c r="GN80" s="58">
        <v>207.87899999999999</v>
      </c>
      <c r="GO80" s="58">
        <v>79.695999999999998</v>
      </c>
      <c r="GP80" s="58">
        <v>128.18299999999999</v>
      </c>
      <c r="GQ80" s="58">
        <v>234.61699999999999</v>
      </c>
      <c r="GR80" s="58">
        <v>112.98399999999999</v>
      </c>
      <c r="GS80" s="58">
        <v>121.633</v>
      </c>
      <c r="GT80" s="58">
        <v>541.78499999999997</v>
      </c>
      <c r="GU80" s="58">
        <v>320.30799999999999</v>
      </c>
      <c r="GV80" s="58">
        <v>221.477</v>
      </c>
      <c r="GW80" s="58">
        <v>247.13800000000001</v>
      </c>
      <c r="GX80" s="58">
        <v>172.86</v>
      </c>
      <c r="GY80" s="58">
        <v>74.278000000000006</v>
      </c>
      <c r="GZ80" s="58">
        <v>294.64699999999999</v>
      </c>
      <c r="HA80" s="58">
        <v>147.44800000000001</v>
      </c>
      <c r="HB80" s="58">
        <v>147.19900000000001</v>
      </c>
      <c r="HC80" s="58">
        <v>104.23099999999999</v>
      </c>
      <c r="HD80" s="58">
        <v>62.066000000000003</v>
      </c>
      <c r="HE80" s="58">
        <v>42.164999999999999</v>
      </c>
      <c r="HF80" s="58">
        <v>78.388000000000005</v>
      </c>
      <c r="HG80" s="58">
        <v>44.537999999999997</v>
      </c>
      <c r="HH80" s="58">
        <v>33.850999999999999</v>
      </c>
      <c r="HI80" s="58">
        <v>20.05</v>
      </c>
      <c r="HJ80" s="58">
        <v>15.439</v>
      </c>
      <c r="HK80" s="58">
        <v>4.6109999999999998</v>
      </c>
      <c r="HL80" s="58">
        <v>16.364000000000001</v>
      </c>
      <c r="HM80" s="58">
        <v>12.268000000000001</v>
      </c>
      <c r="HN80" s="58">
        <v>4.0960000000000001</v>
      </c>
      <c r="HO80" s="58">
        <v>3.6859999999999999</v>
      </c>
      <c r="HP80" s="58">
        <v>3.1709999999999998</v>
      </c>
      <c r="HQ80" s="58">
        <v>0.51500000000000001</v>
      </c>
      <c r="HR80" s="58">
        <v>58.338000000000001</v>
      </c>
      <c r="HS80" s="58">
        <v>29.099</v>
      </c>
      <c r="HT80" s="58">
        <v>29.239000000000001</v>
      </c>
      <c r="HU80" s="58">
        <v>37.930999999999997</v>
      </c>
      <c r="HV80" s="58">
        <v>24.745000000000001</v>
      </c>
      <c r="HW80" s="58">
        <v>13.186</v>
      </c>
      <c r="HX80" s="58">
        <v>6.9889999999999999</v>
      </c>
      <c r="HY80" s="58">
        <v>6.8150000000000004</v>
      </c>
      <c r="HZ80" s="58">
        <v>0.17399999999999999</v>
      </c>
      <c r="IA80" s="58">
        <v>30.942</v>
      </c>
      <c r="IB80" s="58">
        <v>17.93</v>
      </c>
      <c r="IC80" s="58">
        <v>13.012</v>
      </c>
      <c r="ID80" s="58">
        <v>25.920999999999999</v>
      </c>
      <c r="IE80" s="58">
        <v>21.135999999999999</v>
      </c>
      <c r="IF80" s="58">
        <v>4.7859999999999996</v>
      </c>
      <c r="IG80" s="58">
        <v>78.31</v>
      </c>
      <c r="IH80" s="58">
        <v>40.93</v>
      </c>
      <c r="II80" s="58">
        <v>37.380000000000003</v>
      </c>
      <c r="IJ80" s="58">
        <v>47.305999999999997</v>
      </c>
      <c r="IK80" s="58">
        <v>30.198</v>
      </c>
      <c r="IL80" s="58">
        <v>17.108000000000001</v>
      </c>
      <c r="IM80" s="58">
        <v>3921.4630000000002</v>
      </c>
      <c r="IN80" s="58">
        <v>2092.9189999999999</v>
      </c>
      <c r="IO80" s="58">
        <v>1828.5440000000001</v>
      </c>
      <c r="IP80" s="58">
        <v>2798.7269999999999</v>
      </c>
      <c r="IQ80" s="58">
        <v>1740.5239999999999</v>
      </c>
    </row>
    <row r="81" spans="1:251">
      <c r="A81" s="5">
        <v>43952</v>
      </c>
      <c r="B81" s="58">
        <v>39.128999999999998</v>
      </c>
      <c r="C81" s="58">
        <v>66.480999999999995</v>
      </c>
      <c r="D81" s="58">
        <v>395.37099999999998</v>
      </c>
      <c r="E81" s="58">
        <v>242.93600000000001</v>
      </c>
      <c r="F81" s="58">
        <v>152.435</v>
      </c>
      <c r="G81" s="58">
        <v>215.24700000000001</v>
      </c>
      <c r="H81" s="58">
        <v>158.86500000000001</v>
      </c>
      <c r="I81" s="58">
        <v>56.381</v>
      </c>
      <c r="J81" s="58">
        <v>180.124</v>
      </c>
      <c r="K81" s="58">
        <v>84.07</v>
      </c>
      <c r="L81" s="58">
        <v>96.052999999999997</v>
      </c>
      <c r="M81" s="58">
        <v>404.45499999999998</v>
      </c>
      <c r="N81" s="58">
        <v>270.88600000000002</v>
      </c>
      <c r="O81" s="58">
        <v>133.56899999999999</v>
      </c>
      <c r="P81" s="58">
        <v>242.95599999999999</v>
      </c>
      <c r="Q81" s="58">
        <v>103.197</v>
      </c>
      <c r="R81" s="58">
        <v>139.76</v>
      </c>
      <c r="S81" s="58">
        <v>385.56200000000001</v>
      </c>
      <c r="T81" s="58">
        <v>208.33799999999999</v>
      </c>
      <c r="U81" s="58">
        <v>177.22399999999999</v>
      </c>
      <c r="V81" s="58">
        <v>2732.3020000000001</v>
      </c>
      <c r="W81" s="58">
        <v>1477.0740000000001</v>
      </c>
      <c r="X81" s="58">
        <v>1255.2280000000001</v>
      </c>
      <c r="Y81" s="58">
        <v>2070.8719999999998</v>
      </c>
      <c r="Z81" s="58">
        <v>1353.1410000000001</v>
      </c>
      <c r="AA81" s="58">
        <v>717.73199999999997</v>
      </c>
      <c r="AB81" s="58">
        <v>661.43</v>
      </c>
      <c r="AC81" s="58">
        <v>123.934</v>
      </c>
      <c r="AD81" s="58">
        <v>537.49599999999998</v>
      </c>
      <c r="AE81" s="58">
        <v>560.44000000000005</v>
      </c>
      <c r="AF81" s="58">
        <v>310.79700000000003</v>
      </c>
      <c r="AG81" s="58">
        <v>249.64400000000001</v>
      </c>
      <c r="AH81" s="58">
        <v>313.79500000000002</v>
      </c>
      <c r="AI81" s="58">
        <v>171.43700000000001</v>
      </c>
      <c r="AJ81" s="58">
        <v>142.358</v>
      </c>
      <c r="AK81" s="58">
        <v>219.01</v>
      </c>
      <c r="AL81" s="58">
        <v>147.11000000000001</v>
      </c>
      <c r="AM81" s="58">
        <v>71.900000000000006</v>
      </c>
      <c r="AN81" s="58">
        <v>167.48500000000001</v>
      </c>
      <c r="AO81" s="58">
        <v>107.33499999999999</v>
      </c>
      <c r="AP81" s="58">
        <v>60.15</v>
      </c>
      <c r="AQ81" s="58">
        <v>51.524000000000001</v>
      </c>
      <c r="AR81" s="58">
        <v>39.774999999999999</v>
      </c>
      <c r="AS81" s="58">
        <v>11.749000000000001</v>
      </c>
      <c r="AT81" s="58">
        <v>94.786000000000001</v>
      </c>
      <c r="AU81" s="58">
        <v>24.327000000000002</v>
      </c>
      <c r="AV81" s="58">
        <v>70.459000000000003</v>
      </c>
      <c r="AW81" s="58">
        <v>328.18099999999998</v>
      </c>
      <c r="AX81" s="58">
        <v>186.00800000000001</v>
      </c>
      <c r="AY81" s="58">
        <v>142.173</v>
      </c>
      <c r="AZ81" s="58">
        <v>168.726</v>
      </c>
      <c r="BA81" s="58">
        <v>136.20699999999999</v>
      </c>
      <c r="BB81" s="58">
        <v>32.518999999999998</v>
      </c>
      <c r="BC81" s="58">
        <v>159.45400000000001</v>
      </c>
      <c r="BD81" s="58">
        <v>49.801000000000002</v>
      </c>
      <c r="BE81" s="58">
        <v>109.654</v>
      </c>
      <c r="BF81" s="58">
        <v>341.22899999999998</v>
      </c>
      <c r="BG81" s="58">
        <v>247.78200000000001</v>
      </c>
      <c r="BH81" s="58">
        <v>93.447000000000003</v>
      </c>
      <c r="BI81" s="58">
        <v>219.21199999999999</v>
      </c>
      <c r="BJ81" s="58">
        <v>63.015000000000001</v>
      </c>
      <c r="BK81" s="58">
        <v>156.197</v>
      </c>
      <c r="BL81" s="58">
        <v>326.94</v>
      </c>
      <c r="BM81" s="58">
        <v>157.13499999999999</v>
      </c>
      <c r="BN81" s="58">
        <v>169.804</v>
      </c>
      <c r="BO81" s="58">
        <v>2547.194</v>
      </c>
      <c r="BP81" s="58">
        <v>1323.105</v>
      </c>
      <c r="BQ81" s="58">
        <v>1224.0889999999999</v>
      </c>
      <c r="BR81" s="58">
        <v>1932.6110000000001</v>
      </c>
      <c r="BS81" s="58">
        <v>1201.7059999999999</v>
      </c>
      <c r="BT81" s="58">
        <v>730.90499999999997</v>
      </c>
      <c r="BU81" s="58">
        <v>614.58299999999997</v>
      </c>
      <c r="BV81" s="58">
        <v>121.399</v>
      </c>
      <c r="BW81" s="58">
        <v>493.18400000000003</v>
      </c>
      <c r="BX81" s="58">
        <v>517.62699999999995</v>
      </c>
      <c r="BY81" s="58">
        <v>263.07900000000001</v>
      </c>
      <c r="BZ81" s="58">
        <v>254.54900000000001</v>
      </c>
      <c r="CA81" s="58">
        <v>312.88099999999997</v>
      </c>
      <c r="CB81" s="58">
        <v>165.97200000000001</v>
      </c>
      <c r="CC81" s="58">
        <v>146.90899999999999</v>
      </c>
      <c r="CD81" s="58">
        <v>198.68100000000001</v>
      </c>
      <c r="CE81" s="58">
        <v>131.21</v>
      </c>
      <c r="CF81" s="58">
        <v>67.471999999999994</v>
      </c>
      <c r="CG81" s="58">
        <v>148.51499999999999</v>
      </c>
      <c r="CH81" s="58">
        <v>95.787000000000006</v>
      </c>
      <c r="CI81" s="58">
        <v>52.728000000000002</v>
      </c>
      <c r="CJ81" s="58">
        <v>50.167000000000002</v>
      </c>
      <c r="CK81" s="58">
        <v>35.423000000000002</v>
      </c>
      <c r="CL81" s="58">
        <v>14.744</v>
      </c>
      <c r="CM81" s="58">
        <v>114.2</v>
      </c>
      <c r="CN81" s="58">
        <v>34.762</v>
      </c>
      <c r="CO81" s="58">
        <v>79.438000000000002</v>
      </c>
      <c r="CP81" s="58">
        <v>284.75900000000001</v>
      </c>
      <c r="CQ81" s="58">
        <v>140.715</v>
      </c>
      <c r="CR81" s="58">
        <v>144.04400000000001</v>
      </c>
      <c r="CS81" s="58">
        <v>129.852</v>
      </c>
      <c r="CT81" s="58">
        <v>93.325999999999993</v>
      </c>
      <c r="CU81" s="58">
        <v>36.527000000000001</v>
      </c>
      <c r="CV81" s="58">
        <v>154.90700000000001</v>
      </c>
      <c r="CW81" s="58">
        <v>47.389000000000003</v>
      </c>
      <c r="CX81" s="58">
        <v>107.518</v>
      </c>
      <c r="CY81" s="58">
        <v>294.54700000000003</v>
      </c>
      <c r="CZ81" s="58">
        <v>200.31</v>
      </c>
      <c r="DA81" s="58">
        <v>94.238</v>
      </c>
      <c r="DB81" s="58">
        <v>223.08</v>
      </c>
      <c r="DC81" s="58">
        <v>62.768999999999998</v>
      </c>
      <c r="DD81" s="58">
        <v>160.31100000000001</v>
      </c>
      <c r="DE81" s="58">
        <v>303.42200000000003</v>
      </c>
      <c r="DF81" s="58">
        <v>143.17599999999999</v>
      </c>
      <c r="DG81" s="58">
        <v>160.24600000000001</v>
      </c>
      <c r="DH81" s="58">
        <v>2405.174</v>
      </c>
      <c r="DI81" s="58">
        <v>1305.2560000000001</v>
      </c>
      <c r="DJ81" s="58">
        <v>1099.9179999999999</v>
      </c>
      <c r="DK81" s="58">
        <v>1528.701</v>
      </c>
      <c r="DL81" s="58">
        <v>983.85799999999995</v>
      </c>
      <c r="DM81" s="58">
        <v>544.84299999999996</v>
      </c>
      <c r="DN81" s="58">
        <v>876.47299999999996</v>
      </c>
      <c r="DO81" s="58">
        <v>321.39800000000002</v>
      </c>
      <c r="DP81" s="58">
        <v>555.07500000000005</v>
      </c>
      <c r="DQ81" s="58">
        <v>492.48599999999999</v>
      </c>
      <c r="DR81" s="58">
        <v>272.435</v>
      </c>
      <c r="DS81" s="58">
        <v>220.05099999999999</v>
      </c>
      <c r="DT81" s="58">
        <v>317.06700000000001</v>
      </c>
      <c r="DU81" s="58">
        <v>176.65700000000001</v>
      </c>
      <c r="DV81" s="58">
        <v>140.41</v>
      </c>
      <c r="DW81" s="58">
        <v>160.566</v>
      </c>
      <c r="DX81" s="58">
        <v>106.54600000000001</v>
      </c>
      <c r="DY81" s="58">
        <v>54.021000000000001</v>
      </c>
      <c r="DZ81" s="58">
        <v>127.55</v>
      </c>
      <c r="EA81" s="58">
        <v>78.930000000000007</v>
      </c>
      <c r="EB81" s="58">
        <v>48.62</v>
      </c>
      <c r="EC81" s="58">
        <v>33.017000000000003</v>
      </c>
      <c r="ED81" s="58">
        <v>27.616</v>
      </c>
      <c r="EE81" s="58">
        <v>5.4009999999999998</v>
      </c>
      <c r="EF81" s="58">
        <v>156.501</v>
      </c>
      <c r="EG81" s="58">
        <v>70.111000000000004</v>
      </c>
      <c r="EH81" s="58">
        <v>86.388999999999996</v>
      </c>
      <c r="EI81" s="58">
        <v>242.066</v>
      </c>
      <c r="EJ81" s="58">
        <v>134.39699999999999</v>
      </c>
      <c r="EK81" s="58">
        <v>107.669</v>
      </c>
      <c r="EL81" s="58">
        <v>89.421999999999997</v>
      </c>
      <c r="EM81" s="58">
        <v>64.198999999999998</v>
      </c>
      <c r="EN81" s="58">
        <v>25.222999999999999</v>
      </c>
      <c r="EO81" s="58">
        <v>152.64400000000001</v>
      </c>
      <c r="EP81" s="58">
        <v>70.198999999999998</v>
      </c>
      <c r="EQ81" s="58">
        <v>82.445999999999998</v>
      </c>
      <c r="ER81" s="58">
        <v>228.09899999999999</v>
      </c>
      <c r="ES81" s="58">
        <v>158.04400000000001</v>
      </c>
      <c r="ET81" s="58">
        <v>70.055000000000007</v>
      </c>
      <c r="EU81" s="58">
        <v>264.387</v>
      </c>
      <c r="EV81" s="58">
        <v>114.39100000000001</v>
      </c>
      <c r="EW81" s="58">
        <v>149.99600000000001</v>
      </c>
      <c r="EX81" s="58">
        <v>280.19400000000002</v>
      </c>
      <c r="EY81" s="58">
        <v>149.12799999999999</v>
      </c>
      <c r="EZ81" s="58">
        <v>131.066</v>
      </c>
      <c r="FA81" s="58">
        <v>1864.3879999999999</v>
      </c>
      <c r="FB81" s="58">
        <v>982.94200000000001</v>
      </c>
      <c r="FC81" s="58">
        <v>881.44600000000003</v>
      </c>
      <c r="FD81" s="58">
        <v>1277.623</v>
      </c>
      <c r="FE81" s="58">
        <v>806.92600000000004</v>
      </c>
      <c r="FF81" s="58">
        <v>470.697</v>
      </c>
      <c r="FG81" s="58">
        <v>586.76499999999999</v>
      </c>
      <c r="FH81" s="58">
        <v>176.01599999999999</v>
      </c>
      <c r="FI81" s="58">
        <v>410.74900000000002</v>
      </c>
      <c r="FJ81" s="58">
        <v>393.26400000000001</v>
      </c>
      <c r="FK81" s="58">
        <v>212.67699999999999</v>
      </c>
      <c r="FL81" s="58">
        <v>180.58600000000001</v>
      </c>
      <c r="FM81" s="58">
        <v>243.12200000000001</v>
      </c>
      <c r="FN81" s="58">
        <v>133.453</v>
      </c>
      <c r="FO81" s="58">
        <v>109.669</v>
      </c>
      <c r="FP81" s="58">
        <v>135.566</v>
      </c>
      <c r="FQ81" s="58">
        <v>87.19</v>
      </c>
      <c r="FR81" s="58">
        <v>48.377000000000002</v>
      </c>
      <c r="FS81" s="58">
        <v>106.03</v>
      </c>
      <c r="FT81" s="58">
        <v>62.81</v>
      </c>
      <c r="FU81" s="58">
        <v>43.22</v>
      </c>
      <c r="FV81" s="58">
        <v>29.536000000000001</v>
      </c>
      <c r="FW81" s="58">
        <v>24.38</v>
      </c>
      <c r="FX81" s="58">
        <v>5.157</v>
      </c>
      <c r="FY81" s="58">
        <v>107.55500000000001</v>
      </c>
      <c r="FZ81" s="58">
        <v>46.262999999999998</v>
      </c>
      <c r="GA81" s="58">
        <v>61.292000000000002</v>
      </c>
      <c r="GB81" s="58">
        <v>203.642</v>
      </c>
      <c r="GC81" s="58">
        <v>108.42400000000001</v>
      </c>
      <c r="GD81" s="58">
        <v>95.218000000000004</v>
      </c>
      <c r="GE81" s="58">
        <v>81.519000000000005</v>
      </c>
      <c r="GF81" s="58">
        <v>58.094000000000001</v>
      </c>
      <c r="GG81" s="58">
        <v>23.425999999999998</v>
      </c>
      <c r="GH81" s="58">
        <v>122.123</v>
      </c>
      <c r="GI81" s="58">
        <v>50.331000000000003</v>
      </c>
      <c r="GJ81" s="58">
        <v>71.792000000000002</v>
      </c>
      <c r="GK81" s="58">
        <v>197.334</v>
      </c>
      <c r="GL81" s="58">
        <v>134.25299999999999</v>
      </c>
      <c r="GM81" s="58">
        <v>63.081000000000003</v>
      </c>
      <c r="GN81" s="58">
        <v>195.93</v>
      </c>
      <c r="GO81" s="58">
        <v>78.424000000000007</v>
      </c>
      <c r="GP81" s="58">
        <v>117.506</v>
      </c>
      <c r="GQ81" s="58">
        <v>228.15299999999999</v>
      </c>
      <c r="GR81" s="58">
        <v>113.14100000000001</v>
      </c>
      <c r="GS81" s="58">
        <v>115.012</v>
      </c>
      <c r="GT81" s="58">
        <v>540.78599999999994</v>
      </c>
      <c r="GU81" s="58">
        <v>322.31400000000002</v>
      </c>
      <c r="GV81" s="58">
        <v>218.47200000000001</v>
      </c>
      <c r="GW81" s="58">
        <v>251.078</v>
      </c>
      <c r="GX81" s="58">
        <v>176.93199999999999</v>
      </c>
      <c r="GY81" s="58">
        <v>74.146000000000001</v>
      </c>
      <c r="GZ81" s="58">
        <v>289.70800000000003</v>
      </c>
      <c r="HA81" s="58">
        <v>145.38200000000001</v>
      </c>
      <c r="HB81" s="58">
        <v>144.32499999999999</v>
      </c>
      <c r="HC81" s="58">
        <v>99.221999999999994</v>
      </c>
      <c r="HD81" s="58">
        <v>59.758000000000003</v>
      </c>
      <c r="HE81" s="58">
        <v>39.465000000000003</v>
      </c>
      <c r="HF81" s="58">
        <v>73.944999999999993</v>
      </c>
      <c r="HG81" s="58">
        <v>43.204000000000001</v>
      </c>
      <c r="HH81" s="58">
        <v>30.741</v>
      </c>
      <c r="HI81" s="58">
        <v>25</v>
      </c>
      <c r="HJ81" s="58">
        <v>19.356000000000002</v>
      </c>
      <c r="HK81" s="58">
        <v>5.6440000000000001</v>
      </c>
      <c r="HL81" s="58">
        <v>21.52</v>
      </c>
      <c r="HM81" s="58">
        <v>16.12</v>
      </c>
      <c r="HN81" s="58">
        <v>5.4</v>
      </c>
      <c r="HO81" s="58">
        <v>3.48</v>
      </c>
      <c r="HP81" s="58">
        <v>3.2360000000000002</v>
      </c>
      <c r="HQ81" s="58">
        <v>0.24399999999999999</v>
      </c>
      <c r="HR81" s="58">
        <v>48.945</v>
      </c>
      <c r="HS81" s="58">
        <v>23.847999999999999</v>
      </c>
      <c r="HT81" s="58">
        <v>25.097000000000001</v>
      </c>
      <c r="HU81" s="58">
        <v>38.423999999999999</v>
      </c>
      <c r="HV81" s="58">
        <v>25.972999999999999</v>
      </c>
      <c r="HW81" s="58">
        <v>12.45</v>
      </c>
      <c r="HX81" s="58">
        <v>7.9020000000000001</v>
      </c>
      <c r="HY81" s="58">
        <v>6.1050000000000004</v>
      </c>
      <c r="HZ81" s="58">
        <v>1.7969999999999999</v>
      </c>
      <c r="IA81" s="58">
        <v>30.521000000000001</v>
      </c>
      <c r="IB81" s="58">
        <v>19.867999999999999</v>
      </c>
      <c r="IC81" s="58">
        <v>10.653</v>
      </c>
      <c r="ID81" s="58">
        <v>30.765000000000001</v>
      </c>
      <c r="IE81" s="58">
        <v>23.791</v>
      </c>
      <c r="IF81" s="58">
        <v>6.9749999999999996</v>
      </c>
      <c r="IG81" s="58">
        <v>68.456999999999994</v>
      </c>
      <c r="IH81" s="58">
        <v>35.966999999999999</v>
      </c>
      <c r="II81" s="58">
        <v>32.49</v>
      </c>
      <c r="IJ81" s="58">
        <v>52.040999999999997</v>
      </c>
      <c r="IK81" s="58">
        <v>35.988</v>
      </c>
      <c r="IL81" s="58">
        <v>16.053000000000001</v>
      </c>
      <c r="IM81" s="58">
        <v>3869.81</v>
      </c>
      <c r="IN81" s="58">
        <v>2068.8249999999998</v>
      </c>
      <c r="IO81" s="58">
        <v>1800.9849999999999</v>
      </c>
      <c r="IP81" s="58">
        <v>2758.0639999999999</v>
      </c>
      <c r="IQ81" s="58">
        <v>1710.723</v>
      </c>
    </row>
    <row r="82" spans="1:251">
      <c r="A82" s="5">
        <v>43983</v>
      </c>
      <c r="B82" s="58">
        <v>40.576000000000001</v>
      </c>
      <c r="C82" s="58">
        <v>48.204999999999998</v>
      </c>
      <c r="D82" s="58">
        <v>432.20499999999998</v>
      </c>
      <c r="E82" s="58">
        <v>256.09899999999999</v>
      </c>
      <c r="F82" s="58">
        <v>176.10599999999999</v>
      </c>
      <c r="G82" s="58">
        <v>214.05199999999999</v>
      </c>
      <c r="H82" s="58">
        <v>152.53700000000001</v>
      </c>
      <c r="I82" s="58">
        <v>61.515000000000001</v>
      </c>
      <c r="J82" s="58">
        <v>218.154</v>
      </c>
      <c r="K82" s="58">
        <v>103.563</v>
      </c>
      <c r="L82" s="58">
        <v>114.59099999999999</v>
      </c>
      <c r="M82" s="58">
        <v>351.959</v>
      </c>
      <c r="N82" s="58">
        <v>241.667</v>
      </c>
      <c r="O82" s="58">
        <v>110.292</v>
      </c>
      <c r="P82" s="58">
        <v>258.19799999999998</v>
      </c>
      <c r="Q82" s="58">
        <v>118.46</v>
      </c>
      <c r="R82" s="58">
        <v>139.738</v>
      </c>
      <c r="S82" s="58">
        <v>356.62</v>
      </c>
      <c r="T82" s="58">
        <v>191.65</v>
      </c>
      <c r="U82" s="58">
        <v>164.96899999999999</v>
      </c>
      <c r="V82" s="58">
        <v>2759.6759999999999</v>
      </c>
      <c r="W82" s="58">
        <v>1475.2840000000001</v>
      </c>
      <c r="X82" s="58">
        <v>1284.3920000000001</v>
      </c>
      <c r="Y82" s="58">
        <v>2043.8630000000001</v>
      </c>
      <c r="Z82" s="58">
        <v>1337.05</v>
      </c>
      <c r="AA82" s="58">
        <v>706.81299999999999</v>
      </c>
      <c r="AB82" s="58">
        <v>715.81299999999999</v>
      </c>
      <c r="AC82" s="58">
        <v>138.23400000000001</v>
      </c>
      <c r="AD82" s="58">
        <v>577.57899999999995</v>
      </c>
      <c r="AE82" s="58">
        <v>509.762</v>
      </c>
      <c r="AF82" s="58">
        <v>271.72199999999998</v>
      </c>
      <c r="AG82" s="58">
        <v>238.04</v>
      </c>
      <c r="AH82" s="58">
        <v>241.16</v>
      </c>
      <c r="AI82" s="58">
        <v>129.30099999999999</v>
      </c>
      <c r="AJ82" s="58">
        <v>111.85899999999999</v>
      </c>
      <c r="AK82" s="58">
        <v>153.023</v>
      </c>
      <c r="AL82" s="58">
        <v>106.836</v>
      </c>
      <c r="AM82" s="58">
        <v>46.186999999999998</v>
      </c>
      <c r="AN82" s="58">
        <v>121.176</v>
      </c>
      <c r="AO82" s="58">
        <v>81.888000000000005</v>
      </c>
      <c r="AP82" s="58">
        <v>39.287999999999997</v>
      </c>
      <c r="AQ82" s="58">
        <v>31.847000000000001</v>
      </c>
      <c r="AR82" s="58">
        <v>24.948</v>
      </c>
      <c r="AS82" s="58">
        <v>6.899</v>
      </c>
      <c r="AT82" s="58">
        <v>88.137</v>
      </c>
      <c r="AU82" s="58">
        <v>22.465</v>
      </c>
      <c r="AV82" s="58">
        <v>65.671999999999997</v>
      </c>
      <c r="AW82" s="58">
        <v>344.07600000000002</v>
      </c>
      <c r="AX82" s="58">
        <v>185.15799999999999</v>
      </c>
      <c r="AY82" s="58">
        <v>158.91800000000001</v>
      </c>
      <c r="AZ82" s="58">
        <v>166.804</v>
      </c>
      <c r="BA82" s="58">
        <v>132.745</v>
      </c>
      <c r="BB82" s="58">
        <v>34.06</v>
      </c>
      <c r="BC82" s="58">
        <v>177.27199999999999</v>
      </c>
      <c r="BD82" s="58">
        <v>52.412999999999997</v>
      </c>
      <c r="BE82" s="58">
        <v>124.85899999999999</v>
      </c>
      <c r="BF82" s="58">
        <v>284.90899999999999</v>
      </c>
      <c r="BG82" s="58">
        <v>211.88399999999999</v>
      </c>
      <c r="BH82" s="58">
        <v>73.025000000000006</v>
      </c>
      <c r="BI82" s="58">
        <v>224.85400000000001</v>
      </c>
      <c r="BJ82" s="58">
        <v>59.838000000000001</v>
      </c>
      <c r="BK82" s="58">
        <v>165.01599999999999</v>
      </c>
      <c r="BL82" s="58">
        <v>298.44799999999998</v>
      </c>
      <c r="BM82" s="58">
        <v>134.30099999999999</v>
      </c>
      <c r="BN82" s="58">
        <v>164.14699999999999</v>
      </c>
      <c r="BO82" s="58">
        <v>2568.1869999999999</v>
      </c>
      <c r="BP82" s="58">
        <v>1337.1780000000001</v>
      </c>
      <c r="BQ82" s="58">
        <v>1231.009</v>
      </c>
      <c r="BR82" s="58">
        <v>1942.444</v>
      </c>
      <c r="BS82" s="58">
        <v>1208.3530000000001</v>
      </c>
      <c r="BT82" s="58">
        <v>734.09199999999998</v>
      </c>
      <c r="BU82" s="58">
        <v>625.74300000000005</v>
      </c>
      <c r="BV82" s="58">
        <v>128.82599999999999</v>
      </c>
      <c r="BW82" s="58">
        <v>496.91699999999997</v>
      </c>
      <c r="BX82" s="58">
        <v>444.24799999999999</v>
      </c>
      <c r="BY82" s="58">
        <v>230.048</v>
      </c>
      <c r="BZ82" s="58">
        <v>214.2</v>
      </c>
      <c r="CA82" s="58">
        <v>210.21199999999999</v>
      </c>
      <c r="CB82" s="58">
        <v>117.986</v>
      </c>
      <c r="CC82" s="58">
        <v>92.225999999999999</v>
      </c>
      <c r="CD82" s="58">
        <v>127.723</v>
      </c>
      <c r="CE82" s="58">
        <v>92.350999999999999</v>
      </c>
      <c r="CF82" s="58">
        <v>35.372999999999998</v>
      </c>
      <c r="CG82" s="58">
        <v>96.757999999999996</v>
      </c>
      <c r="CH82" s="58">
        <v>67.724000000000004</v>
      </c>
      <c r="CI82" s="58">
        <v>29.035</v>
      </c>
      <c r="CJ82" s="58">
        <v>30.965</v>
      </c>
      <c r="CK82" s="58">
        <v>24.626999999999999</v>
      </c>
      <c r="CL82" s="58">
        <v>6.3380000000000001</v>
      </c>
      <c r="CM82" s="58">
        <v>82.488</v>
      </c>
      <c r="CN82" s="58">
        <v>25.635000000000002</v>
      </c>
      <c r="CO82" s="58">
        <v>56.853000000000002</v>
      </c>
      <c r="CP82" s="58">
        <v>298.029</v>
      </c>
      <c r="CQ82" s="58">
        <v>148.506</v>
      </c>
      <c r="CR82" s="58">
        <v>149.523</v>
      </c>
      <c r="CS82" s="58">
        <v>130.755</v>
      </c>
      <c r="CT82" s="58">
        <v>96.570999999999998</v>
      </c>
      <c r="CU82" s="58">
        <v>34.183</v>
      </c>
      <c r="CV82" s="58">
        <v>167.274</v>
      </c>
      <c r="CW82" s="58">
        <v>51.935000000000002</v>
      </c>
      <c r="CX82" s="58">
        <v>115.339</v>
      </c>
      <c r="CY82" s="58">
        <v>230.977</v>
      </c>
      <c r="CZ82" s="58">
        <v>164.86799999999999</v>
      </c>
      <c r="DA82" s="58">
        <v>66.108999999999995</v>
      </c>
      <c r="DB82" s="58">
        <v>213.27099999999999</v>
      </c>
      <c r="DC82" s="58">
        <v>65.180000000000007</v>
      </c>
      <c r="DD82" s="58">
        <v>148.09100000000001</v>
      </c>
      <c r="DE82" s="58">
        <v>264.03199999999998</v>
      </c>
      <c r="DF82" s="58">
        <v>119.658</v>
      </c>
      <c r="DG82" s="58">
        <v>144.374</v>
      </c>
      <c r="DH82" s="58">
        <v>2446.357</v>
      </c>
      <c r="DI82" s="58">
        <v>1331.5519999999999</v>
      </c>
      <c r="DJ82" s="58">
        <v>1114.8050000000001</v>
      </c>
      <c r="DK82" s="58">
        <v>1537.15</v>
      </c>
      <c r="DL82" s="58">
        <v>993.44600000000003</v>
      </c>
      <c r="DM82" s="58">
        <v>543.70399999999995</v>
      </c>
      <c r="DN82" s="58">
        <v>909.20699999999999</v>
      </c>
      <c r="DO82" s="58">
        <v>338.10599999999999</v>
      </c>
      <c r="DP82" s="58">
        <v>571.101</v>
      </c>
      <c r="DQ82" s="58">
        <v>430.86200000000002</v>
      </c>
      <c r="DR82" s="58">
        <v>237.316</v>
      </c>
      <c r="DS82" s="58">
        <v>193.54599999999999</v>
      </c>
      <c r="DT82" s="58">
        <v>248.87799999999999</v>
      </c>
      <c r="DU82" s="58">
        <v>141.94900000000001</v>
      </c>
      <c r="DV82" s="58">
        <v>106.929</v>
      </c>
      <c r="DW82" s="58">
        <v>115.85899999999999</v>
      </c>
      <c r="DX82" s="58">
        <v>78.335999999999999</v>
      </c>
      <c r="DY82" s="58">
        <v>37.523000000000003</v>
      </c>
      <c r="DZ82" s="58">
        <v>89.116</v>
      </c>
      <c r="EA82" s="58">
        <v>57.173999999999999</v>
      </c>
      <c r="EB82" s="58">
        <v>31.942</v>
      </c>
      <c r="EC82" s="58">
        <v>26.744</v>
      </c>
      <c r="ED82" s="58">
        <v>21.161999999999999</v>
      </c>
      <c r="EE82" s="58">
        <v>5.5810000000000004</v>
      </c>
      <c r="EF82" s="58">
        <v>133.01900000000001</v>
      </c>
      <c r="EG82" s="58">
        <v>63.612000000000002</v>
      </c>
      <c r="EH82" s="58">
        <v>69.406000000000006</v>
      </c>
      <c r="EI82" s="58">
        <v>242.02799999999999</v>
      </c>
      <c r="EJ82" s="58">
        <v>131.489</v>
      </c>
      <c r="EK82" s="58">
        <v>110.538</v>
      </c>
      <c r="EL82" s="58">
        <v>84.81</v>
      </c>
      <c r="EM82" s="58">
        <v>60.628999999999998</v>
      </c>
      <c r="EN82" s="58">
        <v>24.181000000000001</v>
      </c>
      <c r="EO82" s="58">
        <v>157.21700000000001</v>
      </c>
      <c r="EP82" s="58">
        <v>70.86</v>
      </c>
      <c r="EQ82" s="58">
        <v>86.356999999999999</v>
      </c>
      <c r="ER82" s="58">
        <v>180.69200000000001</v>
      </c>
      <c r="ES82" s="58">
        <v>124.958</v>
      </c>
      <c r="ET82" s="58">
        <v>55.734000000000002</v>
      </c>
      <c r="EU82" s="58">
        <v>250.17</v>
      </c>
      <c r="EV82" s="58">
        <v>112.35899999999999</v>
      </c>
      <c r="EW82" s="58">
        <v>137.81100000000001</v>
      </c>
      <c r="EX82" s="58">
        <v>246.333</v>
      </c>
      <c r="EY82" s="58">
        <v>128.035</v>
      </c>
      <c r="EZ82" s="58">
        <v>118.298</v>
      </c>
      <c r="FA82" s="58">
        <v>1882.5809999999999</v>
      </c>
      <c r="FB82" s="58">
        <v>996.88900000000001</v>
      </c>
      <c r="FC82" s="58">
        <v>885.69200000000001</v>
      </c>
      <c r="FD82" s="58">
        <v>1286.2829999999999</v>
      </c>
      <c r="FE82" s="58">
        <v>818.73099999999999</v>
      </c>
      <c r="FF82" s="58">
        <v>467.55200000000002</v>
      </c>
      <c r="FG82" s="58">
        <v>596.298</v>
      </c>
      <c r="FH82" s="58">
        <v>178.15799999999999</v>
      </c>
      <c r="FI82" s="58">
        <v>418.13900000000001</v>
      </c>
      <c r="FJ82" s="58">
        <v>335.68799999999999</v>
      </c>
      <c r="FK82" s="58">
        <v>173.726</v>
      </c>
      <c r="FL82" s="58">
        <v>161.96199999999999</v>
      </c>
      <c r="FM82" s="58">
        <v>182.14099999999999</v>
      </c>
      <c r="FN82" s="58">
        <v>98.29</v>
      </c>
      <c r="FO82" s="58">
        <v>83.850999999999999</v>
      </c>
      <c r="FP82" s="58">
        <v>92.471999999999994</v>
      </c>
      <c r="FQ82" s="58">
        <v>60.326000000000001</v>
      </c>
      <c r="FR82" s="58">
        <v>32.146000000000001</v>
      </c>
      <c r="FS82" s="58">
        <v>72.126999999999995</v>
      </c>
      <c r="FT82" s="58">
        <v>44.26</v>
      </c>
      <c r="FU82" s="58">
        <v>27.866</v>
      </c>
      <c r="FV82" s="58">
        <v>20.344999999999999</v>
      </c>
      <c r="FW82" s="58">
        <v>16.065999999999999</v>
      </c>
      <c r="FX82" s="58">
        <v>4.28</v>
      </c>
      <c r="FY82" s="58">
        <v>89.668999999999997</v>
      </c>
      <c r="FZ82" s="58">
        <v>37.963999999999999</v>
      </c>
      <c r="GA82" s="58">
        <v>51.704999999999998</v>
      </c>
      <c r="GB82" s="58">
        <v>201.05099999999999</v>
      </c>
      <c r="GC82" s="58">
        <v>101.877</v>
      </c>
      <c r="GD82" s="58">
        <v>99.174999999999997</v>
      </c>
      <c r="GE82" s="58">
        <v>74.290999999999997</v>
      </c>
      <c r="GF82" s="58">
        <v>51.536000000000001</v>
      </c>
      <c r="GG82" s="58">
        <v>22.756</v>
      </c>
      <c r="GH82" s="58">
        <v>126.76</v>
      </c>
      <c r="GI82" s="58">
        <v>50.341000000000001</v>
      </c>
      <c r="GJ82" s="58">
        <v>76.418999999999997</v>
      </c>
      <c r="GK82" s="58">
        <v>149.678</v>
      </c>
      <c r="GL82" s="58">
        <v>100.036</v>
      </c>
      <c r="GM82" s="58">
        <v>49.642000000000003</v>
      </c>
      <c r="GN82" s="58">
        <v>186.00899999999999</v>
      </c>
      <c r="GO82" s="58">
        <v>73.688999999999993</v>
      </c>
      <c r="GP82" s="58">
        <v>112.32</v>
      </c>
      <c r="GQ82" s="58">
        <v>198.887</v>
      </c>
      <c r="GR82" s="58">
        <v>94.600999999999999</v>
      </c>
      <c r="GS82" s="58">
        <v>104.285</v>
      </c>
      <c r="GT82" s="58">
        <v>563.77599999999995</v>
      </c>
      <c r="GU82" s="58">
        <v>334.66300000000001</v>
      </c>
      <c r="GV82" s="58">
        <v>229.113</v>
      </c>
      <c r="GW82" s="58">
        <v>250.86699999999999</v>
      </c>
      <c r="GX82" s="58">
        <v>174.715</v>
      </c>
      <c r="GY82" s="58">
        <v>76.150999999999996</v>
      </c>
      <c r="GZ82" s="58">
        <v>312.90899999999999</v>
      </c>
      <c r="HA82" s="58">
        <v>159.947</v>
      </c>
      <c r="HB82" s="58">
        <v>152.96199999999999</v>
      </c>
      <c r="HC82" s="58">
        <v>95.174999999999997</v>
      </c>
      <c r="HD82" s="58">
        <v>63.591000000000001</v>
      </c>
      <c r="HE82" s="58">
        <v>31.584</v>
      </c>
      <c r="HF82" s="58">
        <v>66.736999999999995</v>
      </c>
      <c r="HG82" s="58">
        <v>43.658999999999999</v>
      </c>
      <c r="HH82" s="58">
        <v>23.077999999999999</v>
      </c>
      <c r="HI82" s="58">
        <v>23.387</v>
      </c>
      <c r="HJ82" s="58">
        <v>18.010000000000002</v>
      </c>
      <c r="HK82" s="58">
        <v>5.3769999999999998</v>
      </c>
      <c r="HL82" s="58">
        <v>16.989000000000001</v>
      </c>
      <c r="HM82" s="58">
        <v>12.914</v>
      </c>
      <c r="HN82" s="58">
        <v>4.0750000000000002</v>
      </c>
      <c r="HO82" s="58">
        <v>6.3979999999999997</v>
      </c>
      <c r="HP82" s="58">
        <v>5.0970000000000004</v>
      </c>
      <c r="HQ82" s="58">
        <v>1.302</v>
      </c>
      <c r="HR82" s="58">
        <v>43.35</v>
      </c>
      <c r="HS82" s="58">
        <v>25.649000000000001</v>
      </c>
      <c r="HT82" s="58">
        <v>17.701000000000001</v>
      </c>
      <c r="HU82" s="58">
        <v>40.975999999999999</v>
      </c>
      <c r="HV82" s="58">
        <v>29.613</v>
      </c>
      <c r="HW82" s="58">
        <v>11.363</v>
      </c>
      <c r="HX82" s="58">
        <v>10.519</v>
      </c>
      <c r="HY82" s="58">
        <v>9.093</v>
      </c>
      <c r="HZ82" s="58">
        <v>1.4259999999999999</v>
      </c>
      <c r="IA82" s="58">
        <v>30.457000000000001</v>
      </c>
      <c r="IB82" s="58">
        <v>20.518999999999998</v>
      </c>
      <c r="IC82" s="58">
        <v>9.9380000000000006</v>
      </c>
      <c r="ID82" s="58">
        <v>31.013999999999999</v>
      </c>
      <c r="IE82" s="58">
        <v>24.920999999999999</v>
      </c>
      <c r="IF82" s="58">
        <v>6.093</v>
      </c>
      <c r="IG82" s="58">
        <v>64.161000000000001</v>
      </c>
      <c r="IH82" s="58">
        <v>38.67</v>
      </c>
      <c r="II82" s="58">
        <v>25.491</v>
      </c>
      <c r="IJ82" s="58">
        <v>47.445999999999998</v>
      </c>
      <c r="IK82" s="58">
        <v>33.433</v>
      </c>
      <c r="IL82" s="58">
        <v>14.013</v>
      </c>
      <c r="IM82" s="58">
        <v>3949.46</v>
      </c>
      <c r="IN82" s="58">
        <v>2099.6239999999998</v>
      </c>
      <c r="IO82" s="58">
        <v>1849.836</v>
      </c>
      <c r="IP82" s="58">
        <v>2765.0079999999998</v>
      </c>
      <c r="IQ82" s="58">
        <v>1716.1220000000001</v>
      </c>
    </row>
    <row r="83" spans="1:251">
      <c r="A83" s="5">
        <v>44013</v>
      </c>
      <c r="B83" s="58">
        <v>33.536999999999999</v>
      </c>
      <c r="C83" s="58">
        <v>40.862000000000002</v>
      </c>
      <c r="D83" s="58">
        <v>453.39800000000002</v>
      </c>
      <c r="E83" s="58">
        <v>259.74900000000002</v>
      </c>
      <c r="F83" s="58">
        <v>193.649</v>
      </c>
      <c r="G83" s="58">
        <v>210.971</v>
      </c>
      <c r="H83" s="58">
        <v>163.09</v>
      </c>
      <c r="I83" s="58">
        <v>47.88</v>
      </c>
      <c r="J83" s="58">
        <v>242.42699999999999</v>
      </c>
      <c r="K83" s="58">
        <v>96.658000000000001</v>
      </c>
      <c r="L83" s="58">
        <v>145.76900000000001</v>
      </c>
      <c r="M83" s="58">
        <v>327.59100000000001</v>
      </c>
      <c r="N83" s="58">
        <v>239.93899999999999</v>
      </c>
      <c r="O83" s="58">
        <v>87.652000000000001</v>
      </c>
      <c r="P83" s="58">
        <v>270.387</v>
      </c>
      <c r="Q83" s="58">
        <v>111.652</v>
      </c>
      <c r="R83" s="58">
        <v>158.73599999999999</v>
      </c>
      <c r="S83" s="58">
        <v>359.995</v>
      </c>
      <c r="T83" s="58">
        <v>177.976</v>
      </c>
      <c r="U83" s="58">
        <v>182.01900000000001</v>
      </c>
      <c r="V83" s="58">
        <v>2758.8040000000001</v>
      </c>
      <c r="W83" s="58">
        <v>1471.4849999999999</v>
      </c>
      <c r="X83" s="58">
        <v>1287.319</v>
      </c>
      <c r="Y83" s="58">
        <v>2060.9859999999999</v>
      </c>
      <c r="Z83" s="58">
        <v>1339.991</v>
      </c>
      <c r="AA83" s="58">
        <v>720.99599999999998</v>
      </c>
      <c r="AB83" s="58">
        <v>697.81799999999998</v>
      </c>
      <c r="AC83" s="58">
        <v>131.494</v>
      </c>
      <c r="AD83" s="58">
        <v>566.32299999999998</v>
      </c>
      <c r="AE83" s="58">
        <v>470.35899999999998</v>
      </c>
      <c r="AF83" s="58">
        <v>258.685</v>
      </c>
      <c r="AG83" s="58">
        <v>211.67400000000001</v>
      </c>
      <c r="AH83" s="58">
        <v>209.226</v>
      </c>
      <c r="AI83" s="58">
        <v>116.125</v>
      </c>
      <c r="AJ83" s="58">
        <v>93.100999999999999</v>
      </c>
      <c r="AK83" s="58">
        <v>138.922</v>
      </c>
      <c r="AL83" s="58">
        <v>96.241</v>
      </c>
      <c r="AM83" s="58">
        <v>42.680999999999997</v>
      </c>
      <c r="AN83" s="58">
        <v>106.682</v>
      </c>
      <c r="AO83" s="58">
        <v>75.180999999999997</v>
      </c>
      <c r="AP83" s="58">
        <v>31.501000000000001</v>
      </c>
      <c r="AQ83" s="58">
        <v>32.24</v>
      </c>
      <c r="AR83" s="58">
        <v>21.06</v>
      </c>
      <c r="AS83" s="58">
        <v>11.179</v>
      </c>
      <c r="AT83" s="58">
        <v>70.304000000000002</v>
      </c>
      <c r="AU83" s="58">
        <v>19.884</v>
      </c>
      <c r="AV83" s="58">
        <v>50.420999999999999</v>
      </c>
      <c r="AW83" s="58">
        <v>329.60300000000001</v>
      </c>
      <c r="AX83" s="58">
        <v>182.489</v>
      </c>
      <c r="AY83" s="58">
        <v>147.114</v>
      </c>
      <c r="AZ83" s="58">
        <v>161.02199999999999</v>
      </c>
      <c r="BA83" s="58">
        <v>130.87200000000001</v>
      </c>
      <c r="BB83" s="58">
        <v>30.15</v>
      </c>
      <c r="BC83" s="58">
        <v>168.58099999999999</v>
      </c>
      <c r="BD83" s="58">
        <v>51.618000000000002</v>
      </c>
      <c r="BE83" s="58">
        <v>116.964</v>
      </c>
      <c r="BF83" s="58">
        <v>267.00400000000002</v>
      </c>
      <c r="BG83" s="58">
        <v>200.56899999999999</v>
      </c>
      <c r="BH83" s="58">
        <v>66.436000000000007</v>
      </c>
      <c r="BI83" s="58">
        <v>203.35499999999999</v>
      </c>
      <c r="BJ83" s="58">
        <v>58.116999999999997</v>
      </c>
      <c r="BK83" s="58">
        <v>145.238</v>
      </c>
      <c r="BL83" s="58">
        <v>275.26299999999998</v>
      </c>
      <c r="BM83" s="58">
        <v>126.798</v>
      </c>
      <c r="BN83" s="58">
        <v>148.465</v>
      </c>
      <c r="BO83" s="58">
        <v>2566.5349999999999</v>
      </c>
      <c r="BP83" s="58">
        <v>1328.422</v>
      </c>
      <c r="BQ83" s="58">
        <v>1238.1130000000001</v>
      </c>
      <c r="BR83" s="58">
        <v>1964.3040000000001</v>
      </c>
      <c r="BS83" s="58">
        <v>1206.568</v>
      </c>
      <c r="BT83" s="58">
        <v>757.73500000000001</v>
      </c>
      <c r="BU83" s="58">
        <v>602.23199999999997</v>
      </c>
      <c r="BV83" s="58">
        <v>121.854</v>
      </c>
      <c r="BW83" s="58">
        <v>480.37799999999999</v>
      </c>
      <c r="BX83" s="58">
        <v>412.34399999999999</v>
      </c>
      <c r="BY83" s="58">
        <v>211.00899999999999</v>
      </c>
      <c r="BZ83" s="58">
        <v>201.33500000000001</v>
      </c>
      <c r="CA83" s="58">
        <v>176.20599999999999</v>
      </c>
      <c r="CB83" s="58">
        <v>100.364</v>
      </c>
      <c r="CC83" s="58">
        <v>75.841999999999999</v>
      </c>
      <c r="CD83" s="58">
        <v>115.68899999999999</v>
      </c>
      <c r="CE83" s="58">
        <v>81.617000000000004</v>
      </c>
      <c r="CF83" s="58">
        <v>34.072000000000003</v>
      </c>
      <c r="CG83" s="58">
        <v>87.278000000000006</v>
      </c>
      <c r="CH83" s="58">
        <v>60.75</v>
      </c>
      <c r="CI83" s="58">
        <v>26.527999999999999</v>
      </c>
      <c r="CJ83" s="58">
        <v>28.411000000000001</v>
      </c>
      <c r="CK83" s="58">
        <v>20.867000000000001</v>
      </c>
      <c r="CL83" s="58">
        <v>7.5439999999999996</v>
      </c>
      <c r="CM83" s="58">
        <v>60.515999999999998</v>
      </c>
      <c r="CN83" s="58">
        <v>18.747</v>
      </c>
      <c r="CO83" s="58">
        <v>41.77</v>
      </c>
      <c r="CP83" s="58">
        <v>288.25599999999997</v>
      </c>
      <c r="CQ83" s="58">
        <v>140.78399999999999</v>
      </c>
      <c r="CR83" s="58">
        <v>147.47200000000001</v>
      </c>
      <c r="CS83" s="58">
        <v>128.66800000000001</v>
      </c>
      <c r="CT83" s="58">
        <v>90.575999999999993</v>
      </c>
      <c r="CU83" s="58">
        <v>38.091999999999999</v>
      </c>
      <c r="CV83" s="58">
        <v>159.58799999999999</v>
      </c>
      <c r="CW83" s="58">
        <v>50.207999999999998</v>
      </c>
      <c r="CX83" s="58">
        <v>109.381</v>
      </c>
      <c r="CY83" s="58">
        <v>220.06800000000001</v>
      </c>
      <c r="CZ83" s="58">
        <v>152.791</v>
      </c>
      <c r="DA83" s="58">
        <v>67.275999999999996</v>
      </c>
      <c r="DB83" s="58">
        <v>192.27600000000001</v>
      </c>
      <c r="DC83" s="58">
        <v>58.216999999999999</v>
      </c>
      <c r="DD83" s="58">
        <v>134.059</v>
      </c>
      <c r="DE83" s="58">
        <v>246.86600000000001</v>
      </c>
      <c r="DF83" s="58">
        <v>110.958</v>
      </c>
      <c r="DG83" s="58">
        <v>135.90799999999999</v>
      </c>
      <c r="DH83" s="58">
        <v>2464.518</v>
      </c>
      <c r="DI83" s="58">
        <v>1358.2739999999999</v>
      </c>
      <c r="DJ83" s="58">
        <v>1106.2439999999999</v>
      </c>
      <c r="DK83" s="58">
        <v>1547.7729999999999</v>
      </c>
      <c r="DL83" s="58">
        <v>1016.538</v>
      </c>
      <c r="DM83" s="58">
        <v>531.23500000000001</v>
      </c>
      <c r="DN83" s="58">
        <v>916.745</v>
      </c>
      <c r="DO83" s="58">
        <v>341.73599999999999</v>
      </c>
      <c r="DP83" s="58">
        <v>575.00900000000001</v>
      </c>
      <c r="DQ83" s="58">
        <v>401.495</v>
      </c>
      <c r="DR83" s="58">
        <v>239.87700000000001</v>
      </c>
      <c r="DS83" s="58">
        <v>161.61799999999999</v>
      </c>
      <c r="DT83" s="58">
        <v>220.14599999999999</v>
      </c>
      <c r="DU83" s="58">
        <v>140.62899999999999</v>
      </c>
      <c r="DV83" s="58">
        <v>79.516999999999996</v>
      </c>
      <c r="DW83" s="58">
        <v>110.041</v>
      </c>
      <c r="DX83" s="58">
        <v>84.486000000000004</v>
      </c>
      <c r="DY83" s="58">
        <v>25.555</v>
      </c>
      <c r="DZ83" s="58">
        <v>85.448999999999998</v>
      </c>
      <c r="EA83" s="58">
        <v>63.594999999999999</v>
      </c>
      <c r="EB83" s="58">
        <v>21.853999999999999</v>
      </c>
      <c r="EC83" s="58">
        <v>24.591999999999999</v>
      </c>
      <c r="ED83" s="58">
        <v>20.890999999999998</v>
      </c>
      <c r="EE83" s="58">
        <v>3.7010000000000001</v>
      </c>
      <c r="EF83" s="58">
        <v>110.105</v>
      </c>
      <c r="EG83" s="58">
        <v>56.143000000000001</v>
      </c>
      <c r="EH83" s="58">
        <v>53.962000000000003</v>
      </c>
      <c r="EI83" s="58">
        <v>241.77600000000001</v>
      </c>
      <c r="EJ83" s="58">
        <v>136.94200000000001</v>
      </c>
      <c r="EK83" s="58">
        <v>104.83499999999999</v>
      </c>
      <c r="EL83" s="58">
        <v>91.027000000000001</v>
      </c>
      <c r="EM83" s="58">
        <v>68.438999999999993</v>
      </c>
      <c r="EN83" s="58">
        <v>22.588000000000001</v>
      </c>
      <c r="EO83" s="58">
        <v>150.749</v>
      </c>
      <c r="EP83" s="58">
        <v>68.503</v>
      </c>
      <c r="EQ83" s="58">
        <v>82.247</v>
      </c>
      <c r="ER83" s="58">
        <v>177.018</v>
      </c>
      <c r="ES83" s="58">
        <v>134.16999999999999</v>
      </c>
      <c r="ET83" s="58">
        <v>42.847999999999999</v>
      </c>
      <c r="EU83" s="58">
        <v>224.47800000000001</v>
      </c>
      <c r="EV83" s="58">
        <v>105.708</v>
      </c>
      <c r="EW83" s="58">
        <v>118.77</v>
      </c>
      <c r="EX83" s="58">
        <v>236.19800000000001</v>
      </c>
      <c r="EY83" s="58">
        <v>132.09700000000001</v>
      </c>
      <c r="EZ83" s="58">
        <v>104.101</v>
      </c>
      <c r="FA83" s="58">
        <v>1897.7860000000001</v>
      </c>
      <c r="FB83" s="58">
        <v>1013.346</v>
      </c>
      <c r="FC83" s="58">
        <v>884.44100000000003</v>
      </c>
      <c r="FD83" s="58">
        <v>1293.8320000000001</v>
      </c>
      <c r="FE83" s="58">
        <v>833.32799999999997</v>
      </c>
      <c r="FF83" s="58">
        <v>460.50400000000002</v>
      </c>
      <c r="FG83" s="58">
        <v>603.95399999999995</v>
      </c>
      <c r="FH83" s="58">
        <v>180.018</v>
      </c>
      <c r="FI83" s="58">
        <v>423.93599999999998</v>
      </c>
      <c r="FJ83" s="58">
        <v>319.76299999999998</v>
      </c>
      <c r="FK83" s="58">
        <v>183.80600000000001</v>
      </c>
      <c r="FL83" s="58">
        <v>135.95599999999999</v>
      </c>
      <c r="FM83" s="58">
        <v>162.499</v>
      </c>
      <c r="FN83" s="58">
        <v>101.54300000000001</v>
      </c>
      <c r="FO83" s="58">
        <v>60.954999999999998</v>
      </c>
      <c r="FP83" s="58">
        <v>91.308999999999997</v>
      </c>
      <c r="FQ83" s="58">
        <v>68.596999999999994</v>
      </c>
      <c r="FR83" s="58">
        <v>22.712</v>
      </c>
      <c r="FS83" s="58">
        <v>70.203999999999994</v>
      </c>
      <c r="FT83" s="58">
        <v>50.691000000000003</v>
      </c>
      <c r="FU83" s="58">
        <v>19.513000000000002</v>
      </c>
      <c r="FV83" s="58">
        <v>21.105</v>
      </c>
      <c r="FW83" s="58">
        <v>17.905999999999999</v>
      </c>
      <c r="FX83" s="58">
        <v>3.1989999999999998</v>
      </c>
      <c r="FY83" s="58">
        <v>71.19</v>
      </c>
      <c r="FZ83" s="58">
        <v>32.945999999999998</v>
      </c>
      <c r="GA83" s="58">
        <v>38.243000000000002</v>
      </c>
      <c r="GB83" s="58">
        <v>207.88900000000001</v>
      </c>
      <c r="GC83" s="58">
        <v>112.054</v>
      </c>
      <c r="GD83" s="58">
        <v>95.834999999999994</v>
      </c>
      <c r="GE83" s="58">
        <v>82.29</v>
      </c>
      <c r="GF83" s="58">
        <v>60.655000000000001</v>
      </c>
      <c r="GG83" s="58">
        <v>21.635999999999999</v>
      </c>
      <c r="GH83" s="58">
        <v>125.599</v>
      </c>
      <c r="GI83" s="58">
        <v>51.4</v>
      </c>
      <c r="GJ83" s="58">
        <v>74.2</v>
      </c>
      <c r="GK83" s="58">
        <v>151.77000000000001</v>
      </c>
      <c r="GL83" s="58">
        <v>112.718</v>
      </c>
      <c r="GM83" s="58">
        <v>39.052</v>
      </c>
      <c r="GN83" s="58">
        <v>167.99199999999999</v>
      </c>
      <c r="GO83" s="58">
        <v>71.087999999999994</v>
      </c>
      <c r="GP83" s="58">
        <v>96.903999999999996</v>
      </c>
      <c r="GQ83" s="58">
        <v>195.803</v>
      </c>
      <c r="GR83" s="58">
        <v>102.09099999999999</v>
      </c>
      <c r="GS83" s="58">
        <v>93.712000000000003</v>
      </c>
      <c r="GT83" s="58">
        <v>566.73099999999999</v>
      </c>
      <c r="GU83" s="58">
        <v>344.928</v>
      </c>
      <c r="GV83" s="58">
        <v>221.803</v>
      </c>
      <c r="GW83" s="58">
        <v>253.941</v>
      </c>
      <c r="GX83" s="58">
        <v>183.21</v>
      </c>
      <c r="GY83" s="58">
        <v>70.730999999999995</v>
      </c>
      <c r="GZ83" s="58">
        <v>312.791</v>
      </c>
      <c r="HA83" s="58">
        <v>161.71799999999999</v>
      </c>
      <c r="HB83" s="58">
        <v>151.07300000000001</v>
      </c>
      <c r="HC83" s="58">
        <v>81.733000000000004</v>
      </c>
      <c r="HD83" s="58">
        <v>56.070999999999998</v>
      </c>
      <c r="HE83" s="58">
        <v>25.661999999999999</v>
      </c>
      <c r="HF83" s="58">
        <v>57.646999999999998</v>
      </c>
      <c r="HG83" s="58">
        <v>39.085000000000001</v>
      </c>
      <c r="HH83" s="58">
        <v>18.562000000000001</v>
      </c>
      <c r="HI83" s="58">
        <v>18.731999999999999</v>
      </c>
      <c r="HJ83" s="58">
        <v>15.888999999999999</v>
      </c>
      <c r="HK83" s="58">
        <v>2.8439999999999999</v>
      </c>
      <c r="HL83" s="58">
        <v>15.244999999999999</v>
      </c>
      <c r="HM83" s="58">
        <v>12.903</v>
      </c>
      <c r="HN83" s="58">
        <v>2.3410000000000002</v>
      </c>
      <c r="HO83" s="58">
        <v>3.4870000000000001</v>
      </c>
      <c r="HP83" s="58">
        <v>2.9849999999999999</v>
      </c>
      <c r="HQ83" s="58">
        <v>0.502</v>
      </c>
      <c r="HR83" s="58">
        <v>38.914999999999999</v>
      </c>
      <c r="HS83" s="58">
        <v>23.196999999999999</v>
      </c>
      <c r="HT83" s="58">
        <v>15.718</v>
      </c>
      <c r="HU83" s="58">
        <v>33.887</v>
      </c>
      <c r="HV83" s="58">
        <v>24.888000000000002</v>
      </c>
      <c r="HW83" s="58">
        <v>8.9990000000000006</v>
      </c>
      <c r="HX83" s="58">
        <v>8.7370000000000001</v>
      </c>
      <c r="HY83" s="58">
        <v>7.7850000000000001</v>
      </c>
      <c r="HZ83" s="58">
        <v>0.95199999999999996</v>
      </c>
      <c r="IA83" s="58">
        <v>25.15</v>
      </c>
      <c r="IB83" s="58">
        <v>17.103000000000002</v>
      </c>
      <c r="IC83" s="58">
        <v>8.0470000000000006</v>
      </c>
      <c r="ID83" s="58">
        <v>25.247</v>
      </c>
      <c r="IE83" s="58">
        <v>21.451000000000001</v>
      </c>
      <c r="IF83" s="58">
        <v>3.7959999999999998</v>
      </c>
      <c r="IG83" s="58">
        <v>56.484999999999999</v>
      </c>
      <c r="IH83" s="58">
        <v>34.619</v>
      </c>
      <c r="II83" s="58">
        <v>21.866</v>
      </c>
      <c r="IJ83" s="58">
        <v>40.395000000000003</v>
      </c>
      <c r="IK83" s="58">
        <v>30.006</v>
      </c>
      <c r="IL83" s="58">
        <v>10.388</v>
      </c>
      <c r="IM83" s="58">
        <v>3990.665</v>
      </c>
      <c r="IN83" s="58">
        <v>2119.5650000000001</v>
      </c>
      <c r="IO83" s="58">
        <v>1871.1</v>
      </c>
      <c r="IP83" s="58">
        <v>2793.8939999999998</v>
      </c>
      <c r="IQ83" s="58">
        <v>1721.2059999999999</v>
      </c>
    </row>
    <row r="84" spans="1:251">
      <c r="A84" s="5">
        <v>44044</v>
      </c>
      <c r="B84" s="58">
        <v>28.995000000000001</v>
      </c>
      <c r="C84" s="58">
        <v>40.316000000000003</v>
      </c>
      <c r="D84" s="58">
        <v>435.70100000000002</v>
      </c>
      <c r="E84" s="58">
        <v>255.744</v>
      </c>
      <c r="F84" s="58">
        <v>179.95699999999999</v>
      </c>
      <c r="G84" s="58">
        <v>206.47800000000001</v>
      </c>
      <c r="H84" s="58">
        <v>159.965</v>
      </c>
      <c r="I84" s="58">
        <v>46.512999999999998</v>
      </c>
      <c r="J84" s="58">
        <v>229.22300000000001</v>
      </c>
      <c r="K84" s="58">
        <v>95.778999999999996</v>
      </c>
      <c r="L84" s="58">
        <v>133.44399999999999</v>
      </c>
      <c r="M84" s="58">
        <v>319.113</v>
      </c>
      <c r="N84" s="58">
        <v>242.23400000000001</v>
      </c>
      <c r="O84" s="58">
        <v>76.879000000000005</v>
      </c>
      <c r="P84" s="58">
        <v>259.94400000000002</v>
      </c>
      <c r="Q84" s="58">
        <v>108.95399999999999</v>
      </c>
      <c r="R84" s="58">
        <v>150.99100000000001</v>
      </c>
      <c r="S84" s="58">
        <v>336.16800000000001</v>
      </c>
      <c r="T84" s="58">
        <v>168.56700000000001</v>
      </c>
      <c r="U84" s="58">
        <v>167.601</v>
      </c>
      <c r="V84" s="58">
        <v>2795.4029999999998</v>
      </c>
      <c r="W84" s="58">
        <v>1484.375</v>
      </c>
      <c r="X84" s="58">
        <v>1311.028</v>
      </c>
      <c r="Y84" s="58">
        <v>2055.8009999999999</v>
      </c>
      <c r="Z84" s="58">
        <v>1341.126</v>
      </c>
      <c r="AA84" s="58">
        <v>714.67499999999995</v>
      </c>
      <c r="AB84" s="58">
        <v>739.60199999999998</v>
      </c>
      <c r="AC84" s="58">
        <v>143.249</v>
      </c>
      <c r="AD84" s="58">
        <v>596.35299999999995</v>
      </c>
      <c r="AE84" s="58">
        <v>457.58300000000003</v>
      </c>
      <c r="AF84" s="58">
        <v>256.077</v>
      </c>
      <c r="AG84" s="58">
        <v>201.506</v>
      </c>
      <c r="AH84" s="58">
        <v>184.203</v>
      </c>
      <c r="AI84" s="58">
        <v>99.816999999999993</v>
      </c>
      <c r="AJ84" s="58">
        <v>84.387</v>
      </c>
      <c r="AK84" s="58">
        <v>115.10899999999999</v>
      </c>
      <c r="AL84" s="58">
        <v>83.97</v>
      </c>
      <c r="AM84" s="58">
        <v>31.138000000000002</v>
      </c>
      <c r="AN84" s="58">
        <v>87.772999999999996</v>
      </c>
      <c r="AO84" s="58">
        <v>62.966999999999999</v>
      </c>
      <c r="AP84" s="58">
        <v>24.806000000000001</v>
      </c>
      <c r="AQ84" s="58">
        <v>27.335999999999999</v>
      </c>
      <c r="AR84" s="58">
        <v>21.003</v>
      </c>
      <c r="AS84" s="58">
        <v>6.3330000000000002</v>
      </c>
      <c r="AT84" s="58">
        <v>69.094999999999999</v>
      </c>
      <c r="AU84" s="58">
        <v>15.847</v>
      </c>
      <c r="AV84" s="58">
        <v>53.247999999999998</v>
      </c>
      <c r="AW84" s="58">
        <v>330.95499999999998</v>
      </c>
      <c r="AX84" s="58">
        <v>190.13499999999999</v>
      </c>
      <c r="AY84" s="58">
        <v>140.82</v>
      </c>
      <c r="AZ84" s="58">
        <v>168.56399999999999</v>
      </c>
      <c r="BA84" s="58">
        <v>134.977</v>
      </c>
      <c r="BB84" s="58">
        <v>33.588000000000001</v>
      </c>
      <c r="BC84" s="58">
        <v>162.38999999999999</v>
      </c>
      <c r="BD84" s="58">
        <v>55.158000000000001</v>
      </c>
      <c r="BE84" s="58">
        <v>107.232</v>
      </c>
      <c r="BF84" s="58">
        <v>253.35400000000001</v>
      </c>
      <c r="BG84" s="58">
        <v>193.62</v>
      </c>
      <c r="BH84" s="58">
        <v>59.734000000000002</v>
      </c>
      <c r="BI84" s="58">
        <v>204.23</v>
      </c>
      <c r="BJ84" s="58">
        <v>62.457000000000001</v>
      </c>
      <c r="BK84" s="58">
        <v>141.773</v>
      </c>
      <c r="BL84" s="58">
        <v>250.16399999999999</v>
      </c>
      <c r="BM84" s="58">
        <v>118.126</v>
      </c>
      <c r="BN84" s="58">
        <v>132.03800000000001</v>
      </c>
      <c r="BO84" s="58">
        <v>2587.7420000000002</v>
      </c>
      <c r="BP84" s="58">
        <v>1338.3330000000001</v>
      </c>
      <c r="BQ84" s="58">
        <v>1249.4090000000001</v>
      </c>
      <c r="BR84" s="58">
        <v>1939.27</v>
      </c>
      <c r="BS84" s="58">
        <v>1199.433</v>
      </c>
      <c r="BT84" s="58">
        <v>739.83699999999999</v>
      </c>
      <c r="BU84" s="58">
        <v>648.47199999999998</v>
      </c>
      <c r="BV84" s="58">
        <v>138.9</v>
      </c>
      <c r="BW84" s="58">
        <v>509.572</v>
      </c>
      <c r="BX84" s="58">
        <v>435.50900000000001</v>
      </c>
      <c r="BY84" s="58">
        <v>241.02699999999999</v>
      </c>
      <c r="BZ84" s="58">
        <v>194.482</v>
      </c>
      <c r="CA84" s="58">
        <v>198.29599999999999</v>
      </c>
      <c r="CB84" s="58">
        <v>122.378</v>
      </c>
      <c r="CC84" s="58">
        <v>75.918000000000006</v>
      </c>
      <c r="CD84" s="58">
        <v>120.47199999999999</v>
      </c>
      <c r="CE84" s="58">
        <v>88.716999999999999</v>
      </c>
      <c r="CF84" s="58">
        <v>31.754999999999999</v>
      </c>
      <c r="CG84" s="58">
        <v>88.546999999999997</v>
      </c>
      <c r="CH84" s="58">
        <v>65.596999999999994</v>
      </c>
      <c r="CI84" s="58">
        <v>22.951000000000001</v>
      </c>
      <c r="CJ84" s="58">
        <v>31.925000000000001</v>
      </c>
      <c r="CK84" s="58">
        <v>23.12</v>
      </c>
      <c r="CL84" s="58">
        <v>8.8049999999999997</v>
      </c>
      <c r="CM84" s="58">
        <v>77.823999999999998</v>
      </c>
      <c r="CN84" s="58">
        <v>33.661000000000001</v>
      </c>
      <c r="CO84" s="58">
        <v>44.162999999999997</v>
      </c>
      <c r="CP84" s="58">
        <v>301.03199999999998</v>
      </c>
      <c r="CQ84" s="58">
        <v>158.42400000000001</v>
      </c>
      <c r="CR84" s="58">
        <v>142.608</v>
      </c>
      <c r="CS84" s="58">
        <v>132.482</v>
      </c>
      <c r="CT84" s="58">
        <v>98.263000000000005</v>
      </c>
      <c r="CU84" s="58">
        <v>34.218000000000004</v>
      </c>
      <c r="CV84" s="58">
        <v>168.55</v>
      </c>
      <c r="CW84" s="58">
        <v>60.161000000000001</v>
      </c>
      <c r="CX84" s="58">
        <v>108.389</v>
      </c>
      <c r="CY84" s="58">
        <v>227.52699999999999</v>
      </c>
      <c r="CZ84" s="58">
        <v>166.505</v>
      </c>
      <c r="DA84" s="58">
        <v>61.023000000000003</v>
      </c>
      <c r="DB84" s="58">
        <v>207.982</v>
      </c>
      <c r="DC84" s="58">
        <v>74.522000000000006</v>
      </c>
      <c r="DD84" s="58">
        <v>133.46</v>
      </c>
      <c r="DE84" s="58">
        <v>257.09699999999998</v>
      </c>
      <c r="DF84" s="58">
        <v>125.75700000000001</v>
      </c>
      <c r="DG84" s="58">
        <v>131.34</v>
      </c>
      <c r="DH84" s="58">
        <v>2482.2919999999999</v>
      </c>
      <c r="DI84" s="58">
        <v>1360.587</v>
      </c>
      <c r="DJ84" s="58">
        <v>1121.7049999999999</v>
      </c>
      <c r="DK84" s="58">
        <v>1565.241</v>
      </c>
      <c r="DL84" s="58">
        <v>1022.201</v>
      </c>
      <c r="DM84" s="58">
        <v>543.04</v>
      </c>
      <c r="DN84" s="58">
        <v>917.05100000000004</v>
      </c>
      <c r="DO84" s="58">
        <v>338.38600000000002</v>
      </c>
      <c r="DP84" s="58">
        <v>578.66499999999996</v>
      </c>
      <c r="DQ84" s="58">
        <v>423.44600000000003</v>
      </c>
      <c r="DR84" s="58">
        <v>238.90299999999999</v>
      </c>
      <c r="DS84" s="58">
        <v>184.54300000000001</v>
      </c>
      <c r="DT84" s="58">
        <v>226.774</v>
      </c>
      <c r="DU84" s="58">
        <v>138.791</v>
      </c>
      <c r="DV84" s="58">
        <v>87.983000000000004</v>
      </c>
      <c r="DW84" s="58">
        <v>113.124</v>
      </c>
      <c r="DX84" s="58">
        <v>83.027000000000001</v>
      </c>
      <c r="DY84" s="58">
        <v>30.097999999999999</v>
      </c>
      <c r="DZ84" s="58">
        <v>82.334999999999994</v>
      </c>
      <c r="EA84" s="58">
        <v>59.408000000000001</v>
      </c>
      <c r="EB84" s="58">
        <v>22.927</v>
      </c>
      <c r="EC84" s="58">
        <v>30.789000000000001</v>
      </c>
      <c r="ED84" s="58">
        <v>23.617999999999999</v>
      </c>
      <c r="EE84" s="58">
        <v>7.1710000000000003</v>
      </c>
      <c r="EF84" s="58">
        <v>113.65</v>
      </c>
      <c r="EG84" s="58">
        <v>55.765000000000001</v>
      </c>
      <c r="EH84" s="58">
        <v>57.884999999999998</v>
      </c>
      <c r="EI84" s="58">
        <v>259.45800000000003</v>
      </c>
      <c r="EJ84" s="58">
        <v>138.93799999999999</v>
      </c>
      <c r="EK84" s="58">
        <v>120.52</v>
      </c>
      <c r="EL84" s="58">
        <v>87.813999999999993</v>
      </c>
      <c r="EM84" s="58">
        <v>64.289000000000001</v>
      </c>
      <c r="EN84" s="58">
        <v>23.524000000000001</v>
      </c>
      <c r="EO84" s="58">
        <v>171.64500000000001</v>
      </c>
      <c r="EP84" s="58">
        <v>74.649000000000001</v>
      </c>
      <c r="EQ84" s="58">
        <v>96.995999999999995</v>
      </c>
      <c r="ER84" s="58">
        <v>179.29400000000001</v>
      </c>
      <c r="ES84" s="58">
        <v>130.87799999999999</v>
      </c>
      <c r="ET84" s="58">
        <v>48.415999999999997</v>
      </c>
      <c r="EU84" s="58">
        <v>244.15199999999999</v>
      </c>
      <c r="EV84" s="58">
        <v>108.026</v>
      </c>
      <c r="EW84" s="58">
        <v>136.126</v>
      </c>
      <c r="EX84" s="58">
        <v>253.98</v>
      </c>
      <c r="EY84" s="58">
        <v>134.05799999999999</v>
      </c>
      <c r="EZ84" s="58">
        <v>119.922</v>
      </c>
      <c r="FA84" s="58">
        <v>1898.241</v>
      </c>
      <c r="FB84" s="58">
        <v>1005.449</v>
      </c>
      <c r="FC84" s="58">
        <v>892.79200000000003</v>
      </c>
      <c r="FD84" s="58">
        <v>1309.2529999999999</v>
      </c>
      <c r="FE84" s="58">
        <v>840.50699999999995</v>
      </c>
      <c r="FF84" s="58">
        <v>468.74599999999998</v>
      </c>
      <c r="FG84" s="58">
        <v>588.98800000000006</v>
      </c>
      <c r="FH84" s="58">
        <v>164.94200000000001</v>
      </c>
      <c r="FI84" s="58">
        <v>424.04500000000002</v>
      </c>
      <c r="FJ84" s="58">
        <v>327.66399999999999</v>
      </c>
      <c r="FK84" s="58">
        <v>174.994</v>
      </c>
      <c r="FL84" s="58">
        <v>152.66999999999999</v>
      </c>
      <c r="FM84" s="58">
        <v>164.57400000000001</v>
      </c>
      <c r="FN84" s="58">
        <v>98.540999999999997</v>
      </c>
      <c r="FO84" s="58">
        <v>66.034000000000006</v>
      </c>
      <c r="FP84" s="58">
        <v>95.432000000000002</v>
      </c>
      <c r="FQ84" s="58">
        <v>67.628</v>
      </c>
      <c r="FR84" s="58">
        <v>27.803999999999998</v>
      </c>
      <c r="FS84" s="58">
        <v>68.989000000000004</v>
      </c>
      <c r="FT84" s="58">
        <v>47.51</v>
      </c>
      <c r="FU84" s="58">
        <v>21.478999999999999</v>
      </c>
      <c r="FV84" s="58">
        <v>26.443000000000001</v>
      </c>
      <c r="FW84" s="58">
        <v>20.117999999999999</v>
      </c>
      <c r="FX84" s="58">
        <v>6.3239999999999998</v>
      </c>
      <c r="FY84" s="58">
        <v>69.141999999999996</v>
      </c>
      <c r="FZ84" s="58">
        <v>30.911999999999999</v>
      </c>
      <c r="GA84" s="58">
        <v>38.229999999999997</v>
      </c>
      <c r="GB84" s="58">
        <v>211.08600000000001</v>
      </c>
      <c r="GC84" s="58">
        <v>104.02800000000001</v>
      </c>
      <c r="GD84" s="58">
        <v>107.05800000000001</v>
      </c>
      <c r="GE84" s="58">
        <v>74.825999999999993</v>
      </c>
      <c r="GF84" s="58">
        <v>53.124000000000002</v>
      </c>
      <c r="GG84" s="58">
        <v>21.702000000000002</v>
      </c>
      <c r="GH84" s="58">
        <v>136.26</v>
      </c>
      <c r="GI84" s="58">
        <v>50.904000000000003</v>
      </c>
      <c r="GJ84" s="58">
        <v>85.355999999999995</v>
      </c>
      <c r="GK84" s="58">
        <v>151.14500000000001</v>
      </c>
      <c r="GL84" s="58">
        <v>106.845</v>
      </c>
      <c r="GM84" s="58">
        <v>44.3</v>
      </c>
      <c r="GN84" s="58">
        <v>176.51900000000001</v>
      </c>
      <c r="GO84" s="58">
        <v>68.149000000000001</v>
      </c>
      <c r="GP84" s="58">
        <v>108.371</v>
      </c>
      <c r="GQ84" s="58">
        <v>205.249</v>
      </c>
      <c r="GR84" s="58">
        <v>98.414000000000001</v>
      </c>
      <c r="GS84" s="58">
        <v>106.83499999999999</v>
      </c>
      <c r="GT84" s="58">
        <v>584.05100000000004</v>
      </c>
      <c r="GU84" s="58">
        <v>355.13799999999998</v>
      </c>
      <c r="GV84" s="58">
        <v>228.91300000000001</v>
      </c>
      <c r="GW84" s="58">
        <v>255.988</v>
      </c>
      <c r="GX84" s="58">
        <v>181.69399999999999</v>
      </c>
      <c r="GY84" s="58">
        <v>74.293999999999997</v>
      </c>
      <c r="GZ84" s="58">
        <v>328.06299999999999</v>
      </c>
      <c r="HA84" s="58">
        <v>173.44399999999999</v>
      </c>
      <c r="HB84" s="58">
        <v>154.619</v>
      </c>
      <c r="HC84" s="58">
        <v>95.781999999999996</v>
      </c>
      <c r="HD84" s="58">
        <v>63.91</v>
      </c>
      <c r="HE84" s="58">
        <v>31.872</v>
      </c>
      <c r="HF84" s="58">
        <v>62.2</v>
      </c>
      <c r="HG84" s="58">
        <v>40.250999999999998</v>
      </c>
      <c r="HH84" s="58">
        <v>21.949000000000002</v>
      </c>
      <c r="HI84" s="58">
        <v>17.692</v>
      </c>
      <c r="HJ84" s="58">
        <v>15.398</v>
      </c>
      <c r="HK84" s="58">
        <v>2.294</v>
      </c>
      <c r="HL84" s="58">
        <v>13.346</v>
      </c>
      <c r="HM84" s="58">
        <v>11.898999999999999</v>
      </c>
      <c r="HN84" s="58">
        <v>1.4470000000000001</v>
      </c>
      <c r="HO84" s="58">
        <v>4.3470000000000004</v>
      </c>
      <c r="HP84" s="58">
        <v>3.5</v>
      </c>
      <c r="HQ84" s="58">
        <v>0.84699999999999998</v>
      </c>
      <c r="HR84" s="58">
        <v>44.506999999999998</v>
      </c>
      <c r="HS84" s="58">
        <v>24.852</v>
      </c>
      <c r="HT84" s="58">
        <v>19.655000000000001</v>
      </c>
      <c r="HU84" s="58">
        <v>48.372</v>
      </c>
      <c r="HV84" s="58">
        <v>34.909999999999997</v>
      </c>
      <c r="HW84" s="58">
        <v>13.462</v>
      </c>
      <c r="HX84" s="58">
        <v>12.988</v>
      </c>
      <c r="HY84" s="58">
        <v>11.164999999999999</v>
      </c>
      <c r="HZ84" s="58">
        <v>1.823</v>
      </c>
      <c r="IA84" s="58">
        <v>35.384999999999998</v>
      </c>
      <c r="IB84" s="58">
        <v>23.745000000000001</v>
      </c>
      <c r="IC84" s="58">
        <v>11.64</v>
      </c>
      <c r="ID84" s="58">
        <v>28.149000000000001</v>
      </c>
      <c r="IE84" s="58">
        <v>24.033000000000001</v>
      </c>
      <c r="IF84" s="58">
        <v>4.117</v>
      </c>
      <c r="IG84" s="58">
        <v>67.632999999999996</v>
      </c>
      <c r="IH84" s="58">
        <v>39.877000000000002</v>
      </c>
      <c r="II84" s="58">
        <v>27.756</v>
      </c>
      <c r="IJ84" s="58">
        <v>48.731000000000002</v>
      </c>
      <c r="IK84" s="58">
        <v>35.643000000000001</v>
      </c>
      <c r="IL84" s="58">
        <v>13.087</v>
      </c>
      <c r="IM84" s="58">
        <v>4024.192</v>
      </c>
      <c r="IN84" s="58">
        <v>2127.3690000000001</v>
      </c>
      <c r="IO84" s="58">
        <v>1896.8240000000001</v>
      </c>
      <c r="IP84" s="58">
        <v>2790.4859999999999</v>
      </c>
      <c r="IQ84" s="58">
        <v>1719.569</v>
      </c>
    </row>
    <row r="85" spans="1:251">
      <c r="A85" s="5">
        <v>44075</v>
      </c>
      <c r="B85" s="58">
        <v>29.55</v>
      </c>
      <c r="C85" s="58">
        <v>42.978000000000002</v>
      </c>
      <c r="D85" s="58">
        <v>421.64100000000002</v>
      </c>
      <c r="E85" s="58">
        <v>250.15899999999999</v>
      </c>
      <c r="F85" s="58">
        <v>171.483</v>
      </c>
      <c r="G85" s="58">
        <v>175.01900000000001</v>
      </c>
      <c r="H85" s="58">
        <v>133.702</v>
      </c>
      <c r="I85" s="58">
        <v>41.316000000000003</v>
      </c>
      <c r="J85" s="58">
        <v>246.62200000000001</v>
      </c>
      <c r="K85" s="58">
        <v>116.456</v>
      </c>
      <c r="L85" s="58">
        <v>130.166</v>
      </c>
      <c r="M85" s="58">
        <v>269.87299999999999</v>
      </c>
      <c r="N85" s="58">
        <v>194.232</v>
      </c>
      <c r="O85" s="58">
        <v>75.641000000000005</v>
      </c>
      <c r="P85" s="58">
        <v>279.19900000000001</v>
      </c>
      <c r="Q85" s="58">
        <v>130.233</v>
      </c>
      <c r="R85" s="58">
        <v>148.96600000000001</v>
      </c>
      <c r="S85" s="58">
        <v>346.51900000000001</v>
      </c>
      <c r="T85" s="58">
        <v>182.971</v>
      </c>
      <c r="U85" s="58">
        <v>163.548</v>
      </c>
      <c r="V85" s="58">
        <v>2790.183</v>
      </c>
      <c r="W85" s="58">
        <v>1484.3040000000001</v>
      </c>
      <c r="X85" s="58">
        <v>1305.8789999999999</v>
      </c>
      <c r="Y85" s="58">
        <v>2078.6190000000001</v>
      </c>
      <c r="Z85" s="58">
        <v>1340.8510000000001</v>
      </c>
      <c r="AA85" s="58">
        <v>737.76700000000005</v>
      </c>
      <c r="AB85" s="58">
        <v>711.56500000000005</v>
      </c>
      <c r="AC85" s="58">
        <v>143.453</v>
      </c>
      <c r="AD85" s="58">
        <v>568.11199999999997</v>
      </c>
      <c r="AE85" s="58">
        <v>441.77</v>
      </c>
      <c r="AF85" s="58">
        <v>248.72499999999999</v>
      </c>
      <c r="AG85" s="58">
        <v>193.04499999999999</v>
      </c>
      <c r="AH85" s="58">
        <v>186.036</v>
      </c>
      <c r="AI85" s="58">
        <v>112.33199999999999</v>
      </c>
      <c r="AJ85" s="58">
        <v>73.703999999999994</v>
      </c>
      <c r="AK85" s="58">
        <v>123.303</v>
      </c>
      <c r="AL85" s="58">
        <v>89.575000000000003</v>
      </c>
      <c r="AM85" s="58">
        <v>33.726999999999997</v>
      </c>
      <c r="AN85" s="58">
        <v>91.661000000000001</v>
      </c>
      <c r="AO85" s="58">
        <v>64.590999999999994</v>
      </c>
      <c r="AP85" s="58">
        <v>27.068999999999999</v>
      </c>
      <c r="AQ85" s="58">
        <v>31.641999999999999</v>
      </c>
      <c r="AR85" s="58">
        <v>24.984000000000002</v>
      </c>
      <c r="AS85" s="58">
        <v>6.6580000000000004</v>
      </c>
      <c r="AT85" s="58">
        <v>62.732999999999997</v>
      </c>
      <c r="AU85" s="58">
        <v>22.757000000000001</v>
      </c>
      <c r="AV85" s="58">
        <v>39.975999999999999</v>
      </c>
      <c r="AW85" s="58">
        <v>314.88099999999997</v>
      </c>
      <c r="AX85" s="58">
        <v>174.458</v>
      </c>
      <c r="AY85" s="58">
        <v>140.423</v>
      </c>
      <c r="AZ85" s="58">
        <v>152.53200000000001</v>
      </c>
      <c r="BA85" s="58">
        <v>116.378</v>
      </c>
      <c r="BB85" s="58">
        <v>36.154000000000003</v>
      </c>
      <c r="BC85" s="58">
        <v>162.34899999999999</v>
      </c>
      <c r="BD85" s="58">
        <v>58.08</v>
      </c>
      <c r="BE85" s="58">
        <v>104.26900000000001</v>
      </c>
      <c r="BF85" s="58">
        <v>247.126</v>
      </c>
      <c r="BG85" s="58">
        <v>182.62200000000001</v>
      </c>
      <c r="BH85" s="58">
        <v>64.504000000000005</v>
      </c>
      <c r="BI85" s="58">
        <v>194.64400000000001</v>
      </c>
      <c r="BJ85" s="58">
        <v>66.102000000000004</v>
      </c>
      <c r="BK85" s="58">
        <v>128.542</v>
      </c>
      <c r="BL85" s="58">
        <v>254.01</v>
      </c>
      <c r="BM85" s="58">
        <v>122.67100000000001</v>
      </c>
      <c r="BN85" s="58">
        <v>131.339</v>
      </c>
      <c r="BO85" s="58">
        <v>2591.7890000000002</v>
      </c>
      <c r="BP85" s="58">
        <v>1332.9580000000001</v>
      </c>
      <c r="BQ85" s="58">
        <v>1258.8309999999999</v>
      </c>
      <c r="BR85" s="58">
        <v>1945.6659999999999</v>
      </c>
      <c r="BS85" s="58">
        <v>1190.8409999999999</v>
      </c>
      <c r="BT85" s="58">
        <v>754.82600000000002</v>
      </c>
      <c r="BU85" s="58">
        <v>646.12300000000005</v>
      </c>
      <c r="BV85" s="58">
        <v>142.11699999999999</v>
      </c>
      <c r="BW85" s="58">
        <v>504.00599999999997</v>
      </c>
      <c r="BX85" s="58">
        <v>429.77800000000002</v>
      </c>
      <c r="BY85" s="58">
        <v>230.06700000000001</v>
      </c>
      <c r="BZ85" s="58">
        <v>199.71</v>
      </c>
      <c r="CA85" s="58">
        <v>183.10599999999999</v>
      </c>
      <c r="CB85" s="58">
        <v>104.634</v>
      </c>
      <c r="CC85" s="58">
        <v>78.471000000000004</v>
      </c>
      <c r="CD85" s="58">
        <v>119.626</v>
      </c>
      <c r="CE85" s="58">
        <v>83.433000000000007</v>
      </c>
      <c r="CF85" s="58">
        <v>36.192999999999998</v>
      </c>
      <c r="CG85" s="58">
        <v>89.096999999999994</v>
      </c>
      <c r="CH85" s="58">
        <v>61.036999999999999</v>
      </c>
      <c r="CI85" s="58">
        <v>28.06</v>
      </c>
      <c r="CJ85" s="58">
        <v>30.53</v>
      </c>
      <c r="CK85" s="58">
        <v>22.396000000000001</v>
      </c>
      <c r="CL85" s="58">
        <v>8.1329999999999991</v>
      </c>
      <c r="CM85" s="58">
        <v>63.478999999999999</v>
      </c>
      <c r="CN85" s="58">
        <v>21.201000000000001</v>
      </c>
      <c r="CO85" s="58">
        <v>42.277999999999999</v>
      </c>
      <c r="CP85" s="58">
        <v>309.22300000000001</v>
      </c>
      <c r="CQ85" s="58">
        <v>155.23099999999999</v>
      </c>
      <c r="CR85" s="58">
        <v>153.99100000000001</v>
      </c>
      <c r="CS85" s="58">
        <v>137.274</v>
      </c>
      <c r="CT85" s="58">
        <v>98.298000000000002</v>
      </c>
      <c r="CU85" s="58">
        <v>38.975000000000001</v>
      </c>
      <c r="CV85" s="58">
        <v>171.94900000000001</v>
      </c>
      <c r="CW85" s="58">
        <v>56.933</v>
      </c>
      <c r="CX85" s="58">
        <v>115.01600000000001</v>
      </c>
      <c r="CY85" s="58">
        <v>227.679</v>
      </c>
      <c r="CZ85" s="58">
        <v>162.65199999999999</v>
      </c>
      <c r="DA85" s="58">
        <v>65.025999999999996</v>
      </c>
      <c r="DB85" s="58">
        <v>202.09899999999999</v>
      </c>
      <c r="DC85" s="58">
        <v>67.415000000000006</v>
      </c>
      <c r="DD85" s="58">
        <v>134.684</v>
      </c>
      <c r="DE85" s="58">
        <v>261.04599999999999</v>
      </c>
      <c r="DF85" s="58">
        <v>117.97</v>
      </c>
      <c r="DG85" s="58">
        <v>143.07599999999999</v>
      </c>
      <c r="DH85" s="58">
        <v>2484.2370000000001</v>
      </c>
      <c r="DI85" s="58">
        <v>1364.5250000000001</v>
      </c>
      <c r="DJ85" s="58">
        <v>1119.712</v>
      </c>
      <c r="DK85" s="58">
        <v>1558.9870000000001</v>
      </c>
      <c r="DL85" s="58">
        <v>1029.9690000000001</v>
      </c>
      <c r="DM85" s="58">
        <v>529.01800000000003</v>
      </c>
      <c r="DN85" s="58">
        <v>925.25</v>
      </c>
      <c r="DO85" s="58">
        <v>334.55599999999998</v>
      </c>
      <c r="DP85" s="58">
        <v>590.69399999999996</v>
      </c>
      <c r="DQ85" s="58">
        <v>380.13</v>
      </c>
      <c r="DR85" s="58">
        <v>224.49299999999999</v>
      </c>
      <c r="DS85" s="58">
        <v>155.637</v>
      </c>
      <c r="DT85" s="58">
        <v>201.11500000000001</v>
      </c>
      <c r="DU85" s="58">
        <v>127.44199999999999</v>
      </c>
      <c r="DV85" s="58">
        <v>73.673000000000002</v>
      </c>
      <c r="DW85" s="58">
        <v>106.32</v>
      </c>
      <c r="DX85" s="58">
        <v>81.411000000000001</v>
      </c>
      <c r="DY85" s="58">
        <v>24.908999999999999</v>
      </c>
      <c r="DZ85" s="58">
        <v>83.936999999999998</v>
      </c>
      <c r="EA85" s="58">
        <v>62.18</v>
      </c>
      <c r="EB85" s="58">
        <v>21.757000000000001</v>
      </c>
      <c r="EC85" s="58">
        <v>22.382999999999999</v>
      </c>
      <c r="ED85" s="58">
        <v>19.231000000000002</v>
      </c>
      <c r="EE85" s="58">
        <v>3.153</v>
      </c>
      <c r="EF85" s="58">
        <v>94.795000000000002</v>
      </c>
      <c r="EG85" s="58">
        <v>46.030999999999999</v>
      </c>
      <c r="EH85" s="58">
        <v>48.764000000000003</v>
      </c>
      <c r="EI85" s="58">
        <v>239.06899999999999</v>
      </c>
      <c r="EJ85" s="58">
        <v>135.124</v>
      </c>
      <c r="EK85" s="58">
        <v>103.944</v>
      </c>
      <c r="EL85" s="58">
        <v>84.599000000000004</v>
      </c>
      <c r="EM85" s="58">
        <v>68.087999999999994</v>
      </c>
      <c r="EN85" s="58">
        <v>16.510999999999999</v>
      </c>
      <c r="EO85" s="58">
        <v>154.46899999999999</v>
      </c>
      <c r="EP85" s="58">
        <v>67.037000000000006</v>
      </c>
      <c r="EQ85" s="58">
        <v>87.433000000000007</v>
      </c>
      <c r="ER85" s="58">
        <v>165.041</v>
      </c>
      <c r="ES85" s="58">
        <v>129.21600000000001</v>
      </c>
      <c r="ET85" s="58">
        <v>35.825000000000003</v>
      </c>
      <c r="EU85" s="58">
        <v>215.089</v>
      </c>
      <c r="EV85" s="58">
        <v>95.277000000000001</v>
      </c>
      <c r="EW85" s="58">
        <v>119.812</v>
      </c>
      <c r="EX85" s="58">
        <v>238.40600000000001</v>
      </c>
      <c r="EY85" s="58">
        <v>129.21700000000001</v>
      </c>
      <c r="EZ85" s="58">
        <v>109.18899999999999</v>
      </c>
      <c r="FA85" s="58">
        <v>1897.9690000000001</v>
      </c>
      <c r="FB85" s="58">
        <v>1012.201</v>
      </c>
      <c r="FC85" s="58">
        <v>885.76800000000003</v>
      </c>
      <c r="FD85" s="58">
        <v>1303.6179999999999</v>
      </c>
      <c r="FE85" s="58">
        <v>849.625</v>
      </c>
      <c r="FF85" s="58">
        <v>453.99299999999999</v>
      </c>
      <c r="FG85" s="58">
        <v>594.351</v>
      </c>
      <c r="FH85" s="58">
        <v>162.57599999999999</v>
      </c>
      <c r="FI85" s="58">
        <v>431.77499999999998</v>
      </c>
      <c r="FJ85" s="58">
        <v>305.14</v>
      </c>
      <c r="FK85" s="58">
        <v>167.607</v>
      </c>
      <c r="FL85" s="58">
        <v>137.53299999999999</v>
      </c>
      <c r="FM85" s="58">
        <v>157.12200000000001</v>
      </c>
      <c r="FN85" s="58">
        <v>94.331000000000003</v>
      </c>
      <c r="FO85" s="58">
        <v>62.790999999999997</v>
      </c>
      <c r="FP85" s="58">
        <v>89.623000000000005</v>
      </c>
      <c r="FQ85" s="58">
        <v>66.066999999999993</v>
      </c>
      <c r="FR85" s="58">
        <v>23.556000000000001</v>
      </c>
      <c r="FS85" s="58">
        <v>71.864000000000004</v>
      </c>
      <c r="FT85" s="58">
        <v>51.222999999999999</v>
      </c>
      <c r="FU85" s="58">
        <v>20.641999999999999</v>
      </c>
      <c r="FV85" s="58">
        <v>17.759</v>
      </c>
      <c r="FW85" s="58">
        <v>14.845000000000001</v>
      </c>
      <c r="FX85" s="58">
        <v>2.9140000000000001</v>
      </c>
      <c r="FY85" s="58">
        <v>67.498000000000005</v>
      </c>
      <c r="FZ85" s="58">
        <v>28.263000000000002</v>
      </c>
      <c r="GA85" s="58">
        <v>39.234999999999999</v>
      </c>
      <c r="GB85" s="58">
        <v>199.16300000000001</v>
      </c>
      <c r="GC85" s="58">
        <v>104.916</v>
      </c>
      <c r="GD85" s="58">
        <v>94.247</v>
      </c>
      <c r="GE85" s="58">
        <v>73.126000000000005</v>
      </c>
      <c r="GF85" s="58">
        <v>57.573999999999998</v>
      </c>
      <c r="GG85" s="58">
        <v>15.552</v>
      </c>
      <c r="GH85" s="58">
        <v>126.03700000000001</v>
      </c>
      <c r="GI85" s="58">
        <v>47.341999999999999</v>
      </c>
      <c r="GJ85" s="58">
        <v>78.694999999999993</v>
      </c>
      <c r="GK85" s="58">
        <v>140.09100000000001</v>
      </c>
      <c r="GL85" s="58">
        <v>106.06699999999999</v>
      </c>
      <c r="GM85" s="58">
        <v>34.024000000000001</v>
      </c>
      <c r="GN85" s="58">
        <v>165.04900000000001</v>
      </c>
      <c r="GO85" s="58">
        <v>61.54</v>
      </c>
      <c r="GP85" s="58">
        <v>103.509</v>
      </c>
      <c r="GQ85" s="58">
        <v>197.90100000000001</v>
      </c>
      <c r="GR85" s="58">
        <v>98.563999999999993</v>
      </c>
      <c r="GS85" s="58">
        <v>99.337000000000003</v>
      </c>
      <c r="GT85" s="58">
        <v>586.26800000000003</v>
      </c>
      <c r="GU85" s="58">
        <v>352.32400000000001</v>
      </c>
      <c r="GV85" s="58">
        <v>233.94399999999999</v>
      </c>
      <c r="GW85" s="58">
        <v>255.369</v>
      </c>
      <c r="GX85" s="58">
        <v>180.34299999999999</v>
      </c>
      <c r="GY85" s="58">
        <v>75.025999999999996</v>
      </c>
      <c r="GZ85" s="58">
        <v>330.899</v>
      </c>
      <c r="HA85" s="58">
        <v>171.98</v>
      </c>
      <c r="HB85" s="58">
        <v>158.91900000000001</v>
      </c>
      <c r="HC85" s="58">
        <v>74.989999999999995</v>
      </c>
      <c r="HD85" s="58">
        <v>56.886000000000003</v>
      </c>
      <c r="HE85" s="58">
        <v>18.103999999999999</v>
      </c>
      <c r="HF85" s="58">
        <v>43.993000000000002</v>
      </c>
      <c r="HG85" s="58">
        <v>33.110999999999997</v>
      </c>
      <c r="HH85" s="58">
        <v>10.882</v>
      </c>
      <c r="HI85" s="58">
        <v>16.696999999999999</v>
      </c>
      <c r="HJ85" s="58">
        <v>15.343</v>
      </c>
      <c r="HK85" s="58">
        <v>1.353</v>
      </c>
      <c r="HL85" s="58">
        <v>12.071999999999999</v>
      </c>
      <c r="HM85" s="58">
        <v>10.957000000000001</v>
      </c>
      <c r="HN85" s="58">
        <v>1.115</v>
      </c>
      <c r="HO85" s="58">
        <v>4.6239999999999997</v>
      </c>
      <c r="HP85" s="58">
        <v>4.3860000000000001</v>
      </c>
      <c r="HQ85" s="58">
        <v>0.23799999999999999</v>
      </c>
      <c r="HR85" s="58">
        <v>27.297000000000001</v>
      </c>
      <c r="HS85" s="58">
        <v>17.768000000000001</v>
      </c>
      <c r="HT85" s="58">
        <v>9.5289999999999999</v>
      </c>
      <c r="HU85" s="58">
        <v>39.905999999999999</v>
      </c>
      <c r="HV85" s="58">
        <v>30.207999999999998</v>
      </c>
      <c r="HW85" s="58">
        <v>9.6969999999999992</v>
      </c>
      <c r="HX85" s="58">
        <v>11.473000000000001</v>
      </c>
      <c r="HY85" s="58">
        <v>10.513999999999999</v>
      </c>
      <c r="HZ85" s="58">
        <v>0.96</v>
      </c>
      <c r="IA85" s="58">
        <v>28.431999999999999</v>
      </c>
      <c r="IB85" s="58">
        <v>19.695</v>
      </c>
      <c r="IC85" s="58">
        <v>8.7370000000000001</v>
      </c>
      <c r="ID85" s="58">
        <v>24.95</v>
      </c>
      <c r="IE85" s="58">
        <v>23.149000000000001</v>
      </c>
      <c r="IF85" s="58">
        <v>1.8</v>
      </c>
      <c r="IG85" s="58">
        <v>50.040999999999997</v>
      </c>
      <c r="IH85" s="58">
        <v>33.737000000000002</v>
      </c>
      <c r="II85" s="58">
        <v>16.303999999999998</v>
      </c>
      <c r="IJ85" s="58">
        <v>40.505000000000003</v>
      </c>
      <c r="IK85" s="58">
        <v>30.652000000000001</v>
      </c>
      <c r="IL85" s="58">
        <v>9.8520000000000003</v>
      </c>
      <c r="IM85" s="58">
        <v>4037.395</v>
      </c>
      <c r="IN85" s="58">
        <v>2125.6950000000002</v>
      </c>
      <c r="IO85" s="58">
        <v>1911.701</v>
      </c>
      <c r="IP85" s="58">
        <v>2793.509</v>
      </c>
      <c r="IQ85" s="58">
        <v>1706.9849999999999</v>
      </c>
    </row>
    <row r="86" spans="1:251">
      <c r="A86" s="5">
        <v>44105</v>
      </c>
      <c r="B86" s="58">
        <v>20.702000000000002</v>
      </c>
      <c r="C86" s="58">
        <v>26.222000000000001</v>
      </c>
      <c r="D86" s="58">
        <v>416.62200000000001</v>
      </c>
      <c r="E86" s="58">
        <v>240.256</v>
      </c>
      <c r="F86" s="58">
        <v>176.36600000000001</v>
      </c>
      <c r="G86" s="58">
        <v>202.614</v>
      </c>
      <c r="H86" s="58">
        <v>151.471</v>
      </c>
      <c r="I86" s="58">
        <v>51.143000000000001</v>
      </c>
      <c r="J86" s="58">
        <v>214.00899999999999</v>
      </c>
      <c r="K86" s="58">
        <v>88.784999999999997</v>
      </c>
      <c r="L86" s="58">
        <v>125.223</v>
      </c>
      <c r="M86" s="58">
        <v>266.25</v>
      </c>
      <c r="N86" s="58">
        <v>194.49600000000001</v>
      </c>
      <c r="O86" s="58">
        <v>71.754999999999995</v>
      </c>
      <c r="P86" s="58">
        <v>236.85900000000001</v>
      </c>
      <c r="Q86" s="58">
        <v>99.197999999999993</v>
      </c>
      <c r="R86" s="58">
        <v>137.661</v>
      </c>
      <c r="S86" s="58">
        <v>297.90100000000001</v>
      </c>
      <c r="T86" s="58">
        <v>148.18799999999999</v>
      </c>
      <c r="U86" s="58">
        <v>149.71299999999999</v>
      </c>
      <c r="V86" s="58">
        <v>2835.14</v>
      </c>
      <c r="W86" s="58">
        <v>1508.6890000000001</v>
      </c>
      <c r="X86" s="58">
        <v>1326.451</v>
      </c>
      <c r="Y86" s="58">
        <v>2090.3130000000001</v>
      </c>
      <c r="Z86" s="58">
        <v>1358.3440000000001</v>
      </c>
      <c r="AA86" s="58">
        <v>731.97</v>
      </c>
      <c r="AB86" s="58">
        <v>744.82600000000002</v>
      </c>
      <c r="AC86" s="58">
        <v>150.345</v>
      </c>
      <c r="AD86" s="58">
        <v>594.48199999999997</v>
      </c>
      <c r="AE86" s="58">
        <v>405.40699999999998</v>
      </c>
      <c r="AF86" s="58">
        <v>223.226</v>
      </c>
      <c r="AG86" s="58">
        <v>182.18100000000001</v>
      </c>
      <c r="AH86" s="58">
        <v>130.34399999999999</v>
      </c>
      <c r="AI86" s="58">
        <v>81.126000000000005</v>
      </c>
      <c r="AJ86" s="58">
        <v>49.218000000000004</v>
      </c>
      <c r="AK86" s="58">
        <v>80.768000000000001</v>
      </c>
      <c r="AL86" s="58">
        <v>63.585999999999999</v>
      </c>
      <c r="AM86" s="58">
        <v>17.181999999999999</v>
      </c>
      <c r="AN86" s="58">
        <v>64.375</v>
      </c>
      <c r="AO86" s="58">
        <v>49.896000000000001</v>
      </c>
      <c r="AP86" s="58">
        <v>14.478</v>
      </c>
      <c r="AQ86" s="58">
        <v>16.393000000000001</v>
      </c>
      <c r="AR86" s="58">
        <v>13.69</v>
      </c>
      <c r="AS86" s="58">
        <v>2.7029999999999998</v>
      </c>
      <c r="AT86" s="58">
        <v>49.576000000000001</v>
      </c>
      <c r="AU86" s="58">
        <v>17.54</v>
      </c>
      <c r="AV86" s="58">
        <v>32.036000000000001</v>
      </c>
      <c r="AW86" s="58">
        <v>328.43799999999999</v>
      </c>
      <c r="AX86" s="58">
        <v>174.10599999999999</v>
      </c>
      <c r="AY86" s="58">
        <v>154.33199999999999</v>
      </c>
      <c r="AZ86" s="58">
        <v>152.32400000000001</v>
      </c>
      <c r="BA86" s="58">
        <v>116.315</v>
      </c>
      <c r="BB86" s="58">
        <v>36.009</v>
      </c>
      <c r="BC86" s="58">
        <v>176.114</v>
      </c>
      <c r="BD86" s="58">
        <v>57.790999999999997</v>
      </c>
      <c r="BE86" s="58">
        <v>118.32299999999999</v>
      </c>
      <c r="BF86" s="58">
        <v>204.773</v>
      </c>
      <c r="BG86" s="58">
        <v>158.40799999999999</v>
      </c>
      <c r="BH86" s="58">
        <v>46.365000000000002</v>
      </c>
      <c r="BI86" s="58">
        <v>200.63399999999999</v>
      </c>
      <c r="BJ86" s="58">
        <v>64.819000000000003</v>
      </c>
      <c r="BK86" s="58">
        <v>135.816</v>
      </c>
      <c r="BL86" s="58">
        <v>240.489</v>
      </c>
      <c r="BM86" s="58">
        <v>107.687</v>
      </c>
      <c r="BN86" s="58">
        <v>132.80099999999999</v>
      </c>
      <c r="BO86" s="58">
        <v>2608.4450000000002</v>
      </c>
      <c r="BP86" s="58">
        <v>1346.327</v>
      </c>
      <c r="BQ86" s="58">
        <v>1262.1179999999999</v>
      </c>
      <c r="BR86" s="58">
        <v>1944.7059999999999</v>
      </c>
      <c r="BS86" s="58">
        <v>1197.328</v>
      </c>
      <c r="BT86" s="58">
        <v>747.37800000000004</v>
      </c>
      <c r="BU86" s="58">
        <v>663.73900000000003</v>
      </c>
      <c r="BV86" s="58">
        <v>148.999</v>
      </c>
      <c r="BW86" s="58">
        <v>514.74</v>
      </c>
      <c r="BX86" s="58">
        <v>401.71499999999997</v>
      </c>
      <c r="BY86" s="58">
        <v>207.97399999999999</v>
      </c>
      <c r="BZ86" s="58">
        <v>193.74100000000001</v>
      </c>
      <c r="CA86" s="58">
        <v>137.53800000000001</v>
      </c>
      <c r="CB86" s="58">
        <v>84.763000000000005</v>
      </c>
      <c r="CC86" s="58">
        <v>52.774999999999999</v>
      </c>
      <c r="CD86" s="58">
        <v>88.319000000000003</v>
      </c>
      <c r="CE86" s="58">
        <v>64.441000000000003</v>
      </c>
      <c r="CF86" s="58">
        <v>23.878</v>
      </c>
      <c r="CG86" s="58">
        <v>66.233000000000004</v>
      </c>
      <c r="CH86" s="58">
        <v>46.152999999999999</v>
      </c>
      <c r="CI86" s="58">
        <v>20.079999999999998</v>
      </c>
      <c r="CJ86" s="58">
        <v>22.085999999999999</v>
      </c>
      <c r="CK86" s="58">
        <v>18.288</v>
      </c>
      <c r="CL86" s="58">
        <v>3.798</v>
      </c>
      <c r="CM86" s="58">
        <v>49.219000000000001</v>
      </c>
      <c r="CN86" s="58">
        <v>20.321000000000002</v>
      </c>
      <c r="CO86" s="58">
        <v>28.898</v>
      </c>
      <c r="CP86" s="58">
        <v>320.233</v>
      </c>
      <c r="CQ86" s="58">
        <v>158.56800000000001</v>
      </c>
      <c r="CR86" s="58">
        <v>161.66499999999999</v>
      </c>
      <c r="CS86" s="58">
        <v>142.79300000000001</v>
      </c>
      <c r="CT86" s="58">
        <v>97.745999999999995</v>
      </c>
      <c r="CU86" s="58">
        <v>45.046999999999997</v>
      </c>
      <c r="CV86" s="58">
        <v>177.44</v>
      </c>
      <c r="CW86" s="58">
        <v>60.820999999999998</v>
      </c>
      <c r="CX86" s="58">
        <v>116.61799999999999</v>
      </c>
      <c r="CY86" s="58">
        <v>204.22800000000001</v>
      </c>
      <c r="CZ86" s="58">
        <v>140.44200000000001</v>
      </c>
      <c r="DA86" s="58">
        <v>63.784999999999997</v>
      </c>
      <c r="DB86" s="58">
        <v>197.48699999999999</v>
      </c>
      <c r="DC86" s="58">
        <v>67.531999999999996</v>
      </c>
      <c r="DD86" s="58">
        <v>129.95500000000001</v>
      </c>
      <c r="DE86" s="58">
        <v>243.673</v>
      </c>
      <c r="DF86" s="58">
        <v>106.974</v>
      </c>
      <c r="DG86" s="58">
        <v>136.69800000000001</v>
      </c>
      <c r="DH86" s="58">
        <v>2515.3710000000001</v>
      </c>
      <c r="DI86" s="58">
        <v>1378.596</v>
      </c>
      <c r="DJ86" s="58">
        <v>1136.7750000000001</v>
      </c>
      <c r="DK86" s="58">
        <v>1583.1479999999999</v>
      </c>
      <c r="DL86" s="58">
        <v>1046.914</v>
      </c>
      <c r="DM86" s="58">
        <v>536.23400000000004</v>
      </c>
      <c r="DN86" s="58">
        <v>932.22199999999998</v>
      </c>
      <c r="DO86" s="58">
        <v>331.68099999999998</v>
      </c>
      <c r="DP86" s="58">
        <v>600.54100000000005</v>
      </c>
      <c r="DQ86" s="58">
        <v>357.49200000000002</v>
      </c>
      <c r="DR86" s="58">
        <v>195.68700000000001</v>
      </c>
      <c r="DS86" s="58">
        <v>161.80500000000001</v>
      </c>
      <c r="DT86" s="58">
        <v>152.779</v>
      </c>
      <c r="DU86" s="58">
        <v>90.174999999999997</v>
      </c>
      <c r="DV86" s="58">
        <v>62.604999999999997</v>
      </c>
      <c r="DW86" s="58">
        <v>74</v>
      </c>
      <c r="DX86" s="58">
        <v>55.441000000000003</v>
      </c>
      <c r="DY86" s="58">
        <v>18.559999999999999</v>
      </c>
      <c r="DZ86" s="58">
        <v>54.448999999999998</v>
      </c>
      <c r="EA86" s="58">
        <v>39.024999999999999</v>
      </c>
      <c r="EB86" s="58">
        <v>15.425000000000001</v>
      </c>
      <c r="EC86" s="58">
        <v>19.550999999999998</v>
      </c>
      <c r="ED86" s="58">
        <v>16.416</v>
      </c>
      <c r="EE86" s="58">
        <v>3.1349999999999998</v>
      </c>
      <c r="EF86" s="58">
        <v>78.778999999999996</v>
      </c>
      <c r="EG86" s="58">
        <v>34.734000000000002</v>
      </c>
      <c r="EH86" s="58">
        <v>44.045000000000002</v>
      </c>
      <c r="EI86" s="58">
        <v>251.619</v>
      </c>
      <c r="EJ86" s="58">
        <v>130.375</v>
      </c>
      <c r="EK86" s="58">
        <v>121.244</v>
      </c>
      <c r="EL86" s="58">
        <v>94.977000000000004</v>
      </c>
      <c r="EM86" s="58">
        <v>72.927000000000007</v>
      </c>
      <c r="EN86" s="58">
        <v>22.05</v>
      </c>
      <c r="EO86" s="58">
        <v>156.642</v>
      </c>
      <c r="EP86" s="58">
        <v>57.448</v>
      </c>
      <c r="EQ86" s="58">
        <v>99.194000000000003</v>
      </c>
      <c r="ER86" s="58">
        <v>152.976</v>
      </c>
      <c r="ES86" s="58">
        <v>115.91500000000001</v>
      </c>
      <c r="ET86" s="58">
        <v>37.061999999999998</v>
      </c>
      <c r="EU86" s="58">
        <v>204.51599999999999</v>
      </c>
      <c r="EV86" s="58">
        <v>79.772000000000006</v>
      </c>
      <c r="EW86" s="58">
        <v>124.744</v>
      </c>
      <c r="EX86" s="58">
        <v>211.09100000000001</v>
      </c>
      <c r="EY86" s="58">
        <v>96.471999999999994</v>
      </c>
      <c r="EZ86" s="58">
        <v>114.619</v>
      </c>
      <c r="FA86" s="58">
        <v>1922.9169999999999</v>
      </c>
      <c r="FB86" s="58">
        <v>1024.58</v>
      </c>
      <c r="FC86" s="58">
        <v>898.33699999999999</v>
      </c>
      <c r="FD86" s="58">
        <v>1314.124</v>
      </c>
      <c r="FE86" s="58">
        <v>855.08500000000004</v>
      </c>
      <c r="FF86" s="58">
        <v>459.04</v>
      </c>
      <c r="FG86" s="58">
        <v>608.79300000000001</v>
      </c>
      <c r="FH86" s="58">
        <v>169.49600000000001</v>
      </c>
      <c r="FI86" s="58">
        <v>439.29700000000003</v>
      </c>
      <c r="FJ86" s="58">
        <v>285.60500000000002</v>
      </c>
      <c r="FK86" s="58">
        <v>150.34</v>
      </c>
      <c r="FL86" s="58">
        <v>135.26499999999999</v>
      </c>
      <c r="FM86" s="58">
        <v>115.236</v>
      </c>
      <c r="FN86" s="58">
        <v>66.162999999999997</v>
      </c>
      <c r="FO86" s="58">
        <v>49.073</v>
      </c>
      <c r="FP86" s="58">
        <v>58.918999999999997</v>
      </c>
      <c r="FQ86" s="58">
        <v>43.527999999999999</v>
      </c>
      <c r="FR86" s="58">
        <v>15.391</v>
      </c>
      <c r="FS86" s="58">
        <v>43.128</v>
      </c>
      <c r="FT86" s="58">
        <v>30.466999999999999</v>
      </c>
      <c r="FU86" s="58">
        <v>12.661</v>
      </c>
      <c r="FV86" s="58">
        <v>15.791</v>
      </c>
      <c r="FW86" s="58">
        <v>13.061</v>
      </c>
      <c r="FX86" s="58">
        <v>2.73</v>
      </c>
      <c r="FY86" s="58">
        <v>56.316000000000003</v>
      </c>
      <c r="FZ86" s="58">
        <v>22.634</v>
      </c>
      <c r="GA86" s="58">
        <v>33.682000000000002</v>
      </c>
      <c r="GB86" s="58">
        <v>211.79</v>
      </c>
      <c r="GC86" s="58">
        <v>104.85299999999999</v>
      </c>
      <c r="GD86" s="58">
        <v>106.937</v>
      </c>
      <c r="GE86" s="58">
        <v>84.697000000000003</v>
      </c>
      <c r="GF86" s="58">
        <v>64.462999999999994</v>
      </c>
      <c r="GG86" s="58">
        <v>20.234999999999999</v>
      </c>
      <c r="GH86" s="58">
        <v>127.093</v>
      </c>
      <c r="GI86" s="58">
        <v>40.390999999999998</v>
      </c>
      <c r="GJ86" s="58">
        <v>86.701999999999998</v>
      </c>
      <c r="GK86" s="58">
        <v>128.286</v>
      </c>
      <c r="GL86" s="58">
        <v>96.207999999999998</v>
      </c>
      <c r="GM86" s="58">
        <v>32.076999999999998</v>
      </c>
      <c r="GN86" s="58">
        <v>157.31899999999999</v>
      </c>
      <c r="GO86" s="58">
        <v>54.131</v>
      </c>
      <c r="GP86" s="58">
        <v>103.188</v>
      </c>
      <c r="GQ86" s="58">
        <v>170.221</v>
      </c>
      <c r="GR86" s="58">
        <v>70.858000000000004</v>
      </c>
      <c r="GS86" s="58">
        <v>99.363</v>
      </c>
      <c r="GT86" s="58">
        <v>592.45399999999995</v>
      </c>
      <c r="GU86" s="58">
        <v>354.01600000000002</v>
      </c>
      <c r="GV86" s="58">
        <v>238.43799999999999</v>
      </c>
      <c r="GW86" s="58">
        <v>269.024</v>
      </c>
      <c r="GX86" s="58">
        <v>191.83</v>
      </c>
      <c r="GY86" s="58">
        <v>77.194000000000003</v>
      </c>
      <c r="GZ86" s="58">
        <v>323.43</v>
      </c>
      <c r="HA86" s="58">
        <v>162.18600000000001</v>
      </c>
      <c r="HB86" s="58">
        <v>161.244</v>
      </c>
      <c r="HC86" s="58">
        <v>71.887</v>
      </c>
      <c r="HD86" s="58">
        <v>45.347000000000001</v>
      </c>
      <c r="HE86" s="58">
        <v>26.54</v>
      </c>
      <c r="HF86" s="58">
        <v>37.543999999999997</v>
      </c>
      <c r="HG86" s="58">
        <v>24.012</v>
      </c>
      <c r="HH86" s="58">
        <v>13.531000000000001</v>
      </c>
      <c r="HI86" s="58">
        <v>15.081</v>
      </c>
      <c r="HJ86" s="58">
        <v>11.912000000000001</v>
      </c>
      <c r="HK86" s="58">
        <v>3.1680000000000001</v>
      </c>
      <c r="HL86" s="58">
        <v>11.321</v>
      </c>
      <c r="HM86" s="58">
        <v>8.5579999999999998</v>
      </c>
      <c r="HN86" s="58">
        <v>2.7629999999999999</v>
      </c>
      <c r="HO86" s="58">
        <v>3.76</v>
      </c>
      <c r="HP86" s="58">
        <v>3.355</v>
      </c>
      <c r="HQ86" s="58">
        <v>0.40500000000000003</v>
      </c>
      <c r="HR86" s="58">
        <v>22.463000000000001</v>
      </c>
      <c r="HS86" s="58">
        <v>12.1</v>
      </c>
      <c r="HT86" s="58">
        <v>10.363</v>
      </c>
      <c r="HU86" s="58">
        <v>39.829000000000001</v>
      </c>
      <c r="HV86" s="58">
        <v>25.521000000000001</v>
      </c>
      <c r="HW86" s="58">
        <v>14.308</v>
      </c>
      <c r="HX86" s="58">
        <v>10.28</v>
      </c>
      <c r="HY86" s="58">
        <v>8.4640000000000004</v>
      </c>
      <c r="HZ86" s="58">
        <v>1.8160000000000001</v>
      </c>
      <c r="IA86" s="58">
        <v>29.548999999999999</v>
      </c>
      <c r="IB86" s="58">
        <v>17.056999999999999</v>
      </c>
      <c r="IC86" s="58">
        <v>12.492000000000001</v>
      </c>
      <c r="ID86" s="58">
        <v>24.690999999999999</v>
      </c>
      <c r="IE86" s="58">
        <v>19.706</v>
      </c>
      <c r="IF86" s="58">
        <v>4.984</v>
      </c>
      <c r="IG86" s="58">
        <v>47.195999999999998</v>
      </c>
      <c r="IH86" s="58">
        <v>25.64</v>
      </c>
      <c r="II86" s="58">
        <v>21.556000000000001</v>
      </c>
      <c r="IJ86" s="58">
        <v>40.869999999999997</v>
      </c>
      <c r="IK86" s="58">
        <v>25.614999999999998</v>
      </c>
      <c r="IL86" s="58">
        <v>15.255000000000001</v>
      </c>
      <c r="IM86" s="58">
        <v>4056.8589999999999</v>
      </c>
      <c r="IN86" s="58">
        <v>2131.498</v>
      </c>
      <c r="IO86" s="58">
        <v>1925.3610000000001</v>
      </c>
      <c r="IP86" s="58">
        <v>2784.6329999999998</v>
      </c>
      <c r="IQ86" s="58">
        <v>1703.403</v>
      </c>
    </row>
    <row r="87" spans="1:251">
      <c r="A87" s="5">
        <v>44136</v>
      </c>
      <c r="B87" s="58">
        <v>22.567</v>
      </c>
      <c r="C87" s="58">
        <v>27.661000000000001</v>
      </c>
      <c r="D87" s="58">
        <v>414.99099999999999</v>
      </c>
      <c r="E87" s="58">
        <v>240.595</v>
      </c>
      <c r="F87" s="58">
        <v>174.39599999999999</v>
      </c>
      <c r="G87" s="58">
        <v>183.864</v>
      </c>
      <c r="H87" s="58">
        <v>138.63300000000001</v>
      </c>
      <c r="I87" s="58">
        <v>45.231000000000002</v>
      </c>
      <c r="J87" s="58">
        <v>231.12700000000001</v>
      </c>
      <c r="K87" s="58">
        <v>101.962</v>
      </c>
      <c r="L87" s="58">
        <v>129.16499999999999</v>
      </c>
      <c r="M87" s="58">
        <v>236.334</v>
      </c>
      <c r="N87" s="58">
        <v>176.74100000000001</v>
      </c>
      <c r="O87" s="58">
        <v>59.594000000000001</v>
      </c>
      <c r="P87" s="58">
        <v>253.05799999999999</v>
      </c>
      <c r="Q87" s="58">
        <v>110.334</v>
      </c>
      <c r="R87" s="58">
        <v>142.72300000000001</v>
      </c>
      <c r="S87" s="58">
        <v>283.911</v>
      </c>
      <c r="T87" s="58">
        <v>142.61199999999999</v>
      </c>
      <c r="U87" s="58">
        <v>141.30000000000001</v>
      </c>
      <c r="V87" s="58">
        <v>2855.7669999999998</v>
      </c>
      <c r="W87" s="58">
        <v>1522.5170000000001</v>
      </c>
      <c r="X87" s="58">
        <v>1333.25</v>
      </c>
      <c r="Y87" s="58">
        <v>2130.6590000000001</v>
      </c>
      <c r="Z87" s="58">
        <v>1385.7249999999999</v>
      </c>
      <c r="AA87" s="58">
        <v>744.93399999999997</v>
      </c>
      <c r="AB87" s="58">
        <v>725.10699999999997</v>
      </c>
      <c r="AC87" s="58">
        <v>136.792</v>
      </c>
      <c r="AD87" s="58">
        <v>588.31600000000003</v>
      </c>
      <c r="AE87" s="58">
        <v>377.28899999999999</v>
      </c>
      <c r="AF87" s="58">
        <v>195.922</v>
      </c>
      <c r="AG87" s="58">
        <v>181.36699999999999</v>
      </c>
      <c r="AH87" s="58">
        <v>110.00700000000001</v>
      </c>
      <c r="AI87" s="58">
        <v>55.911000000000001</v>
      </c>
      <c r="AJ87" s="58">
        <v>54.095999999999997</v>
      </c>
      <c r="AK87" s="58">
        <v>63.722999999999999</v>
      </c>
      <c r="AL87" s="58">
        <v>42.243000000000002</v>
      </c>
      <c r="AM87" s="58">
        <v>21.48</v>
      </c>
      <c r="AN87" s="58">
        <v>46.286000000000001</v>
      </c>
      <c r="AO87" s="58">
        <v>27.388999999999999</v>
      </c>
      <c r="AP87" s="58">
        <v>18.896000000000001</v>
      </c>
      <c r="AQ87" s="58">
        <v>17.437000000000001</v>
      </c>
      <c r="AR87" s="58">
        <v>14.853</v>
      </c>
      <c r="AS87" s="58">
        <v>2.5840000000000001</v>
      </c>
      <c r="AT87" s="58">
        <v>46.283999999999999</v>
      </c>
      <c r="AU87" s="58">
        <v>13.667999999999999</v>
      </c>
      <c r="AV87" s="58">
        <v>32.616</v>
      </c>
      <c r="AW87" s="58">
        <v>316.94200000000001</v>
      </c>
      <c r="AX87" s="58">
        <v>167.827</v>
      </c>
      <c r="AY87" s="58">
        <v>149.11500000000001</v>
      </c>
      <c r="AZ87" s="58">
        <v>154.054</v>
      </c>
      <c r="BA87" s="58">
        <v>118.261</v>
      </c>
      <c r="BB87" s="58">
        <v>35.793999999999997</v>
      </c>
      <c r="BC87" s="58">
        <v>162.88800000000001</v>
      </c>
      <c r="BD87" s="58">
        <v>49.566000000000003</v>
      </c>
      <c r="BE87" s="58">
        <v>113.322</v>
      </c>
      <c r="BF87" s="58">
        <v>191.46299999999999</v>
      </c>
      <c r="BG87" s="58">
        <v>141.28899999999999</v>
      </c>
      <c r="BH87" s="58">
        <v>50.173999999999999</v>
      </c>
      <c r="BI87" s="58">
        <v>185.82599999999999</v>
      </c>
      <c r="BJ87" s="58">
        <v>54.633000000000003</v>
      </c>
      <c r="BK87" s="58">
        <v>131.19300000000001</v>
      </c>
      <c r="BL87" s="58">
        <v>209.173</v>
      </c>
      <c r="BM87" s="58">
        <v>76.954999999999998</v>
      </c>
      <c r="BN87" s="58">
        <v>132.21799999999999</v>
      </c>
      <c r="BO87" s="58">
        <v>2624.7289999999998</v>
      </c>
      <c r="BP87" s="58">
        <v>1355.0540000000001</v>
      </c>
      <c r="BQ87" s="58">
        <v>1269.675</v>
      </c>
      <c r="BR87" s="58">
        <v>1969.556</v>
      </c>
      <c r="BS87" s="58">
        <v>1205.7860000000001</v>
      </c>
      <c r="BT87" s="58">
        <v>763.76900000000001</v>
      </c>
      <c r="BU87" s="58">
        <v>655.173</v>
      </c>
      <c r="BV87" s="58">
        <v>149.268</v>
      </c>
      <c r="BW87" s="58">
        <v>505.90499999999997</v>
      </c>
      <c r="BX87" s="58">
        <v>365.80099999999999</v>
      </c>
      <c r="BY87" s="58">
        <v>194.30199999999999</v>
      </c>
      <c r="BZ87" s="58">
        <v>171.499</v>
      </c>
      <c r="CA87" s="58">
        <v>122.755</v>
      </c>
      <c r="CB87" s="58">
        <v>75.218999999999994</v>
      </c>
      <c r="CC87" s="58">
        <v>47.536000000000001</v>
      </c>
      <c r="CD87" s="58">
        <v>73.921999999999997</v>
      </c>
      <c r="CE87" s="58">
        <v>54.597000000000001</v>
      </c>
      <c r="CF87" s="58">
        <v>19.324999999999999</v>
      </c>
      <c r="CG87" s="58">
        <v>53.973999999999997</v>
      </c>
      <c r="CH87" s="58">
        <v>38.947000000000003</v>
      </c>
      <c r="CI87" s="58">
        <v>15.026999999999999</v>
      </c>
      <c r="CJ87" s="58">
        <v>19.946999999999999</v>
      </c>
      <c r="CK87" s="58">
        <v>15.65</v>
      </c>
      <c r="CL87" s="58">
        <v>4.298</v>
      </c>
      <c r="CM87" s="58">
        <v>48.832999999999998</v>
      </c>
      <c r="CN87" s="58">
        <v>20.622</v>
      </c>
      <c r="CO87" s="58">
        <v>28.212</v>
      </c>
      <c r="CP87" s="58">
        <v>287.322</v>
      </c>
      <c r="CQ87" s="58">
        <v>145.739</v>
      </c>
      <c r="CR87" s="58">
        <v>141.583</v>
      </c>
      <c r="CS87" s="58">
        <v>125.881</v>
      </c>
      <c r="CT87" s="58">
        <v>92.796999999999997</v>
      </c>
      <c r="CU87" s="58">
        <v>33.084000000000003</v>
      </c>
      <c r="CV87" s="58">
        <v>161.441</v>
      </c>
      <c r="CW87" s="58">
        <v>52.942</v>
      </c>
      <c r="CX87" s="58">
        <v>108.499</v>
      </c>
      <c r="CY87" s="58">
        <v>182.80699999999999</v>
      </c>
      <c r="CZ87" s="58">
        <v>133.821</v>
      </c>
      <c r="DA87" s="58">
        <v>48.985999999999997</v>
      </c>
      <c r="DB87" s="58">
        <v>182.994</v>
      </c>
      <c r="DC87" s="58">
        <v>60.481000000000002</v>
      </c>
      <c r="DD87" s="58">
        <v>122.51300000000001</v>
      </c>
      <c r="DE87" s="58">
        <v>215.41499999999999</v>
      </c>
      <c r="DF87" s="58">
        <v>91.888999999999996</v>
      </c>
      <c r="DG87" s="58">
        <v>123.526</v>
      </c>
      <c r="DH87" s="58">
        <v>2555.7260000000001</v>
      </c>
      <c r="DI87" s="58">
        <v>1390.5989999999999</v>
      </c>
      <c r="DJ87" s="58">
        <v>1165.127</v>
      </c>
      <c r="DK87" s="58">
        <v>1589.0889999999999</v>
      </c>
      <c r="DL87" s="58">
        <v>1040.9760000000001</v>
      </c>
      <c r="DM87" s="58">
        <v>548.11199999999997</v>
      </c>
      <c r="DN87" s="58">
        <v>966.63699999999994</v>
      </c>
      <c r="DO87" s="58">
        <v>349.62200000000001</v>
      </c>
      <c r="DP87" s="58">
        <v>617.01499999999999</v>
      </c>
      <c r="DQ87" s="58">
        <v>316.66800000000001</v>
      </c>
      <c r="DR87" s="58">
        <v>177.72</v>
      </c>
      <c r="DS87" s="58">
        <v>138.94800000000001</v>
      </c>
      <c r="DT87" s="58">
        <v>130.066</v>
      </c>
      <c r="DU87" s="58">
        <v>80.268000000000001</v>
      </c>
      <c r="DV87" s="58">
        <v>49.798000000000002</v>
      </c>
      <c r="DW87" s="58">
        <v>62.268000000000001</v>
      </c>
      <c r="DX87" s="58">
        <v>48.654000000000003</v>
      </c>
      <c r="DY87" s="58">
        <v>13.614000000000001</v>
      </c>
      <c r="DZ87" s="58">
        <v>43.911999999999999</v>
      </c>
      <c r="EA87" s="58">
        <v>31.509</v>
      </c>
      <c r="EB87" s="58">
        <v>12.403</v>
      </c>
      <c r="EC87" s="58">
        <v>18.356000000000002</v>
      </c>
      <c r="ED87" s="58">
        <v>17.145</v>
      </c>
      <c r="EE87" s="58">
        <v>1.2110000000000001</v>
      </c>
      <c r="EF87" s="58">
        <v>67.799000000000007</v>
      </c>
      <c r="EG87" s="58">
        <v>31.614000000000001</v>
      </c>
      <c r="EH87" s="58">
        <v>36.185000000000002</v>
      </c>
      <c r="EI87" s="58">
        <v>224.05500000000001</v>
      </c>
      <c r="EJ87" s="58">
        <v>119.22499999999999</v>
      </c>
      <c r="EK87" s="58">
        <v>104.83</v>
      </c>
      <c r="EL87" s="58">
        <v>70.013000000000005</v>
      </c>
      <c r="EM87" s="58">
        <v>51.506</v>
      </c>
      <c r="EN87" s="58">
        <v>18.507000000000001</v>
      </c>
      <c r="EO87" s="58">
        <v>154.04300000000001</v>
      </c>
      <c r="EP87" s="58">
        <v>67.718999999999994</v>
      </c>
      <c r="EQ87" s="58">
        <v>86.323999999999998</v>
      </c>
      <c r="ER87" s="58">
        <v>121.68899999999999</v>
      </c>
      <c r="ES87" s="58">
        <v>92.265000000000001</v>
      </c>
      <c r="ET87" s="58">
        <v>29.422999999999998</v>
      </c>
      <c r="EU87" s="58">
        <v>194.98</v>
      </c>
      <c r="EV87" s="58">
        <v>85.454999999999998</v>
      </c>
      <c r="EW87" s="58">
        <v>109.52500000000001</v>
      </c>
      <c r="EX87" s="58">
        <v>197.95400000000001</v>
      </c>
      <c r="EY87" s="58">
        <v>99.227999999999994</v>
      </c>
      <c r="EZ87" s="58">
        <v>98.725999999999999</v>
      </c>
      <c r="FA87" s="58">
        <v>1938.5809999999999</v>
      </c>
      <c r="FB87" s="58">
        <v>1021.246</v>
      </c>
      <c r="FC87" s="58">
        <v>917.33500000000004</v>
      </c>
      <c r="FD87" s="58">
        <v>1323.9659999999999</v>
      </c>
      <c r="FE87" s="58">
        <v>850.35299999999995</v>
      </c>
      <c r="FF87" s="58">
        <v>473.613</v>
      </c>
      <c r="FG87" s="58">
        <v>614.61500000000001</v>
      </c>
      <c r="FH87" s="58">
        <v>170.893</v>
      </c>
      <c r="FI87" s="58">
        <v>443.72199999999998</v>
      </c>
      <c r="FJ87" s="58">
        <v>238.1</v>
      </c>
      <c r="FK87" s="58">
        <v>125.652</v>
      </c>
      <c r="FL87" s="58">
        <v>112.447</v>
      </c>
      <c r="FM87" s="58">
        <v>90.4</v>
      </c>
      <c r="FN87" s="58">
        <v>53.832999999999998</v>
      </c>
      <c r="FO87" s="58">
        <v>36.567</v>
      </c>
      <c r="FP87" s="58">
        <v>49.771000000000001</v>
      </c>
      <c r="FQ87" s="58">
        <v>38.026000000000003</v>
      </c>
      <c r="FR87" s="58">
        <v>11.744999999999999</v>
      </c>
      <c r="FS87" s="58">
        <v>34.906999999999996</v>
      </c>
      <c r="FT87" s="58">
        <v>23.937000000000001</v>
      </c>
      <c r="FU87" s="58">
        <v>10.97</v>
      </c>
      <c r="FV87" s="58">
        <v>14.864000000000001</v>
      </c>
      <c r="FW87" s="58">
        <v>14.089</v>
      </c>
      <c r="FX87" s="58">
        <v>0.77500000000000002</v>
      </c>
      <c r="FY87" s="58">
        <v>40.628999999999998</v>
      </c>
      <c r="FZ87" s="58">
        <v>15.807</v>
      </c>
      <c r="GA87" s="58">
        <v>24.821999999999999</v>
      </c>
      <c r="GB87" s="58">
        <v>178.97200000000001</v>
      </c>
      <c r="GC87" s="58">
        <v>88.619</v>
      </c>
      <c r="GD87" s="58">
        <v>90.352999999999994</v>
      </c>
      <c r="GE87" s="58">
        <v>60.561999999999998</v>
      </c>
      <c r="GF87" s="58">
        <v>43.463999999999999</v>
      </c>
      <c r="GG87" s="58">
        <v>17.097999999999999</v>
      </c>
      <c r="GH87" s="58">
        <v>118.41</v>
      </c>
      <c r="GI87" s="58">
        <v>45.155000000000001</v>
      </c>
      <c r="GJ87" s="58">
        <v>73.254999999999995</v>
      </c>
      <c r="GK87" s="58">
        <v>101.489</v>
      </c>
      <c r="GL87" s="58">
        <v>74.947999999999993</v>
      </c>
      <c r="GM87" s="58">
        <v>26.541</v>
      </c>
      <c r="GN87" s="58">
        <v>136.61099999999999</v>
      </c>
      <c r="GO87" s="58">
        <v>50.704999999999998</v>
      </c>
      <c r="GP87" s="58">
        <v>85.906000000000006</v>
      </c>
      <c r="GQ87" s="58">
        <v>153.31700000000001</v>
      </c>
      <c r="GR87" s="58">
        <v>69.091999999999999</v>
      </c>
      <c r="GS87" s="58">
        <v>84.224999999999994</v>
      </c>
      <c r="GT87" s="58">
        <v>617.14499999999998</v>
      </c>
      <c r="GU87" s="58">
        <v>369.35300000000001</v>
      </c>
      <c r="GV87" s="58">
        <v>247.792</v>
      </c>
      <c r="GW87" s="58">
        <v>265.12299999999999</v>
      </c>
      <c r="GX87" s="58">
        <v>190.62299999999999</v>
      </c>
      <c r="GY87" s="58">
        <v>74.5</v>
      </c>
      <c r="GZ87" s="58">
        <v>352.02199999999999</v>
      </c>
      <c r="HA87" s="58">
        <v>178.72900000000001</v>
      </c>
      <c r="HB87" s="58">
        <v>173.29300000000001</v>
      </c>
      <c r="HC87" s="58">
        <v>78.569000000000003</v>
      </c>
      <c r="HD87" s="58">
        <v>52.067999999999998</v>
      </c>
      <c r="HE87" s="58">
        <v>26.501000000000001</v>
      </c>
      <c r="HF87" s="58">
        <v>39.665999999999997</v>
      </c>
      <c r="HG87" s="58">
        <v>26.434999999999999</v>
      </c>
      <c r="HH87" s="58">
        <v>13.231</v>
      </c>
      <c r="HI87" s="58">
        <v>12.496</v>
      </c>
      <c r="HJ87" s="58">
        <v>10.628</v>
      </c>
      <c r="HK87" s="58">
        <v>1.869</v>
      </c>
      <c r="HL87" s="58">
        <v>9.0039999999999996</v>
      </c>
      <c r="HM87" s="58">
        <v>7.5720000000000001</v>
      </c>
      <c r="HN87" s="58">
        <v>1.4319999999999999</v>
      </c>
      <c r="HO87" s="58">
        <v>3.492</v>
      </c>
      <c r="HP87" s="58">
        <v>3.056</v>
      </c>
      <c r="HQ87" s="58">
        <v>0.436</v>
      </c>
      <c r="HR87" s="58">
        <v>27.169</v>
      </c>
      <c r="HS87" s="58">
        <v>15.807</v>
      </c>
      <c r="HT87" s="58">
        <v>11.362</v>
      </c>
      <c r="HU87" s="58">
        <v>45.084000000000003</v>
      </c>
      <c r="HV87" s="58">
        <v>30.606000000000002</v>
      </c>
      <c r="HW87" s="58">
        <v>14.478</v>
      </c>
      <c r="HX87" s="58">
        <v>9.4499999999999993</v>
      </c>
      <c r="HY87" s="58">
        <v>8.0410000000000004</v>
      </c>
      <c r="HZ87" s="58">
        <v>1.409</v>
      </c>
      <c r="IA87" s="58">
        <v>35.633000000000003</v>
      </c>
      <c r="IB87" s="58">
        <v>22.564</v>
      </c>
      <c r="IC87" s="58">
        <v>13.069000000000001</v>
      </c>
      <c r="ID87" s="58">
        <v>20.199000000000002</v>
      </c>
      <c r="IE87" s="58">
        <v>17.318000000000001</v>
      </c>
      <c r="IF87" s="58">
        <v>2.8820000000000001</v>
      </c>
      <c r="IG87" s="58">
        <v>58.369</v>
      </c>
      <c r="IH87" s="58">
        <v>34.75</v>
      </c>
      <c r="II87" s="58">
        <v>23.619</v>
      </c>
      <c r="IJ87" s="58">
        <v>44.637</v>
      </c>
      <c r="IK87" s="58">
        <v>30.135999999999999</v>
      </c>
      <c r="IL87" s="58">
        <v>14.500999999999999</v>
      </c>
      <c r="IM87" s="58">
        <v>4100.424</v>
      </c>
      <c r="IN87" s="58">
        <v>2166.761</v>
      </c>
      <c r="IO87" s="58">
        <v>1933.663</v>
      </c>
      <c r="IP87" s="58">
        <v>2853.846</v>
      </c>
      <c r="IQ87" s="58">
        <v>1736.63</v>
      </c>
    </row>
    <row r="88" spans="1:251">
      <c r="A88" s="5">
        <v>44166</v>
      </c>
      <c r="B88" s="58">
        <v>14.375</v>
      </c>
      <c r="C88" s="58">
        <v>26.869</v>
      </c>
      <c r="D88" s="58">
        <v>383.33</v>
      </c>
      <c r="E88" s="58">
        <v>216.364</v>
      </c>
      <c r="F88" s="58">
        <v>166.96600000000001</v>
      </c>
      <c r="G88" s="58">
        <v>168.53899999999999</v>
      </c>
      <c r="H88" s="58">
        <v>132.57300000000001</v>
      </c>
      <c r="I88" s="58">
        <v>35.966000000000001</v>
      </c>
      <c r="J88" s="58">
        <v>214.792</v>
      </c>
      <c r="K88" s="58">
        <v>83.790999999999997</v>
      </c>
      <c r="L88" s="58">
        <v>131</v>
      </c>
      <c r="M88" s="58">
        <v>205.12299999999999</v>
      </c>
      <c r="N88" s="58">
        <v>156.94300000000001</v>
      </c>
      <c r="O88" s="58">
        <v>48.18</v>
      </c>
      <c r="P88" s="58">
        <v>234.14699999999999</v>
      </c>
      <c r="Q88" s="58">
        <v>87.436000000000007</v>
      </c>
      <c r="R88" s="58">
        <v>146.71100000000001</v>
      </c>
      <c r="S88" s="58">
        <v>253.63200000000001</v>
      </c>
      <c r="T88" s="58">
        <v>111.13500000000001</v>
      </c>
      <c r="U88" s="58">
        <v>142.49799999999999</v>
      </c>
      <c r="V88" s="58">
        <v>2882.8719999999998</v>
      </c>
      <c r="W88" s="58">
        <v>1524.5150000000001</v>
      </c>
      <c r="X88" s="58">
        <v>1358.357</v>
      </c>
      <c r="Y88" s="58">
        <v>2146.2310000000002</v>
      </c>
      <c r="Z88" s="58">
        <v>1387.913</v>
      </c>
      <c r="AA88" s="58">
        <v>758.31799999999998</v>
      </c>
      <c r="AB88" s="58">
        <v>736.64099999999996</v>
      </c>
      <c r="AC88" s="58">
        <v>136.601</v>
      </c>
      <c r="AD88" s="58">
        <v>600.03899999999999</v>
      </c>
      <c r="AE88" s="58">
        <v>376.99</v>
      </c>
      <c r="AF88" s="58">
        <v>200.37799999999999</v>
      </c>
      <c r="AG88" s="58">
        <v>176.61199999999999</v>
      </c>
      <c r="AH88" s="58">
        <v>98.504000000000005</v>
      </c>
      <c r="AI88" s="58">
        <v>55.177</v>
      </c>
      <c r="AJ88" s="58">
        <v>43.328000000000003</v>
      </c>
      <c r="AK88" s="58">
        <v>59.290999999999997</v>
      </c>
      <c r="AL88" s="58">
        <v>43.554000000000002</v>
      </c>
      <c r="AM88" s="58">
        <v>15.737</v>
      </c>
      <c r="AN88" s="58">
        <v>36.622999999999998</v>
      </c>
      <c r="AO88" s="58">
        <v>26.405999999999999</v>
      </c>
      <c r="AP88" s="58">
        <v>10.217000000000001</v>
      </c>
      <c r="AQ88" s="58">
        <v>22.669</v>
      </c>
      <c r="AR88" s="58">
        <v>17.149000000000001</v>
      </c>
      <c r="AS88" s="58">
        <v>5.52</v>
      </c>
      <c r="AT88" s="58">
        <v>39.213000000000001</v>
      </c>
      <c r="AU88" s="58">
        <v>11.622</v>
      </c>
      <c r="AV88" s="58">
        <v>27.591000000000001</v>
      </c>
      <c r="AW88" s="58">
        <v>311.84899999999999</v>
      </c>
      <c r="AX88" s="58">
        <v>164.93799999999999</v>
      </c>
      <c r="AY88" s="58">
        <v>146.911</v>
      </c>
      <c r="AZ88" s="58">
        <v>142.03800000000001</v>
      </c>
      <c r="BA88" s="58">
        <v>113.815</v>
      </c>
      <c r="BB88" s="58">
        <v>28.222999999999999</v>
      </c>
      <c r="BC88" s="58">
        <v>169.81200000000001</v>
      </c>
      <c r="BD88" s="58">
        <v>51.124000000000002</v>
      </c>
      <c r="BE88" s="58">
        <v>118.688</v>
      </c>
      <c r="BF88" s="58">
        <v>186.65700000000001</v>
      </c>
      <c r="BG88" s="58">
        <v>144.19</v>
      </c>
      <c r="BH88" s="58">
        <v>42.466999999999999</v>
      </c>
      <c r="BI88" s="58">
        <v>190.333</v>
      </c>
      <c r="BJ88" s="58">
        <v>56.188000000000002</v>
      </c>
      <c r="BK88" s="58">
        <v>134.14500000000001</v>
      </c>
      <c r="BL88" s="58">
        <v>206.434</v>
      </c>
      <c r="BM88" s="58">
        <v>77.528999999999996</v>
      </c>
      <c r="BN88" s="58">
        <v>128.905</v>
      </c>
      <c r="BO88" s="58">
        <v>2620.7829999999999</v>
      </c>
      <c r="BP88" s="58">
        <v>1340.325</v>
      </c>
      <c r="BQ88" s="58">
        <v>1280.4580000000001</v>
      </c>
      <c r="BR88" s="58">
        <v>1968.489</v>
      </c>
      <c r="BS88" s="58">
        <v>1186.674</v>
      </c>
      <c r="BT88" s="58">
        <v>781.81500000000005</v>
      </c>
      <c r="BU88" s="58">
        <v>652.29399999999998</v>
      </c>
      <c r="BV88" s="58">
        <v>153.65100000000001</v>
      </c>
      <c r="BW88" s="58">
        <v>498.64299999999997</v>
      </c>
      <c r="BX88" s="58">
        <v>338.61500000000001</v>
      </c>
      <c r="BY88" s="58">
        <v>174.82900000000001</v>
      </c>
      <c r="BZ88" s="58">
        <v>163.785</v>
      </c>
      <c r="CA88" s="58">
        <v>89.013999999999996</v>
      </c>
      <c r="CB88" s="58">
        <v>52.576000000000001</v>
      </c>
      <c r="CC88" s="58">
        <v>36.438000000000002</v>
      </c>
      <c r="CD88" s="58">
        <v>51.131</v>
      </c>
      <c r="CE88" s="58">
        <v>35.098999999999997</v>
      </c>
      <c r="CF88" s="58">
        <v>16.030999999999999</v>
      </c>
      <c r="CG88" s="58">
        <v>35.710999999999999</v>
      </c>
      <c r="CH88" s="58">
        <v>25.646000000000001</v>
      </c>
      <c r="CI88" s="58">
        <v>10.065</v>
      </c>
      <c r="CJ88" s="58">
        <v>15.42</v>
      </c>
      <c r="CK88" s="58">
        <v>9.4529999999999994</v>
      </c>
      <c r="CL88" s="58">
        <v>5.9669999999999996</v>
      </c>
      <c r="CM88" s="58">
        <v>37.883000000000003</v>
      </c>
      <c r="CN88" s="58">
        <v>17.477</v>
      </c>
      <c r="CO88" s="58">
        <v>20.405999999999999</v>
      </c>
      <c r="CP88" s="58">
        <v>286.14299999999997</v>
      </c>
      <c r="CQ88" s="58">
        <v>144.68899999999999</v>
      </c>
      <c r="CR88" s="58">
        <v>141.45400000000001</v>
      </c>
      <c r="CS88" s="58">
        <v>118.905</v>
      </c>
      <c r="CT88" s="58">
        <v>86.242000000000004</v>
      </c>
      <c r="CU88" s="58">
        <v>32.662999999999997</v>
      </c>
      <c r="CV88" s="58">
        <v>167.238</v>
      </c>
      <c r="CW88" s="58">
        <v>58.447000000000003</v>
      </c>
      <c r="CX88" s="58">
        <v>108.791</v>
      </c>
      <c r="CY88" s="58">
        <v>157.88</v>
      </c>
      <c r="CZ88" s="58">
        <v>112.29</v>
      </c>
      <c r="DA88" s="58">
        <v>45.59</v>
      </c>
      <c r="DB88" s="58">
        <v>180.73500000000001</v>
      </c>
      <c r="DC88" s="58">
        <v>62.539000000000001</v>
      </c>
      <c r="DD88" s="58">
        <v>118.196</v>
      </c>
      <c r="DE88" s="58">
        <v>202.94900000000001</v>
      </c>
      <c r="DF88" s="58">
        <v>84.093000000000004</v>
      </c>
      <c r="DG88" s="58">
        <v>118.85599999999999</v>
      </c>
      <c r="DH88" s="58">
        <v>2557.34</v>
      </c>
      <c r="DI88" s="58">
        <v>1400.8710000000001</v>
      </c>
      <c r="DJ88" s="58">
        <v>1156.4690000000001</v>
      </c>
      <c r="DK88" s="58">
        <v>1620.39</v>
      </c>
      <c r="DL88" s="58">
        <v>1061.2149999999999</v>
      </c>
      <c r="DM88" s="58">
        <v>559.17499999999995</v>
      </c>
      <c r="DN88" s="58">
        <v>936.95</v>
      </c>
      <c r="DO88" s="58">
        <v>339.65600000000001</v>
      </c>
      <c r="DP88" s="58">
        <v>597.29399999999998</v>
      </c>
      <c r="DQ88" s="58">
        <v>284.46899999999999</v>
      </c>
      <c r="DR88" s="58">
        <v>155.32400000000001</v>
      </c>
      <c r="DS88" s="58">
        <v>129.14500000000001</v>
      </c>
      <c r="DT88" s="58">
        <v>107.46</v>
      </c>
      <c r="DU88" s="58">
        <v>65.210999999999999</v>
      </c>
      <c r="DV88" s="58">
        <v>42.249000000000002</v>
      </c>
      <c r="DW88" s="58">
        <v>50.454999999999998</v>
      </c>
      <c r="DX88" s="58">
        <v>38.331000000000003</v>
      </c>
      <c r="DY88" s="58">
        <v>12.124000000000001</v>
      </c>
      <c r="DZ88" s="58">
        <v>36.475999999999999</v>
      </c>
      <c r="EA88" s="58">
        <v>25.422999999999998</v>
      </c>
      <c r="EB88" s="58">
        <v>11.052</v>
      </c>
      <c r="EC88" s="58">
        <v>13.98</v>
      </c>
      <c r="ED88" s="58">
        <v>12.907999999999999</v>
      </c>
      <c r="EE88" s="58">
        <v>1.0720000000000001</v>
      </c>
      <c r="EF88" s="58">
        <v>57.005000000000003</v>
      </c>
      <c r="EG88" s="58">
        <v>26.88</v>
      </c>
      <c r="EH88" s="58">
        <v>30.125</v>
      </c>
      <c r="EI88" s="58">
        <v>207.584</v>
      </c>
      <c r="EJ88" s="58">
        <v>108.74299999999999</v>
      </c>
      <c r="EK88" s="58">
        <v>98.840999999999994</v>
      </c>
      <c r="EL88" s="58">
        <v>69.634</v>
      </c>
      <c r="EM88" s="58">
        <v>52.226999999999997</v>
      </c>
      <c r="EN88" s="58">
        <v>17.408000000000001</v>
      </c>
      <c r="EO88" s="58">
        <v>137.94900000000001</v>
      </c>
      <c r="EP88" s="58">
        <v>56.515999999999998</v>
      </c>
      <c r="EQ88" s="58">
        <v>81.433000000000007</v>
      </c>
      <c r="ER88" s="58">
        <v>108.486</v>
      </c>
      <c r="ES88" s="58">
        <v>81.602000000000004</v>
      </c>
      <c r="ET88" s="58">
        <v>26.884</v>
      </c>
      <c r="EU88" s="58">
        <v>175.983</v>
      </c>
      <c r="EV88" s="58">
        <v>73.721999999999994</v>
      </c>
      <c r="EW88" s="58">
        <v>102.261</v>
      </c>
      <c r="EX88" s="58">
        <v>174.42500000000001</v>
      </c>
      <c r="EY88" s="58">
        <v>81.938999999999993</v>
      </c>
      <c r="EZ88" s="58">
        <v>92.486000000000004</v>
      </c>
      <c r="FA88" s="58">
        <v>1929.2370000000001</v>
      </c>
      <c r="FB88" s="58">
        <v>1022.345</v>
      </c>
      <c r="FC88" s="58">
        <v>906.89200000000005</v>
      </c>
      <c r="FD88" s="58">
        <v>1338.182</v>
      </c>
      <c r="FE88" s="58">
        <v>856.00099999999998</v>
      </c>
      <c r="FF88" s="58">
        <v>482.18099999999998</v>
      </c>
      <c r="FG88" s="58">
        <v>591.05499999999995</v>
      </c>
      <c r="FH88" s="58">
        <v>166.34399999999999</v>
      </c>
      <c r="FI88" s="58">
        <v>424.71100000000001</v>
      </c>
      <c r="FJ88" s="58">
        <v>222.64400000000001</v>
      </c>
      <c r="FK88" s="58">
        <v>116.712</v>
      </c>
      <c r="FL88" s="58">
        <v>105.932</v>
      </c>
      <c r="FM88" s="58">
        <v>75.638999999999996</v>
      </c>
      <c r="FN88" s="58">
        <v>45.341000000000001</v>
      </c>
      <c r="FO88" s="58">
        <v>30.297999999999998</v>
      </c>
      <c r="FP88" s="58">
        <v>40.762</v>
      </c>
      <c r="FQ88" s="58">
        <v>30.315999999999999</v>
      </c>
      <c r="FR88" s="58">
        <v>10.446</v>
      </c>
      <c r="FS88" s="58">
        <v>29.390999999999998</v>
      </c>
      <c r="FT88" s="58">
        <v>20.016999999999999</v>
      </c>
      <c r="FU88" s="58">
        <v>9.3740000000000006</v>
      </c>
      <c r="FV88" s="58">
        <v>11.371</v>
      </c>
      <c r="FW88" s="58">
        <v>10.3</v>
      </c>
      <c r="FX88" s="58">
        <v>1.0720000000000001</v>
      </c>
      <c r="FY88" s="58">
        <v>34.875999999999998</v>
      </c>
      <c r="FZ88" s="58">
        <v>15.025</v>
      </c>
      <c r="GA88" s="58">
        <v>19.852</v>
      </c>
      <c r="GB88" s="58">
        <v>170.99799999999999</v>
      </c>
      <c r="GC88" s="58">
        <v>84.712000000000003</v>
      </c>
      <c r="GD88" s="58">
        <v>86.286000000000001</v>
      </c>
      <c r="GE88" s="58">
        <v>60.930999999999997</v>
      </c>
      <c r="GF88" s="58">
        <v>44.515999999999998</v>
      </c>
      <c r="GG88" s="58">
        <v>16.414999999999999</v>
      </c>
      <c r="GH88" s="58">
        <v>110.06699999999999</v>
      </c>
      <c r="GI88" s="58">
        <v>40.195</v>
      </c>
      <c r="GJ88" s="58">
        <v>69.872</v>
      </c>
      <c r="GK88" s="58">
        <v>93.841999999999999</v>
      </c>
      <c r="GL88" s="58">
        <v>69.128</v>
      </c>
      <c r="GM88" s="58">
        <v>24.715</v>
      </c>
      <c r="GN88" s="58">
        <v>128.80099999999999</v>
      </c>
      <c r="GO88" s="58">
        <v>47.584000000000003</v>
      </c>
      <c r="GP88" s="58">
        <v>81.216999999999999</v>
      </c>
      <c r="GQ88" s="58">
        <v>139.458</v>
      </c>
      <c r="GR88" s="58">
        <v>60.212000000000003</v>
      </c>
      <c r="GS88" s="58">
        <v>79.245999999999995</v>
      </c>
      <c r="GT88" s="58">
        <v>628.10299999999995</v>
      </c>
      <c r="GU88" s="58">
        <v>378.52499999999998</v>
      </c>
      <c r="GV88" s="58">
        <v>249.577</v>
      </c>
      <c r="GW88" s="58">
        <v>282.20800000000003</v>
      </c>
      <c r="GX88" s="58">
        <v>205.214</v>
      </c>
      <c r="GY88" s="58">
        <v>76.994</v>
      </c>
      <c r="GZ88" s="58">
        <v>345.89499999999998</v>
      </c>
      <c r="HA88" s="58">
        <v>173.31200000000001</v>
      </c>
      <c r="HB88" s="58">
        <v>172.583</v>
      </c>
      <c r="HC88" s="58">
        <v>61.826000000000001</v>
      </c>
      <c r="HD88" s="58">
        <v>38.612000000000002</v>
      </c>
      <c r="HE88" s="58">
        <v>23.213000000000001</v>
      </c>
      <c r="HF88" s="58">
        <v>31.821000000000002</v>
      </c>
      <c r="HG88" s="58">
        <v>19.87</v>
      </c>
      <c r="HH88" s="58">
        <v>11.951000000000001</v>
      </c>
      <c r="HI88" s="58">
        <v>9.6929999999999996</v>
      </c>
      <c r="HJ88" s="58">
        <v>8.0150000000000006</v>
      </c>
      <c r="HK88" s="58">
        <v>1.6779999999999999</v>
      </c>
      <c r="HL88" s="58">
        <v>7.085</v>
      </c>
      <c r="HM88" s="58">
        <v>5.407</v>
      </c>
      <c r="HN88" s="58">
        <v>1.6779999999999999</v>
      </c>
      <c r="HO88" s="58">
        <v>2.6080000000000001</v>
      </c>
      <c r="HP88" s="58">
        <v>2.6080000000000001</v>
      </c>
      <c r="HQ88" s="58">
        <v>0</v>
      </c>
      <c r="HR88" s="58">
        <v>22.128</v>
      </c>
      <c r="HS88" s="58">
        <v>11.856</v>
      </c>
      <c r="HT88" s="58">
        <v>10.273</v>
      </c>
      <c r="HU88" s="58">
        <v>36.585999999999999</v>
      </c>
      <c r="HV88" s="58">
        <v>24.030999999999999</v>
      </c>
      <c r="HW88" s="58">
        <v>12.555</v>
      </c>
      <c r="HX88" s="58">
        <v>8.7040000000000006</v>
      </c>
      <c r="HY88" s="58">
        <v>7.7110000000000003</v>
      </c>
      <c r="HZ88" s="58">
        <v>0.99299999999999999</v>
      </c>
      <c r="IA88" s="58">
        <v>27.882000000000001</v>
      </c>
      <c r="IB88" s="58">
        <v>16.32</v>
      </c>
      <c r="IC88" s="58">
        <v>11.561999999999999</v>
      </c>
      <c r="ID88" s="58">
        <v>14.644</v>
      </c>
      <c r="IE88" s="58">
        <v>12.475</v>
      </c>
      <c r="IF88" s="58">
        <v>2.169</v>
      </c>
      <c r="IG88" s="58">
        <v>47.182000000000002</v>
      </c>
      <c r="IH88" s="58">
        <v>26.138000000000002</v>
      </c>
      <c r="II88" s="58">
        <v>21.044</v>
      </c>
      <c r="IJ88" s="58">
        <v>34.966999999999999</v>
      </c>
      <c r="IK88" s="58">
        <v>21.727</v>
      </c>
      <c r="IL88" s="58">
        <v>13.24</v>
      </c>
      <c r="IM88" s="58">
        <v>4121.93</v>
      </c>
      <c r="IN88" s="58">
        <v>2174.9960000000001</v>
      </c>
      <c r="IO88" s="58">
        <v>1946.934</v>
      </c>
      <c r="IP88" s="58">
        <v>2878.5650000000001</v>
      </c>
      <c r="IQ88" s="58">
        <v>1742.049</v>
      </c>
    </row>
    <row r="89" spans="1:251">
      <c r="A89" s="5">
        <v>44197</v>
      </c>
      <c r="B89" s="58">
        <v>14.571</v>
      </c>
      <c r="C89" s="58">
        <v>30.565999999999999</v>
      </c>
      <c r="D89" s="58">
        <v>380.15899999999999</v>
      </c>
      <c r="E89" s="58">
        <v>221.126</v>
      </c>
      <c r="F89" s="58">
        <v>159.03399999999999</v>
      </c>
      <c r="G89" s="58">
        <v>179.358</v>
      </c>
      <c r="H89" s="58">
        <v>138.721</v>
      </c>
      <c r="I89" s="58">
        <v>40.637</v>
      </c>
      <c r="J89" s="58">
        <v>200.80099999999999</v>
      </c>
      <c r="K89" s="58">
        <v>82.403999999999996</v>
      </c>
      <c r="L89" s="58">
        <v>118.39700000000001</v>
      </c>
      <c r="M89" s="58">
        <v>226.25200000000001</v>
      </c>
      <c r="N89" s="58">
        <v>169.745</v>
      </c>
      <c r="O89" s="58">
        <v>56.506999999999998</v>
      </c>
      <c r="P89" s="58">
        <v>223.797</v>
      </c>
      <c r="Q89" s="58">
        <v>88.816999999999993</v>
      </c>
      <c r="R89" s="58">
        <v>134.97999999999999</v>
      </c>
      <c r="S89" s="58">
        <v>243.857</v>
      </c>
      <c r="T89" s="58">
        <v>111.1</v>
      </c>
      <c r="U89" s="58">
        <v>132.75700000000001</v>
      </c>
      <c r="V89" s="58">
        <v>2835.058</v>
      </c>
      <c r="W89" s="58">
        <v>1514.175</v>
      </c>
      <c r="X89" s="58">
        <v>1320.883</v>
      </c>
      <c r="Y89" s="58">
        <v>2131.848</v>
      </c>
      <c r="Z89" s="58">
        <v>1380.509</v>
      </c>
      <c r="AA89" s="58">
        <v>751.33799999999997</v>
      </c>
      <c r="AB89" s="58">
        <v>703.21</v>
      </c>
      <c r="AC89" s="58">
        <v>133.66499999999999</v>
      </c>
      <c r="AD89" s="58">
        <v>569.54499999999996</v>
      </c>
      <c r="AE89" s="58">
        <v>358.08699999999999</v>
      </c>
      <c r="AF89" s="58">
        <v>192.26900000000001</v>
      </c>
      <c r="AG89" s="58">
        <v>165.81800000000001</v>
      </c>
      <c r="AH89" s="58">
        <v>97.709000000000003</v>
      </c>
      <c r="AI89" s="58">
        <v>56.107999999999997</v>
      </c>
      <c r="AJ89" s="58">
        <v>41.600999999999999</v>
      </c>
      <c r="AK89" s="58">
        <v>56.670999999999999</v>
      </c>
      <c r="AL89" s="58">
        <v>42.957000000000001</v>
      </c>
      <c r="AM89" s="58">
        <v>13.715</v>
      </c>
      <c r="AN89" s="58">
        <v>35.356000000000002</v>
      </c>
      <c r="AO89" s="58">
        <v>25.876000000000001</v>
      </c>
      <c r="AP89" s="58">
        <v>9.48</v>
      </c>
      <c r="AQ89" s="58">
        <v>21.315999999999999</v>
      </c>
      <c r="AR89" s="58">
        <v>17.081</v>
      </c>
      <c r="AS89" s="58">
        <v>4.2350000000000003</v>
      </c>
      <c r="AT89" s="58">
        <v>41.037999999999997</v>
      </c>
      <c r="AU89" s="58">
        <v>13.151</v>
      </c>
      <c r="AV89" s="58">
        <v>27.887</v>
      </c>
      <c r="AW89" s="58">
        <v>296.60700000000003</v>
      </c>
      <c r="AX89" s="58">
        <v>156.97</v>
      </c>
      <c r="AY89" s="58">
        <v>139.637</v>
      </c>
      <c r="AZ89" s="58">
        <v>141.71600000000001</v>
      </c>
      <c r="BA89" s="58">
        <v>109.158</v>
      </c>
      <c r="BB89" s="58">
        <v>32.558</v>
      </c>
      <c r="BC89" s="58">
        <v>154.88999999999999</v>
      </c>
      <c r="BD89" s="58">
        <v>47.811999999999998</v>
      </c>
      <c r="BE89" s="58">
        <v>107.07899999999999</v>
      </c>
      <c r="BF89" s="58">
        <v>181.005</v>
      </c>
      <c r="BG89" s="58">
        <v>137.46199999999999</v>
      </c>
      <c r="BH89" s="58">
        <v>43.542000000000002</v>
      </c>
      <c r="BI89" s="58">
        <v>177.083</v>
      </c>
      <c r="BJ89" s="58">
        <v>54.807000000000002</v>
      </c>
      <c r="BK89" s="58">
        <v>122.276</v>
      </c>
      <c r="BL89" s="58">
        <v>190.24600000000001</v>
      </c>
      <c r="BM89" s="58">
        <v>73.686999999999998</v>
      </c>
      <c r="BN89" s="58">
        <v>116.559</v>
      </c>
      <c r="BO89" s="58">
        <v>2567.8850000000002</v>
      </c>
      <c r="BP89" s="58">
        <v>1327.431</v>
      </c>
      <c r="BQ89" s="58">
        <v>1240.454</v>
      </c>
      <c r="BR89" s="58">
        <v>1932.4</v>
      </c>
      <c r="BS89" s="58">
        <v>1174.954</v>
      </c>
      <c r="BT89" s="58">
        <v>757.44600000000003</v>
      </c>
      <c r="BU89" s="58">
        <v>635.48500000000001</v>
      </c>
      <c r="BV89" s="58">
        <v>152.477</v>
      </c>
      <c r="BW89" s="58">
        <v>483.00799999999998</v>
      </c>
      <c r="BX89" s="58">
        <v>332.44400000000002</v>
      </c>
      <c r="BY89" s="58">
        <v>174.15</v>
      </c>
      <c r="BZ89" s="58">
        <v>158.29400000000001</v>
      </c>
      <c r="CA89" s="58">
        <v>90.111000000000004</v>
      </c>
      <c r="CB89" s="58">
        <v>58.218000000000004</v>
      </c>
      <c r="CC89" s="58">
        <v>31.893999999999998</v>
      </c>
      <c r="CD89" s="58">
        <v>54.902000000000001</v>
      </c>
      <c r="CE89" s="58">
        <v>41.655000000000001</v>
      </c>
      <c r="CF89" s="58">
        <v>13.247</v>
      </c>
      <c r="CG89" s="58">
        <v>35.985999999999997</v>
      </c>
      <c r="CH89" s="58">
        <v>26.295999999999999</v>
      </c>
      <c r="CI89" s="58">
        <v>9.69</v>
      </c>
      <c r="CJ89" s="58">
        <v>18.916</v>
      </c>
      <c r="CK89" s="58">
        <v>15.36</v>
      </c>
      <c r="CL89" s="58">
        <v>3.5569999999999999</v>
      </c>
      <c r="CM89" s="58">
        <v>35.21</v>
      </c>
      <c r="CN89" s="58">
        <v>16.562000000000001</v>
      </c>
      <c r="CO89" s="58">
        <v>18.646999999999998</v>
      </c>
      <c r="CP89" s="58">
        <v>280.54199999999997</v>
      </c>
      <c r="CQ89" s="58">
        <v>141.58199999999999</v>
      </c>
      <c r="CR89" s="58">
        <v>138.96</v>
      </c>
      <c r="CS89" s="58">
        <v>122.218</v>
      </c>
      <c r="CT89" s="58">
        <v>82.6</v>
      </c>
      <c r="CU89" s="58">
        <v>39.618000000000002</v>
      </c>
      <c r="CV89" s="58">
        <v>158.32400000000001</v>
      </c>
      <c r="CW89" s="58">
        <v>58.982999999999997</v>
      </c>
      <c r="CX89" s="58">
        <v>99.341999999999999</v>
      </c>
      <c r="CY89" s="58">
        <v>161.84899999999999</v>
      </c>
      <c r="CZ89" s="58">
        <v>111.75</v>
      </c>
      <c r="DA89" s="58">
        <v>50.098999999999997</v>
      </c>
      <c r="DB89" s="58">
        <v>170.595</v>
      </c>
      <c r="DC89" s="58">
        <v>62.401000000000003</v>
      </c>
      <c r="DD89" s="58">
        <v>108.19499999999999</v>
      </c>
      <c r="DE89" s="58">
        <v>194.31</v>
      </c>
      <c r="DF89" s="58">
        <v>85.278999999999996</v>
      </c>
      <c r="DG89" s="58">
        <v>109.032</v>
      </c>
      <c r="DH89" s="58">
        <v>2493.8470000000002</v>
      </c>
      <c r="DI89" s="58">
        <v>1371.875</v>
      </c>
      <c r="DJ89" s="58">
        <v>1121.972</v>
      </c>
      <c r="DK89" s="58">
        <v>1595.27</v>
      </c>
      <c r="DL89" s="58">
        <v>1040.164</v>
      </c>
      <c r="DM89" s="58">
        <v>555.10599999999999</v>
      </c>
      <c r="DN89" s="58">
        <v>898.577</v>
      </c>
      <c r="DO89" s="58">
        <v>331.71100000000001</v>
      </c>
      <c r="DP89" s="58">
        <v>566.86599999999999</v>
      </c>
      <c r="DQ89" s="58">
        <v>290.57799999999997</v>
      </c>
      <c r="DR89" s="58">
        <v>175.655</v>
      </c>
      <c r="DS89" s="58">
        <v>114.923</v>
      </c>
      <c r="DT89" s="58">
        <v>116.342</v>
      </c>
      <c r="DU89" s="58">
        <v>77.227999999999994</v>
      </c>
      <c r="DV89" s="58">
        <v>39.115000000000002</v>
      </c>
      <c r="DW89" s="58">
        <v>56.017000000000003</v>
      </c>
      <c r="DX89" s="58">
        <v>43.720999999999997</v>
      </c>
      <c r="DY89" s="58">
        <v>12.295999999999999</v>
      </c>
      <c r="DZ89" s="58">
        <v>33.671999999999997</v>
      </c>
      <c r="EA89" s="58">
        <v>24.350999999999999</v>
      </c>
      <c r="EB89" s="58">
        <v>9.3209999999999997</v>
      </c>
      <c r="EC89" s="58">
        <v>22.344999999999999</v>
      </c>
      <c r="ED89" s="58">
        <v>19.37</v>
      </c>
      <c r="EE89" s="58">
        <v>2.9750000000000001</v>
      </c>
      <c r="EF89" s="58">
        <v>60.325000000000003</v>
      </c>
      <c r="EG89" s="58">
        <v>33.506</v>
      </c>
      <c r="EH89" s="58">
        <v>26.818999999999999</v>
      </c>
      <c r="EI89" s="58">
        <v>205.834</v>
      </c>
      <c r="EJ89" s="58">
        <v>117.261</v>
      </c>
      <c r="EK89" s="58">
        <v>88.572000000000003</v>
      </c>
      <c r="EL89" s="58">
        <v>74.659000000000006</v>
      </c>
      <c r="EM89" s="58">
        <v>57.210999999999999</v>
      </c>
      <c r="EN89" s="58">
        <v>17.448</v>
      </c>
      <c r="EO89" s="58">
        <v>131.17400000000001</v>
      </c>
      <c r="EP89" s="58">
        <v>60.05</v>
      </c>
      <c r="EQ89" s="58">
        <v>71.123999999999995</v>
      </c>
      <c r="ER89" s="58">
        <v>120.58799999999999</v>
      </c>
      <c r="ES89" s="58">
        <v>93.772000000000006</v>
      </c>
      <c r="ET89" s="58">
        <v>26.817</v>
      </c>
      <c r="EU89" s="58">
        <v>169.99</v>
      </c>
      <c r="EV89" s="58">
        <v>81.884</v>
      </c>
      <c r="EW89" s="58">
        <v>88.105999999999995</v>
      </c>
      <c r="EX89" s="58">
        <v>164.84700000000001</v>
      </c>
      <c r="EY89" s="58">
        <v>84.400999999999996</v>
      </c>
      <c r="EZ89" s="58">
        <v>80.445999999999998</v>
      </c>
      <c r="FA89" s="58">
        <v>1887.37</v>
      </c>
      <c r="FB89" s="58">
        <v>1002.149</v>
      </c>
      <c r="FC89" s="58">
        <v>885.221</v>
      </c>
      <c r="FD89" s="58">
        <v>1314.364</v>
      </c>
      <c r="FE89" s="58">
        <v>834.53899999999999</v>
      </c>
      <c r="FF89" s="58">
        <v>479.82499999999999</v>
      </c>
      <c r="FG89" s="58">
        <v>573.00599999999997</v>
      </c>
      <c r="FH89" s="58">
        <v>167.61</v>
      </c>
      <c r="FI89" s="58">
        <v>405.39600000000002</v>
      </c>
      <c r="FJ89" s="58">
        <v>225.196</v>
      </c>
      <c r="FK89" s="58">
        <v>129.971</v>
      </c>
      <c r="FL89" s="58">
        <v>95.224000000000004</v>
      </c>
      <c r="FM89" s="58">
        <v>81.63</v>
      </c>
      <c r="FN89" s="58">
        <v>50.241999999999997</v>
      </c>
      <c r="FO89" s="58">
        <v>31.388000000000002</v>
      </c>
      <c r="FP89" s="58">
        <v>44.505000000000003</v>
      </c>
      <c r="FQ89" s="58">
        <v>33.771999999999998</v>
      </c>
      <c r="FR89" s="58">
        <v>10.733000000000001</v>
      </c>
      <c r="FS89" s="58">
        <v>26.594000000000001</v>
      </c>
      <c r="FT89" s="58">
        <v>17.773</v>
      </c>
      <c r="FU89" s="58">
        <v>8.8209999999999997</v>
      </c>
      <c r="FV89" s="58">
        <v>17.911999999999999</v>
      </c>
      <c r="FW89" s="58">
        <v>16</v>
      </c>
      <c r="FX89" s="58">
        <v>1.9119999999999999</v>
      </c>
      <c r="FY89" s="58">
        <v>37.125</v>
      </c>
      <c r="FZ89" s="58">
        <v>16.47</v>
      </c>
      <c r="GA89" s="58">
        <v>20.655000000000001</v>
      </c>
      <c r="GB89" s="58">
        <v>169.66399999999999</v>
      </c>
      <c r="GC89" s="58">
        <v>94.18</v>
      </c>
      <c r="GD89" s="58">
        <v>75.483999999999995</v>
      </c>
      <c r="GE89" s="58">
        <v>64.786000000000001</v>
      </c>
      <c r="GF89" s="58">
        <v>48.686</v>
      </c>
      <c r="GG89" s="58">
        <v>16.100000000000001</v>
      </c>
      <c r="GH89" s="58">
        <v>104.878</v>
      </c>
      <c r="GI89" s="58">
        <v>45.494</v>
      </c>
      <c r="GJ89" s="58">
        <v>59.384</v>
      </c>
      <c r="GK89" s="58">
        <v>101.01</v>
      </c>
      <c r="GL89" s="58">
        <v>77.103999999999999</v>
      </c>
      <c r="GM89" s="58">
        <v>23.905999999999999</v>
      </c>
      <c r="GN89" s="58">
        <v>124.18600000000001</v>
      </c>
      <c r="GO89" s="58">
        <v>52.866999999999997</v>
      </c>
      <c r="GP89" s="58">
        <v>71.319000000000003</v>
      </c>
      <c r="GQ89" s="58">
        <v>131.471</v>
      </c>
      <c r="GR89" s="58">
        <v>63.265999999999998</v>
      </c>
      <c r="GS89" s="58">
        <v>68.204999999999998</v>
      </c>
      <c r="GT89" s="58">
        <v>606.47699999999998</v>
      </c>
      <c r="GU89" s="58">
        <v>369.726</v>
      </c>
      <c r="GV89" s="58">
        <v>236.751</v>
      </c>
      <c r="GW89" s="58">
        <v>280.90600000000001</v>
      </c>
      <c r="GX89" s="58">
        <v>205.625</v>
      </c>
      <c r="GY89" s="58">
        <v>75.281000000000006</v>
      </c>
      <c r="GZ89" s="58">
        <v>325.57100000000003</v>
      </c>
      <c r="HA89" s="58">
        <v>164.101</v>
      </c>
      <c r="HB89" s="58">
        <v>161.47</v>
      </c>
      <c r="HC89" s="58">
        <v>65.382999999999996</v>
      </c>
      <c r="HD89" s="58">
        <v>45.683999999999997</v>
      </c>
      <c r="HE89" s="58">
        <v>19.699000000000002</v>
      </c>
      <c r="HF89" s="58">
        <v>34.712000000000003</v>
      </c>
      <c r="HG89" s="58">
        <v>26.984999999999999</v>
      </c>
      <c r="HH89" s="58">
        <v>7.7270000000000003</v>
      </c>
      <c r="HI89" s="58">
        <v>11.512</v>
      </c>
      <c r="HJ89" s="58">
        <v>9.9489999999999998</v>
      </c>
      <c r="HK89" s="58">
        <v>1.5629999999999999</v>
      </c>
      <c r="HL89" s="58">
        <v>7.0780000000000003</v>
      </c>
      <c r="HM89" s="58">
        <v>6.5780000000000003</v>
      </c>
      <c r="HN89" s="58">
        <v>0.5</v>
      </c>
      <c r="HO89" s="58">
        <v>4.4340000000000002</v>
      </c>
      <c r="HP89" s="58">
        <v>3.371</v>
      </c>
      <c r="HQ89" s="58">
        <v>1.0629999999999999</v>
      </c>
      <c r="HR89" s="58">
        <v>23.2</v>
      </c>
      <c r="HS89" s="58">
        <v>17.036000000000001</v>
      </c>
      <c r="HT89" s="58">
        <v>6.1639999999999997</v>
      </c>
      <c r="HU89" s="58">
        <v>36.17</v>
      </c>
      <c r="HV89" s="58">
        <v>23.081</v>
      </c>
      <c r="HW89" s="58">
        <v>13.087999999999999</v>
      </c>
      <c r="HX89" s="58">
        <v>9.8729999999999993</v>
      </c>
      <c r="HY89" s="58">
        <v>8.5250000000000004</v>
      </c>
      <c r="HZ89" s="58">
        <v>1.3480000000000001</v>
      </c>
      <c r="IA89" s="58">
        <v>26.297000000000001</v>
      </c>
      <c r="IB89" s="58">
        <v>14.557</v>
      </c>
      <c r="IC89" s="58">
        <v>11.74</v>
      </c>
      <c r="ID89" s="58">
        <v>19.579000000000001</v>
      </c>
      <c r="IE89" s="58">
        <v>16.667999999999999</v>
      </c>
      <c r="IF89" s="58">
        <v>2.911</v>
      </c>
      <c r="IG89" s="58">
        <v>45.804000000000002</v>
      </c>
      <c r="IH89" s="58">
        <v>29.015999999999998</v>
      </c>
      <c r="II89" s="58">
        <v>16.788</v>
      </c>
      <c r="IJ89" s="58">
        <v>33.375</v>
      </c>
      <c r="IK89" s="58">
        <v>21.135000000000002</v>
      </c>
      <c r="IL89" s="58">
        <v>12.24</v>
      </c>
      <c r="IM89" s="58">
        <v>4020.2910000000002</v>
      </c>
      <c r="IN89" s="58">
        <v>2140.6889999999999</v>
      </c>
      <c r="IO89" s="58">
        <v>1879.6020000000001</v>
      </c>
      <c r="IP89" s="58">
        <v>2835.9520000000002</v>
      </c>
      <c r="IQ89" s="58">
        <v>1732.5630000000001</v>
      </c>
    </row>
    <row r="90" spans="1:251">
      <c r="A90" s="5">
        <v>44228</v>
      </c>
      <c r="B90" s="58">
        <v>30.013000000000002</v>
      </c>
      <c r="C90" s="58">
        <v>24.661000000000001</v>
      </c>
      <c r="D90" s="58">
        <v>375.85500000000002</v>
      </c>
      <c r="E90" s="58">
        <v>219.999</v>
      </c>
      <c r="F90" s="58">
        <v>155.85599999999999</v>
      </c>
      <c r="G90" s="58">
        <v>171.54</v>
      </c>
      <c r="H90" s="58">
        <v>135.79400000000001</v>
      </c>
      <c r="I90" s="58">
        <v>35.746000000000002</v>
      </c>
      <c r="J90" s="58">
        <v>204.316</v>
      </c>
      <c r="K90" s="58">
        <v>84.206000000000003</v>
      </c>
      <c r="L90" s="58">
        <v>120.11</v>
      </c>
      <c r="M90" s="58">
        <v>213.98699999999999</v>
      </c>
      <c r="N90" s="58">
        <v>166.63499999999999</v>
      </c>
      <c r="O90" s="58">
        <v>47.351999999999997</v>
      </c>
      <c r="P90" s="58">
        <v>227.71</v>
      </c>
      <c r="Q90" s="58">
        <v>94.521000000000001</v>
      </c>
      <c r="R90" s="58">
        <v>133.18899999999999</v>
      </c>
      <c r="S90" s="58">
        <v>247.267</v>
      </c>
      <c r="T90" s="58">
        <v>114.848</v>
      </c>
      <c r="U90" s="58">
        <v>132.41900000000001</v>
      </c>
      <c r="V90" s="58">
        <v>2892.9450000000002</v>
      </c>
      <c r="W90" s="58">
        <v>1534.6</v>
      </c>
      <c r="X90" s="58">
        <v>1358.345</v>
      </c>
      <c r="Y90" s="58">
        <v>2180.0439999999999</v>
      </c>
      <c r="Z90" s="58">
        <v>1399.9090000000001</v>
      </c>
      <c r="AA90" s="58">
        <v>780.13499999999999</v>
      </c>
      <c r="AB90" s="58">
        <v>712.90099999999995</v>
      </c>
      <c r="AC90" s="58">
        <v>134.691</v>
      </c>
      <c r="AD90" s="58">
        <v>578.21</v>
      </c>
      <c r="AE90" s="58">
        <v>358.70800000000003</v>
      </c>
      <c r="AF90" s="58">
        <v>193.179</v>
      </c>
      <c r="AG90" s="58">
        <v>165.529</v>
      </c>
      <c r="AH90" s="58">
        <v>96.191000000000003</v>
      </c>
      <c r="AI90" s="58">
        <v>46.54</v>
      </c>
      <c r="AJ90" s="58">
        <v>49.651000000000003</v>
      </c>
      <c r="AK90" s="58">
        <v>51.488</v>
      </c>
      <c r="AL90" s="58">
        <v>36.813000000000002</v>
      </c>
      <c r="AM90" s="58">
        <v>14.675000000000001</v>
      </c>
      <c r="AN90" s="58">
        <v>31.081</v>
      </c>
      <c r="AO90" s="58">
        <v>21.161000000000001</v>
      </c>
      <c r="AP90" s="58">
        <v>9.92</v>
      </c>
      <c r="AQ90" s="58">
        <v>20.407</v>
      </c>
      <c r="AR90" s="58">
        <v>15.651999999999999</v>
      </c>
      <c r="AS90" s="58">
        <v>4.7549999999999999</v>
      </c>
      <c r="AT90" s="58">
        <v>44.703000000000003</v>
      </c>
      <c r="AU90" s="58">
        <v>9.7270000000000003</v>
      </c>
      <c r="AV90" s="58">
        <v>34.975999999999999</v>
      </c>
      <c r="AW90" s="58">
        <v>298.65899999999999</v>
      </c>
      <c r="AX90" s="58">
        <v>161.05600000000001</v>
      </c>
      <c r="AY90" s="58">
        <v>137.60300000000001</v>
      </c>
      <c r="AZ90" s="58">
        <v>147.453</v>
      </c>
      <c r="BA90" s="58">
        <v>111.506</v>
      </c>
      <c r="BB90" s="58">
        <v>35.948</v>
      </c>
      <c r="BC90" s="58">
        <v>151.20599999999999</v>
      </c>
      <c r="BD90" s="58">
        <v>49.551000000000002</v>
      </c>
      <c r="BE90" s="58">
        <v>101.655</v>
      </c>
      <c r="BF90" s="58">
        <v>185.67</v>
      </c>
      <c r="BG90" s="58">
        <v>138.768</v>
      </c>
      <c r="BH90" s="58">
        <v>46.902999999999999</v>
      </c>
      <c r="BI90" s="58">
        <v>173.03800000000001</v>
      </c>
      <c r="BJ90" s="58">
        <v>54.411000000000001</v>
      </c>
      <c r="BK90" s="58">
        <v>118.627</v>
      </c>
      <c r="BL90" s="58">
        <v>182.28700000000001</v>
      </c>
      <c r="BM90" s="58">
        <v>70.712000000000003</v>
      </c>
      <c r="BN90" s="58">
        <v>111.575</v>
      </c>
      <c r="BO90" s="58">
        <v>2640.43</v>
      </c>
      <c r="BP90" s="58">
        <v>1352.8030000000001</v>
      </c>
      <c r="BQ90" s="58">
        <v>1287.627</v>
      </c>
      <c r="BR90" s="58">
        <v>2001.511</v>
      </c>
      <c r="BS90" s="58">
        <v>1209.836</v>
      </c>
      <c r="BT90" s="58">
        <v>791.67499999999995</v>
      </c>
      <c r="BU90" s="58">
        <v>638.91899999999998</v>
      </c>
      <c r="BV90" s="58">
        <v>142.96700000000001</v>
      </c>
      <c r="BW90" s="58">
        <v>495.952</v>
      </c>
      <c r="BX90" s="58">
        <v>324.71100000000001</v>
      </c>
      <c r="BY90" s="58">
        <v>170.619</v>
      </c>
      <c r="BZ90" s="58">
        <v>154.09100000000001</v>
      </c>
      <c r="CA90" s="58">
        <v>102.64700000000001</v>
      </c>
      <c r="CB90" s="58">
        <v>58.755000000000003</v>
      </c>
      <c r="CC90" s="58">
        <v>43.892000000000003</v>
      </c>
      <c r="CD90" s="58">
        <v>55.898000000000003</v>
      </c>
      <c r="CE90" s="58">
        <v>39.325000000000003</v>
      </c>
      <c r="CF90" s="58">
        <v>16.571999999999999</v>
      </c>
      <c r="CG90" s="58">
        <v>36.033999999999999</v>
      </c>
      <c r="CH90" s="58">
        <v>25.558</v>
      </c>
      <c r="CI90" s="58">
        <v>10.476000000000001</v>
      </c>
      <c r="CJ90" s="58">
        <v>19.863</v>
      </c>
      <c r="CK90" s="58">
        <v>13.766999999999999</v>
      </c>
      <c r="CL90" s="58">
        <v>6.0960000000000001</v>
      </c>
      <c r="CM90" s="58">
        <v>46.749000000000002</v>
      </c>
      <c r="CN90" s="58">
        <v>19.428999999999998</v>
      </c>
      <c r="CO90" s="58">
        <v>27.32</v>
      </c>
      <c r="CP90" s="58">
        <v>258.39499999999998</v>
      </c>
      <c r="CQ90" s="58">
        <v>133.846</v>
      </c>
      <c r="CR90" s="58">
        <v>124.55</v>
      </c>
      <c r="CS90" s="58">
        <v>109.102</v>
      </c>
      <c r="CT90" s="58">
        <v>79.201999999999998</v>
      </c>
      <c r="CU90" s="58">
        <v>29.9</v>
      </c>
      <c r="CV90" s="58">
        <v>149.29300000000001</v>
      </c>
      <c r="CW90" s="58">
        <v>54.643000000000001</v>
      </c>
      <c r="CX90" s="58">
        <v>94.65</v>
      </c>
      <c r="CY90" s="58">
        <v>151.75299999999999</v>
      </c>
      <c r="CZ90" s="58">
        <v>108.471</v>
      </c>
      <c r="DA90" s="58">
        <v>43.281999999999996</v>
      </c>
      <c r="DB90" s="58">
        <v>172.958</v>
      </c>
      <c r="DC90" s="58">
        <v>62.149000000000001</v>
      </c>
      <c r="DD90" s="58">
        <v>110.809</v>
      </c>
      <c r="DE90" s="58">
        <v>185.327</v>
      </c>
      <c r="DF90" s="58">
        <v>80.201999999999998</v>
      </c>
      <c r="DG90" s="58">
        <v>105.126</v>
      </c>
      <c r="DH90" s="58">
        <v>2588.6570000000002</v>
      </c>
      <c r="DI90" s="58">
        <v>1421.154</v>
      </c>
      <c r="DJ90" s="58">
        <v>1167.5039999999999</v>
      </c>
      <c r="DK90" s="58">
        <v>1644.646</v>
      </c>
      <c r="DL90" s="58">
        <v>1067.701</v>
      </c>
      <c r="DM90" s="58">
        <v>576.94500000000005</v>
      </c>
      <c r="DN90" s="58">
        <v>944.01099999999997</v>
      </c>
      <c r="DO90" s="58">
        <v>353.452</v>
      </c>
      <c r="DP90" s="58">
        <v>590.55899999999997</v>
      </c>
      <c r="DQ90" s="58">
        <v>311.57600000000002</v>
      </c>
      <c r="DR90" s="58">
        <v>168.535</v>
      </c>
      <c r="DS90" s="58">
        <v>143.041</v>
      </c>
      <c r="DT90" s="58">
        <v>132.47800000000001</v>
      </c>
      <c r="DU90" s="58">
        <v>74.123999999999995</v>
      </c>
      <c r="DV90" s="58">
        <v>58.353999999999999</v>
      </c>
      <c r="DW90" s="58">
        <v>54.024000000000001</v>
      </c>
      <c r="DX90" s="58">
        <v>40.057000000000002</v>
      </c>
      <c r="DY90" s="58">
        <v>13.967000000000001</v>
      </c>
      <c r="DZ90" s="58">
        <v>37.372999999999998</v>
      </c>
      <c r="EA90" s="58">
        <v>28.305</v>
      </c>
      <c r="EB90" s="58">
        <v>9.0679999999999996</v>
      </c>
      <c r="EC90" s="58">
        <v>16.651</v>
      </c>
      <c r="ED90" s="58">
        <v>11.752000000000001</v>
      </c>
      <c r="EE90" s="58">
        <v>4.899</v>
      </c>
      <c r="EF90" s="58">
        <v>78.453999999999994</v>
      </c>
      <c r="EG90" s="58">
        <v>34.067</v>
      </c>
      <c r="EH90" s="58">
        <v>44.387</v>
      </c>
      <c r="EI90" s="58">
        <v>221.851</v>
      </c>
      <c r="EJ90" s="58">
        <v>120.627</v>
      </c>
      <c r="EK90" s="58">
        <v>101.224</v>
      </c>
      <c r="EL90" s="58">
        <v>76.322999999999993</v>
      </c>
      <c r="EM90" s="58">
        <v>55.886000000000003</v>
      </c>
      <c r="EN90" s="58">
        <v>20.437000000000001</v>
      </c>
      <c r="EO90" s="58">
        <v>145.52799999999999</v>
      </c>
      <c r="EP90" s="58">
        <v>64.741</v>
      </c>
      <c r="EQ90" s="58">
        <v>80.787000000000006</v>
      </c>
      <c r="ER90" s="58">
        <v>116.16200000000001</v>
      </c>
      <c r="ES90" s="58">
        <v>85.052000000000007</v>
      </c>
      <c r="ET90" s="58">
        <v>31.11</v>
      </c>
      <c r="EU90" s="58">
        <v>195.41399999999999</v>
      </c>
      <c r="EV90" s="58">
        <v>83.483000000000004</v>
      </c>
      <c r="EW90" s="58">
        <v>111.93</v>
      </c>
      <c r="EX90" s="58">
        <v>182.9</v>
      </c>
      <c r="EY90" s="58">
        <v>93.046000000000006</v>
      </c>
      <c r="EZ90" s="58">
        <v>89.855000000000004</v>
      </c>
      <c r="FA90" s="58">
        <v>1934.7329999999999</v>
      </c>
      <c r="FB90" s="58">
        <v>1022.9930000000001</v>
      </c>
      <c r="FC90" s="58">
        <v>911.74</v>
      </c>
      <c r="FD90" s="58">
        <v>1346.62</v>
      </c>
      <c r="FE90" s="58">
        <v>848.79200000000003</v>
      </c>
      <c r="FF90" s="58">
        <v>497.82799999999997</v>
      </c>
      <c r="FG90" s="58">
        <v>588.11300000000006</v>
      </c>
      <c r="FH90" s="58">
        <v>174.20099999999999</v>
      </c>
      <c r="FI90" s="58">
        <v>413.91199999999998</v>
      </c>
      <c r="FJ90" s="58">
        <v>230.38399999999999</v>
      </c>
      <c r="FK90" s="58">
        <v>123.88500000000001</v>
      </c>
      <c r="FL90" s="58">
        <v>106.499</v>
      </c>
      <c r="FM90" s="58">
        <v>86.551000000000002</v>
      </c>
      <c r="FN90" s="58">
        <v>49.243000000000002</v>
      </c>
      <c r="FO90" s="58">
        <v>37.308</v>
      </c>
      <c r="FP90" s="58">
        <v>43.411999999999999</v>
      </c>
      <c r="FQ90" s="58">
        <v>32.54</v>
      </c>
      <c r="FR90" s="58">
        <v>10.871</v>
      </c>
      <c r="FS90" s="58">
        <v>30.265999999999998</v>
      </c>
      <c r="FT90" s="58">
        <v>22.146000000000001</v>
      </c>
      <c r="FU90" s="58">
        <v>8.1199999999999992</v>
      </c>
      <c r="FV90" s="58">
        <v>13.146000000000001</v>
      </c>
      <c r="FW90" s="58">
        <v>10.395</v>
      </c>
      <c r="FX90" s="58">
        <v>2.7509999999999999</v>
      </c>
      <c r="FY90" s="58">
        <v>43.139000000000003</v>
      </c>
      <c r="FZ90" s="58">
        <v>16.702000000000002</v>
      </c>
      <c r="GA90" s="58">
        <v>26.436</v>
      </c>
      <c r="GB90" s="58">
        <v>175.37700000000001</v>
      </c>
      <c r="GC90" s="58">
        <v>93.296000000000006</v>
      </c>
      <c r="GD90" s="58">
        <v>82.081000000000003</v>
      </c>
      <c r="GE90" s="58">
        <v>64.576999999999998</v>
      </c>
      <c r="GF90" s="58">
        <v>46.514000000000003</v>
      </c>
      <c r="GG90" s="58">
        <v>18.062999999999999</v>
      </c>
      <c r="GH90" s="58">
        <v>110.8</v>
      </c>
      <c r="GI90" s="58">
        <v>46.780999999999999</v>
      </c>
      <c r="GJ90" s="58">
        <v>64.018000000000001</v>
      </c>
      <c r="GK90" s="58">
        <v>96.221999999999994</v>
      </c>
      <c r="GL90" s="58">
        <v>70.14</v>
      </c>
      <c r="GM90" s="58">
        <v>26.082999999999998</v>
      </c>
      <c r="GN90" s="58">
        <v>134.16200000000001</v>
      </c>
      <c r="GO90" s="58">
        <v>53.746000000000002</v>
      </c>
      <c r="GP90" s="58">
        <v>80.415999999999997</v>
      </c>
      <c r="GQ90" s="58">
        <v>141.066</v>
      </c>
      <c r="GR90" s="58">
        <v>68.927000000000007</v>
      </c>
      <c r="GS90" s="58">
        <v>72.138999999999996</v>
      </c>
      <c r="GT90" s="58">
        <v>653.92499999999995</v>
      </c>
      <c r="GU90" s="58">
        <v>398.161</v>
      </c>
      <c r="GV90" s="58">
        <v>255.76400000000001</v>
      </c>
      <c r="GW90" s="58">
        <v>298.02600000000001</v>
      </c>
      <c r="GX90" s="58">
        <v>218.90899999999999</v>
      </c>
      <c r="GY90" s="58">
        <v>79.117000000000004</v>
      </c>
      <c r="GZ90" s="58">
        <v>355.899</v>
      </c>
      <c r="HA90" s="58">
        <v>179.25200000000001</v>
      </c>
      <c r="HB90" s="58">
        <v>176.64699999999999</v>
      </c>
      <c r="HC90" s="58">
        <v>81.191000000000003</v>
      </c>
      <c r="HD90" s="58">
        <v>44.65</v>
      </c>
      <c r="HE90" s="58">
        <v>36.542000000000002</v>
      </c>
      <c r="HF90" s="58">
        <v>45.927999999999997</v>
      </c>
      <c r="HG90" s="58">
        <v>24.882000000000001</v>
      </c>
      <c r="HH90" s="58">
        <v>21.045999999999999</v>
      </c>
      <c r="HI90" s="58">
        <v>10.612</v>
      </c>
      <c r="HJ90" s="58">
        <v>7.5170000000000003</v>
      </c>
      <c r="HK90" s="58">
        <v>3.0960000000000001</v>
      </c>
      <c r="HL90" s="58">
        <v>7.1059999999999999</v>
      </c>
      <c r="HM90" s="58">
        <v>6.1589999999999998</v>
      </c>
      <c r="HN90" s="58">
        <v>0.94799999999999995</v>
      </c>
      <c r="HO90" s="58">
        <v>3.5059999999999998</v>
      </c>
      <c r="HP90" s="58">
        <v>1.3580000000000001</v>
      </c>
      <c r="HQ90" s="58">
        <v>2.1480000000000001</v>
      </c>
      <c r="HR90" s="58">
        <v>35.314999999999998</v>
      </c>
      <c r="HS90" s="58">
        <v>17.364999999999998</v>
      </c>
      <c r="HT90" s="58">
        <v>17.95</v>
      </c>
      <c r="HU90" s="58">
        <v>46.472999999999999</v>
      </c>
      <c r="HV90" s="58">
        <v>27.331</v>
      </c>
      <c r="HW90" s="58">
        <v>19.141999999999999</v>
      </c>
      <c r="HX90" s="58">
        <v>11.744999999999999</v>
      </c>
      <c r="HY90" s="58">
        <v>9.3710000000000004</v>
      </c>
      <c r="HZ90" s="58">
        <v>2.3740000000000001</v>
      </c>
      <c r="IA90" s="58">
        <v>34.728000000000002</v>
      </c>
      <c r="IB90" s="58">
        <v>17.96</v>
      </c>
      <c r="IC90" s="58">
        <v>16.768000000000001</v>
      </c>
      <c r="ID90" s="58">
        <v>19.940000000000001</v>
      </c>
      <c r="IE90" s="58">
        <v>14.912000000000001</v>
      </c>
      <c r="IF90" s="58">
        <v>5.0279999999999996</v>
      </c>
      <c r="IG90" s="58">
        <v>61.252000000000002</v>
      </c>
      <c r="IH90" s="58">
        <v>29.736999999999998</v>
      </c>
      <c r="II90" s="58">
        <v>31.513999999999999</v>
      </c>
      <c r="IJ90" s="58">
        <v>41.835000000000001</v>
      </c>
      <c r="IK90" s="58">
        <v>24.119</v>
      </c>
      <c r="IL90" s="58">
        <v>17.716000000000001</v>
      </c>
      <c r="IM90" s="58">
        <v>4124.9449999999997</v>
      </c>
      <c r="IN90" s="58">
        <v>2174.681</v>
      </c>
      <c r="IO90" s="58">
        <v>1950.2650000000001</v>
      </c>
      <c r="IP90" s="58">
        <v>2886.902</v>
      </c>
      <c r="IQ90" s="58">
        <v>1747.231</v>
      </c>
    </row>
    <row r="91" spans="1:251">
      <c r="A91" s="5">
        <v>44256</v>
      </c>
      <c r="B91" s="58">
        <v>16.896000000000001</v>
      </c>
      <c r="C91" s="58">
        <v>27.777999999999999</v>
      </c>
      <c r="D91" s="58">
        <v>382.82400000000001</v>
      </c>
      <c r="E91" s="58">
        <v>228.739</v>
      </c>
      <c r="F91" s="58">
        <v>154.08500000000001</v>
      </c>
      <c r="G91" s="58">
        <v>173.26300000000001</v>
      </c>
      <c r="H91" s="58">
        <v>138.447</v>
      </c>
      <c r="I91" s="58">
        <v>34.816000000000003</v>
      </c>
      <c r="J91" s="58">
        <v>209.56100000000001</v>
      </c>
      <c r="K91" s="58">
        <v>90.293000000000006</v>
      </c>
      <c r="L91" s="58">
        <v>119.26900000000001</v>
      </c>
      <c r="M91" s="58">
        <v>198.053</v>
      </c>
      <c r="N91" s="58">
        <v>158.69999999999999</v>
      </c>
      <c r="O91" s="58">
        <v>39.353000000000002</v>
      </c>
      <c r="P91" s="58">
        <v>230.36600000000001</v>
      </c>
      <c r="Q91" s="58">
        <v>96.661000000000001</v>
      </c>
      <c r="R91" s="58">
        <v>133.70500000000001</v>
      </c>
      <c r="S91" s="58">
        <v>231.77500000000001</v>
      </c>
      <c r="T91" s="58">
        <v>108.416</v>
      </c>
      <c r="U91" s="58">
        <v>123.36</v>
      </c>
      <c r="V91" s="58">
        <v>2895.3130000000001</v>
      </c>
      <c r="W91" s="58">
        <v>1531.1769999999999</v>
      </c>
      <c r="X91" s="58">
        <v>1364.135</v>
      </c>
      <c r="Y91" s="58">
        <v>2156.393</v>
      </c>
      <c r="Z91" s="58">
        <v>1394.8489999999999</v>
      </c>
      <c r="AA91" s="58">
        <v>761.54399999999998</v>
      </c>
      <c r="AB91" s="58">
        <v>738.92</v>
      </c>
      <c r="AC91" s="58">
        <v>136.328</v>
      </c>
      <c r="AD91" s="58">
        <v>602.59100000000001</v>
      </c>
      <c r="AE91" s="58">
        <v>315.47800000000001</v>
      </c>
      <c r="AF91" s="58">
        <v>168.816</v>
      </c>
      <c r="AG91" s="58">
        <v>146.66200000000001</v>
      </c>
      <c r="AH91" s="58">
        <v>60.994999999999997</v>
      </c>
      <c r="AI91" s="58">
        <v>31.64</v>
      </c>
      <c r="AJ91" s="58">
        <v>29.355</v>
      </c>
      <c r="AK91" s="58">
        <v>32.975000000000001</v>
      </c>
      <c r="AL91" s="58">
        <v>24.556000000000001</v>
      </c>
      <c r="AM91" s="58">
        <v>8.4190000000000005</v>
      </c>
      <c r="AN91" s="58">
        <v>21.085000000000001</v>
      </c>
      <c r="AO91" s="58">
        <v>15.79</v>
      </c>
      <c r="AP91" s="58">
        <v>5.2939999999999996</v>
      </c>
      <c r="AQ91" s="58">
        <v>11.891</v>
      </c>
      <c r="AR91" s="58">
        <v>8.766</v>
      </c>
      <c r="AS91" s="58">
        <v>3.125</v>
      </c>
      <c r="AT91" s="58">
        <v>28.02</v>
      </c>
      <c r="AU91" s="58">
        <v>7.0839999999999996</v>
      </c>
      <c r="AV91" s="58">
        <v>20.936</v>
      </c>
      <c r="AW91" s="58">
        <v>281.51799999999997</v>
      </c>
      <c r="AX91" s="58">
        <v>149.26300000000001</v>
      </c>
      <c r="AY91" s="58">
        <v>132.255</v>
      </c>
      <c r="AZ91" s="58">
        <v>129.78100000000001</v>
      </c>
      <c r="BA91" s="58">
        <v>101.66500000000001</v>
      </c>
      <c r="BB91" s="58">
        <v>28.116</v>
      </c>
      <c r="BC91" s="58">
        <v>151.73699999999999</v>
      </c>
      <c r="BD91" s="58">
        <v>47.597999999999999</v>
      </c>
      <c r="BE91" s="58">
        <v>104.139</v>
      </c>
      <c r="BF91" s="58">
        <v>152.79599999999999</v>
      </c>
      <c r="BG91" s="58">
        <v>118.85299999999999</v>
      </c>
      <c r="BH91" s="58">
        <v>33.942999999999998</v>
      </c>
      <c r="BI91" s="58">
        <v>162.68199999999999</v>
      </c>
      <c r="BJ91" s="58">
        <v>49.963999999999999</v>
      </c>
      <c r="BK91" s="58">
        <v>112.718</v>
      </c>
      <c r="BL91" s="58">
        <v>172.821</v>
      </c>
      <c r="BM91" s="58">
        <v>63.387999999999998</v>
      </c>
      <c r="BN91" s="58">
        <v>109.43300000000001</v>
      </c>
      <c r="BO91" s="58">
        <v>2645.0810000000001</v>
      </c>
      <c r="BP91" s="58">
        <v>1352.672</v>
      </c>
      <c r="BQ91" s="58">
        <v>1292.4090000000001</v>
      </c>
      <c r="BR91" s="58">
        <v>1981.8430000000001</v>
      </c>
      <c r="BS91" s="58">
        <v>1202.8710000000001</v>
      </c>
      <c r="BT91" s="58">
        <v>778.97299999999996</v>
      </c>
      <c r="BU91" s="58">
        <v>663.23800000000006</v>
      </c>
      <c r="BV91" s="58">
        <v>149.80099999999999</v>
      </c>
      <c r="BW91" s="58">
        <v>513.43600000000004</v>
      </c>
      <c r="BX91" s="58">
        <v>314.61799999999999</v>
      </c>
      <c r="BY91" s="58">
        <v>157.65700000000001</v>
      </c>
      <c r="BZ91" s="58">
        <v>156.96199999999999</v>
      </c>
      <c r="CA91" s="58">
        <v>76.266999999999996</v>
      </c>
      <c r="CB91" s="58">
        <v>48.311999999999998</v>
      </c>
      <c r="CC91" s="58">
        <v>27.954999999999998</v>
      </c>
      <c r="CD91" s="58">
        <v>37.125</v>
      </c>
      <c r="CE91" s="58">
        <v>30.052</v>
      </c>
      <c r="CF91" s="58">
        <v>7.0730000000000004</v>
      </c>
      <c r="CG91" s="58">
        <v>24.677</v>
      </c>
      <c r="CH91" s="58">
        <v>19.908000000000001</v>
      </c>
      <c r="CI91" s="58">
        <v>4.7690000000000001</v>
      </c>
      <c r="CJ91" s="58">
        <v>12.449</v>
      </c>
      <c r="CK91" s="58">
        <v>10.144</v>
      </c>
      <c r="CL91" s="58">
        <v>2.3050000000000002</v>
      </c>
      <c r="CM91" s="58">
        <v>39.140999999999998</v>
      </c>
      <c r="CN91" s="58">
        <v>18.260000000000002</v>
      </c>
      <c r="CO91" s="58">
        <v>20.882000000000001</v>
      </c>
      <c r="CP91" s="58">
        <v>272.57600000000002</v>
      </c>
      <c r="CQ91" s="58">
        <v>130.328</v>
      </c>
      <c r="CR91" s="58">
        <v>142.24799999999999</v>
      </c>
      <c r="CS91" s="58">
        <v>126.01300000000001</v>
      </c>
      <c r="CT91" s="58">
        <v>84.932000000000002</v>
      </c>
      <c r="CU91" s="58">
        <v>41.081000000000003</v>
      </c>
      <c r="CV91" s="58">
        <v>146.56200000000001</v>
      </c>
      <c r="CW91" s="58">
        <v>45.396000000000001</v>
      </c>
      <c r="CX91" s="58">
        <v>101.166</v>
      </c>
      <c r="CY91" s="58">
        <v>150.93</v>
      </c>
      <c r="CZ91" s="58">
        <v>105.65</v>
      </c>
      <c r="DA91" s="58">
        <v>45.280999999999999</v>
      </c>
      <c r="DB91" s="58">
        <v>163.68799999999999</v>
      </c>
      <c r="DC91" s="58">
        <v>52.006999999999998</v>
      </c>
      <c r="DD91" s="58">
        <v>111.681</v>
      </c>
      <c r="DE91" s="58">
        <v>171.239</v>
      </c>
      <c r="DF91" s="58">
        <v>65.304000000000002</v>
      </c>
      <c r="DG91" s="58">
        <v>105.935</v>
      </c>
      <c r="DH91" s="58">
        <v>2588.8240000000001</v>
      </c>
      <c r="DI91" s="58">
        <v>1418.2929999999999</v>
      </c>
      <c r="DJ91" s="58">
        <v>1170.5309999999999</v>
      </c>
      <c r="DK91" s="58">
        <v>1625.183</v>
      </c>
      <c r="DL91" s="58">
        <v>1060.4649999999999</v>
      </c>
      <c r="DM91" s="58">
        <v>564.71799999999996</v>
      </c>
      <c r="DN91" s="58">
        <v>963.64099999999996</v>
      </c>
      <c r="DO91" s="58">
        <v>357.82799999999997</v>
      </c>
      <c r="DP91" s="58">
        <v>605.81299999999999</v>
      </c>
      <c r="DQ91" s="58">
        <v>280.54199999999997</v>
      </c>
      <c r="DR91" s="58">
        <v>165.501</v>
      </c>
      <c r="DS91" s="58">
        <v>115.041</v>
      </c>
      <c r="DT91" s="58">
        <v>93.289000000000001</v>
      </c>
      <c r="DU91" s="58">
        <v>57.56</v>
      </c>
      <c r="DV91" s="58">
        <v>35.728999999999999</v>
      </c>
      <c r="DW91" s="58">
        <v>37.494</v>
      </c>
      <c r="DX91" s="58">
        <v>29.343</v>
      </c>
      <c r="DY91" s="58">
        <v>8.1509999999999998</v>
      </c>
      <c r="DZ91" s="58">
        <v>23.952000000000002</v>
      </c>
      <c r="EA91" s="58">
        <v>18.859000000000002</v>
      </c>
      <c r="EB91" s="58">
        <v>5.093</v>
      </c>
      <c r="EC91" s="58">
        <v>13.542</v>
      </c>
      <c r="ED91" s="58">
        <v>10.484999999999999</v>
      </c>
      <c r="EE91" s="58">
        <v>3.0569999999999999</v>
      </c>
      <c r="EF91" s="58">
        <v>55.795000000000002</v>
      </c>
      <c r="EG91" s="58">
        <v>28.216999999999999</v>
      </c>
      <c r="EH91" s="58">
        <v>27.577999999999999</v>
      </c>
      <c r="EI91" s="58">
        <v>214.59299999999999</v>
      </c>
      <c r="EJ91" s="58">
        <v>124.23099999999999</v>
      </c>
      <c r="EK91" s="58">
        <v>90.363</v>
      </c>
      <c r="EL91" s="58">
        <v>72.727000000000004</v>
      </c>
      <c r="EM91" s="58">
        <v>58.246000000000002</v>
      </c>
      <c r="EN91" s="58">
        <v>14.481</v>
      </c>
      <c r="EO91" s="58">
        <v>141.86699999999999</v>
      </c>
      <c r="EP91" s="58">
        <v>65.984999999999999</v>
      </c>
      <c r="EQ91" s="58">
        <v>75.882000000000005</v>
      </c>
      <c r="ER91" s="58">
        <v>101.771</v>
      </c>
      <c r="ES91" s="58">
        <v>80.808000000000007</v>
      </c>
      <c r="ET91" s="58">
        <v>20.963000000000001</v>
      </c>
      <c r="EU91" s="58">
        <v>178.77099999999999</v>
      </c>
      <c r="EV91" s="58">
        <v>84.692999999999998</v>
      </c>
      <c r="EW91" s="58">
        <v>94.078000000000003</v>
      </c>
      <c r="EX91" s="58">
        <v>165.81899999999999</v>
      </c>
      <c r="EY91" s="58">
        <v>84.843999999999994</v>
      </c>
      <c r="EZ91" s="58">
        <v>80.974999999999994</v>
      </c>
      <c r="FA91" s="58">
        <v>1942.931</v>
      </c>
      <c r="FB91" s="58">
        <v>1026.56</v>
      </c>
      <c r="FC91" s="58">
        <v>916.37</v>
      </c>
      <c r="FD91" s="58">
        <v>1331.251</v>
      </c>
      <c r="FE91" s="58">
        <v>846.03499999999997</v>
      </c>
      <c r="FF91" s="58">
        <v>485.21600000000001</v>
      </c>
      <c r="FG91" s="58">
        <v>611.67999999999995</v>
      </c>
      <c r="FH91" s="58">
        <v>180.52600000000001</v>
      </c>
      <c r="FI91" s="58">
        <v>431.154</v>
      </c>
      <c r="FJ91" s="58">
        <v>207.136</v>
      </c>
      <c r="FK91" s="58">
        <v>120.02200000000001</v>
      </c>
      <c r="FL91" s="58">
        <v>87.114000000000004</v>
      </c>
      <c r="FM91" s="58">
        <v>60.033999999999999</v>
      </c>
      <c r="FN91" s="58">
        <v>35.725000000000001</v>
      </c>
      <c r="FO91" s="58">
        <v>24.309000000000001</v>
      </c>
      <c r="FP91" s="58">
        <v>27.646999999999998</v>
      </c>
      <c r="FQ91" s="58">
        <v>20.050999999999998</v>
      </c>
      <c r="FR91" s="58">
        <v>7.5960000000000001</v>
      </c>
      <c r="FS91" s="58">
        <v>17.251999999999999</v>
      </c>
      <c r="FT91" s="58">
        <v>12.159000000000001</v>
      </c>
      <c r="FU91" s="58">
        <v>5.093</v>
      </c>
      <c r="FV91" s="58">
        <v>10.395</v>
      </c>
      <c r="FW91" s="58">
        <v>7.8920000000000003</v>
      </c>
      <c r="FX91" s="58">
        <v>2.5030000000000001</v>
      </c>
      <c r="FY91" s="58">
        <v>32.387</v>
      </c>
      <c r="FZ91" s="58">
        <v>15.673999999999999</v>
      </c>
      <c r="GA91" s="58">
        <v>16.713000000000001</v>
      </c>
      <c r="GB91" s="58">
        <v>167.88900000000001</v>
      </c>
      <c r="GC91" s="58">
        <v>96.105999999999995</v>
      </c>
      <c r="GD91" s="58">
        <v>71.783000000000001</v>
      </c>
      <c r="GE91" s="58">
        <v>59.829000000000001</v>
      </c>
      <c r="GF91" s="58">
        <v>46.554000000000002</v>
      </c>
      <c r="GG91" s="58">
        <v>13.275</v>
      </c>
      <c r="GH91" s="58">
        <v>108.06</v>
      </c>
      <c r="GI91" s="58">
        <v>49.552</v>
      </c>
      <c r="GJ91" s="58">
        <v>58.508000000000003</v>
      </c>
      <c r="GK91" s="58">
        <v>82.009</v>
      </c>
      <c r="GL91" s="58">
        <v>62.805999999999997</v>
      </c>
      <c r="GM91" s="58">
        <v>19.202999999999999</v>
      </c>
      <c r="GN91" s="58">
        <v>125.126</v>
      </c>
      <c r="GO91" s="58">
        <v>57.216000000000001</v>
      </c>
      <c r="GP91" s="58">
        <v>67.911000000000001</v>
      </c>
      <c r="GQ91" s="58">
        <v>125.313</v>
      </c>
      <c r="GR91" s="58">
        <v>61.710999999999999</v>
      </c>
      <c r="GS91" s="58">
        <v>63.601999999999997</v>
      </c>
      <c r="GT91" s="58">
        <v>645.89300000000003</v>
      </c>
      <c r="GU91" s="58">
        <v>391.73200000000003</v>
      </c>
      <c r="GV91" s="58">
        <v>254.161</v>
      </c>
      <c r="GW91" s="58">
        <v>293.93200000000002</v>
      </c>
      <c r="GX91" s="58">
        <v>214.43</v>
      </c>
      <c r="GY91" s="58">
        <v>79.501999999999995</v>
      </c>
      <c r="GZ91" s="58">
        <v>351.96100000000001</v>
      </c>
      <c r="HA91" s="58">
        <v>177.30199999999999</v>
      </c>
      <c r="HB91" s="58">
        <v>174.65899999999999</v>
      </c>
      <c r="HC91" s="58">
        <v>73.406000000000006</v>
      </c>
      <c r="HD91" s="58">
        <v>45.478999999999999</v>
      </c>
      <c r="HE91" s="58">
        <v>27.927</v>
      </c>
      <c r="HF91" s="58">
        <v>33.253999999999998</v>
      </c>
      <c r="HG91" s="58">
        <v>21.835000000000001</v>
      </c>
      <c r="HH91" s="58">
        <v>11.42</v>
      </c>
      <c r="HI91" s="58">
        <v>9.8460000000000001</v>
      </c>
      <c r="HJ91" s="58">
        <v>9.2919999999999998</v>
      </c>
      <c r="HK91" s="58">
        <v>0.55400000000000005</v>
      </c>
      <c r="HL91" s="58">
        <v>6.6989999999999998</v>
      </c>
      <c r="HM91" s="58">
        <v>6.6989999999999998</v>
      </c>
      <c r="HN91" s="58">
        <v>0</v>
      </c>
      <c r="HO91" s="58">
        <v>3.1469999999999998</v>
      </c>
      <c r="HP91" s="58">
        <v>2.593</v>
      </c>
      <c r="HQ91" s="58">
        <v>0.55400000000000005</v>
      </c>
      <c r="HR91" s="58">
        <v>23.408000000000001</v>
      </c>
      <c r="HS91" s="58">
        <v>12.542999999999999</v>
      </c>
      <c r="HT91" s="58">
        <v>10.865</v>
      </c>
      <c r="HU91" s="58">
        <v>46.704999999999998</v>
      </c>
      <c r="HV91" s="58">
        <v>28.125</v>
      </c>
      <c r="HW91" s="58">
        <v>18.579999999999998</v>
      </c>
      <c r="HX91" s="58">
        <v>12.898</v>
      </c>
      <c r="HY91" s="58">
        <v>11.692</v>
      </c>
      <c r="HZ91" s="58">
        <v>1.206</v>
      </c>
      <c r="IA91" s="58">
        <v>33.805999999999997</v>
      </c>
      <c r="IB91" s="58">
        <v>16.433</v>
      </c>
      <c r="IC91" s="58">
        <v>17.373000000000001</v>
      </c>
      <c r="ID91" s="58">
        <v>19.762</v>
      </c>
      <c r="IE91" s="58">
        <v>18.001000000000001</v>
      </c>
      <c r="IF91" s="58">
        <v>1.76</v>
      </c>
      <c r="IG91" s="58">
        <v>53.645000000000003</v>
      </c>
      <c r="IH91" s="58">
        <v>27.478000000000002</v>
      </c>
      <c r="II91" s="58">
        <v>26.167000000000002</v>
      </c>
      <c r="IJ91" s="58">
        <v>40.506</v>
      </c>
      <c r="IK91" s="58">
        <v>23.132000000000001</v>
      </c>
      <c r="IL91" s="58">
        <v>17.373000000000001</v>
      </c>
      <c r="IM91" s="58">
        <v>4134.4040000000005</v>
      </c>
      <c r="IN91" s="58">
        <v>2165.6689999999999</v>
      </c>
      <c r="IO91" s="58">
        <v>1968.7339999999999</v>
      </c>
      <c r="IP91" s="58">
        <v>2853.759</v>
      </c>
      <c r="IQ91" s="58">
        <v>1723.2860000000001</v>
      </c>
    </row>
    <row r="92" spans="1:251">
      <c r="A92" s="5">
        <v>44287</v>
      </c>
      <c r="B92" s="58">
        <v>14.702</v>
      </c>
      <c r="C92" s="58">
        <v>17.974</v>
      </c>
      <c r="D92" s="58">
        <v>362.74700000000001</v>
      </c>
      <c r="E92" s="58">
        <v>209.19</v>
      </c>
      <c r="F92" s="58">
        <v>153.55699999999999</v>
      </c>
      <c r="G92" s="58">
        <v>172.96299999999999</v>
      </c>
      <c r="H92" s="58">
        <v>128.18100000000001</v>
      </c>
      <c r="I92" s="58">
        <v>44.781999999999996</v>
      </c>
      <c r="J92" s="58">
        <v>189.78399999999999</v>
      </c>
      <c r="K92" s="58">
        <v>81.009</v>
      </c>
      <c r="L92" s="58">
        <v>108.77500000000001</v>
      </c>
      <c r="M92" s="58">
        <v>194.59899999999999</v>
      </c>
      <c r="N92" s="58">
        <v>145.84899999999999</v>
      </c>
      <c r="O92" s="58">
        <v>48.750999999999998</v>
      </c>
      <c r="P92" s="58">
        <v>200.553</v>
      </c>
      <c r="Q92" s="58">
        <v>85.622</v>
      </c>
      <c r="R92" s="58">
        <v>114.931</v>
      </c>
      <c r="S92" s="58">
        <v>210.50800000000001</v>
      </c>
      <c r="T92" s="58">
        <v>96.122</v>
      </c>
      <c r="U92" s="58">
        <v>114.386</v>
      </c>
      <c r="V92" s="58">
        <v>2897.3310000000001</v>
      </c>
      <c r="W92" s="58">
        <v>1538.47</v>
      </c>
      <c r="X92" s="58">
        <v>1358.8610000000001</v>
      </c>
      <c r="Y92" s="58">
        <v>2144.9450000000002</v>
      </c>
      <c r="Z92" s="58">
        <v>1386.825</v>
      </c>
      <c r="AA92" s="58">
        <v>758.12</v>
      </c>
      <c r="AB92" s="58">
        <v>752.38599999999997</v>
      </c>
      <c r="AC92" s="58">
        <v>151.64500000000001</v>
      </c>
      <c r="AD92" s="58">
        <v>600.74</v>
      </c>
      <c r="AE92" s="58">
        <v>311.166</v>
      </c>
      <c r="AF92" s="58">
        <v>166.71899999999999</v>
      </c>
      <c r="AG92" s="58">
        <v>144.447</v>
      </c>
      <c r="AH92" s="58">
        <v>60.875999999999998</v>
      </c>
      <c r="AI92" s="58">
        <v>33.122999999999998</v>
      </c>
      <c r="AJ92" s="58">
        <v>27.753</v>
      </c>
      <c r="AK92" s="58">
        <v>32.173999999999999</v>
      </c>
      <c r="AL92" s="58">
        <v>21.986999999999998</v>
      </c>
      <c r="AM92" s="58">
        <v>10.186999999999999</v>
      </c>
      <c r="AN92" s="58">
        <v>23.138999999999999</v>
      </c>
      <c r="AO92" s="58">
        <v>13.849</v>
      </c>
      <c r="AP92" s="58">
        <v>9.2899999999999991</v>
      </c>
      <c r="AQ92" s="58">
        <v>9.0350000000000001</v>
      </c>
      <c r="AR92" s="58">
        <v>8.1379999999999999</v>
      </c>
      <c r="AS92" s="58">
        <v>0.89700000000000002</v>
      </c>
      <c r="AT92" s="58">
        <v>28.702000000000002</v>
      </c>
      <c r="AU92" s="58">
        <v>11.135999999999999</v>
      </c>
      <c r="AV92" s="58">
        <v>17.565999999999999</v>
      </c>
      <c r="AW92" s="58">
        <v>277.26100000000002</v>
      </c>
      <c r="AX92" s="58">
        <v>146.684</v>
      </c>
      <c r="AY92" s="58">
        <v>130.577</v>
      </c>
      <c r="AZ92" s="58">
        <v>124.322</v>
      </c>
      <c r="BA92" s="58">
        <v>100.651</v>
      </c>
      <c r="BB92" s="58">
        <v>23.67</v>
      </c>
      <c r="BC92" s="58">
        <v>152.94</v>
      </c>
      <c r="BD92" s="58">
        <v>46.033000000000001</v>
      </c>
      <c r="BE92" s="58">
        <v>106.907</v>
      </c>
      <c r="BF92" s="58">
        <v>147.434</v>
      </c>
      <c r="BG92" s="58">
        <v>116.80800000000001</v>
      </c>
      <c r="BH92" s="58">
        <v>30.626000000000001</v>
      </c>
      <c r="BI92" s="58">
        <v>163.732</v>
      </c>
      <c r="BJ92" s="58">
        <v>49.911000000000001</v>
      </c>
      <c r="BK92" s="58">
        <v>113.821</v>
      </c>
      <c r="BL92" s="58">
        <v>176.07900000000001</v>
      </c>
      <c r="BM92" s="58">
        <v>59.881999999999998</v>
      </c>
      <c r="BN92" s="58">
        <v>116.196</v>
      </c>
      <c r="BO92" s="58">
        <v>2621.3510000000001</v>
      </c>
      <c r="BP92" s="58">
        <v>1355.0440000000001</v>
      </c>
      <c r="BQ92" s="58">
        <v>1266.307</v>
      </c>
      <c r="BR92" s="58">
        <v>1976.1610000000001</v>
      </c>
      <c r="BS92" s="58">
        <v>1210.095</v>
      </c>
      <c r="BT92" s="58">
        <v>766.06600000000003</v>
      </c>
      <c r="BU92" s="58">
        <v>645.19000000000005</v>
      </c>
      <c r="BV92" s="58">
        <v>144.94900000000001</v>
      </c>
      <c r="BW92" s="58">
        <v>500.24099999999999</v>
      </c>
      <c r="BX92" s="58">
        <v>280.67899999999997</v>
      </c>
      <c r="BY92" s="58">
        <v>143.131</v>
      </c>
      <c r="BZ92" s="58">
        <v>137.548</v>
      </c>
      <c r="CA92" s="58">
        <v>57.869</v>
      </c>
      <c r="CB92" s="58">
        <v>32.987000000000002</v>
      </c>
      <c r="CC92" s="58">
        <v>24.882000000000001</v>
      </c>
      <c r="CD92" s="58">
        <v>30.283999999999999</v>
      </c>
      <c r="CE92" s="58">
        <v>21.245000000000001</v>
      </c>
      <c r="CF92" s="58">
        <v>9.0389999999999997</v>
      </c>
      <c r="CG92" s="58">
        <v>21.175000000000001</v>
      </c>
      <c r="CH92" s="58">
        <v>12.885999999999999</v>
      </c>
      <c r="CI92" s="58">
        <v>8.2899999999999991</v>
      </c>
      <c r="CJ92" s="58">
        <v>9.109</v>
      </c>
      <c r="CK92" s="58">
        <v>8.36</v>
      </c>
      <c r="CL92" s="58">
        <v>0.749</v>
      </c>
      <c r="CM92" s="58">
        <v>27.585000000000001</v>
      </c>
      <c r="CN92" s="58">
        <v>11.742000000000001</v>
      </c>
      <c r="CO92" s="58">
        <v>15.843</v>
      </c>
      <c r="CP92" s="58">
        <v>245.58699999999999</v>
      </c>
      <c r="CQ92" s="58">
        <v>120.89100000000001</v>
      </c>
      <c r="CR92" s="58">
        <v>124.69499999999999</v>
      </c>
      <c r="CS92" s="58">
        <v>101.839</v>
      </c>
      <c r="CT92" s="58">
        <v>75.061999999999998</v>
      </c>
      <c r="CU92" s="58">
        <v>26.777000000000001</v>
      </c>
      <c r="CV92" s="58">
        <v>143.74799999999999</v>
      </c>
      <c r="CW92" s="58">
        <v>45.829000000000001</v>
      </c>
      <c r="CX92" s="58">
        <v>97.918000000000006</v>
      </c>
      <c r="CY92" s="58">
        <v>124.846</v>
      </c>
      <c r="CZ92" s="58">
        <v>92.486999999999995</v>
      </c>
      <c r="DA92" s="58">
        <v>32.359000000000002</v>
      </c>
      <c r="DB92" s="58">
        <v>155.833</v>
      </c>
      <c r="DC92" s="58">
        <v>50.643999999999998</v>
      </c>
      <c r="DD92" s="58">
        <v>105.18899999999999</v>
      </c>
      <c r="DE92" s="58">
        <v>164.923</v>
      </c>
      <c r="DF92" s="58">
        <v>58.715000000000003</v>
      </c>
      <c r="DG92" s="58">
        <v>106.208</v>
      </c>
      <c r="DH92" s="58">
        <v>2557.6010000000001</v>
      </c>
      <c r="DI92" s="58">
        <v>1398.5</v>
      </c>
      <c r="DJ92" s="58">
        <v>1159.1010000000001</v>
      </c>
      <c r="DK92" s="58">
        <v>1619.5039999999999</v>
      </c>
      <c r="DL92" s="58">
        <v>1056.6579999999999</v>
      </c>
      <c r="DM92" s="58">
        <v>562.84500000000003</v>
      </c>
      <c r="DN92" s="58">
        <v>938.09699999999998</v>
      </c>
      <c r="DO92" s="58">
        <v>341.84199999999998</v>
      </c>
      <c r="DP92" s="58">
        <v>596.255</v>
      </c>
      <c r="DQ92" s="58">
        <v>254.614</v>
      </c>
      <c r="DR92" s="58">
        <v>145.78899999999999</v>
      </c>
      <c r="DS92" s="58">
        <v>108.825</v>
      </c>
      <c r="DT92" s="58">
        <v>85.828000000000003</v>
      </c>
      <c r="DU92" s="58">
        <v>55.908999999999999</v>
      </c>
      <c r="DV92" s="58">
        <v>29.919</v>
      </c>
      <c r="DW92" s="58">
        <v>28.846</v>
      </c>
      <c r="DX92" s="58">
        <v>22.324999999999999</v>
      </c>
      <c r="DY92" s="58">
        <v>6.52</v>
      </c>
      <c r="DZ92" s="58">
        <v>19.940000000000001</v>
      </c>
      <c r="EA92" s="58">
        <v>15.669</v>
      </c>
      <c r="EB92" s="58">
        <v>4.2709999999999999</v>
      </c>
      <c r="EC92" s="58">
        <v>8.9060000000000006</v>
      </c>
      <c r="ED92" s="58">
        <v>6.6559999999999997</v>
      </c>
      <c r="EE92" s="58">
        <v>2.25</v>
      </c>
      <c r="EF92" s="58">
        <v>56.981999999999999</v>
      </c>
      <c r="EG92" s="58">
        <v>33.584000000000003</v>
      </c>
      <c r="EH92" s="58">
        <v>23.398</v>
      </c>
      <c r="EI92" s="58">
        <v>198.79499999999999</v>
      </c>
      <c r="EJ92" s="58">
        <v>111.288</v>
      </c>
      <c r="EK92" s="58">
        <v>87.507000000000005</v>
      </c>
      <c r="EL92" s="58">
        <v>58.503</v>
      </c>
      <c r="EM92" s="58">
        <v>47.357999999999997</v>
      </c>
      <c r="EN92" s="58">
        <v>11.146000000000001</v>
      </c>
      <c r="EO92" s="58">
        <v>140.292</v>
      </c>
      <c r="EP92" s="58">
        <v>63.93</v>
      </c>
      <c r="EQ92" s="58">
        <v>76.361999999999995</v>
      </c>
      <c r="ER92" s="58">
        <v>80.927000000000007</v>
      </c>
      <c r="ES92" s="58">
        <v>64.242999999999995</v>
      </c>
      <c r="ET92" s="58">
        <v>16.684000000000001</v>
      </c>
      <c r="EU92" s="58">
        <v>173.68700000000001</v>
      </c>
      <c r="EV92" s="58">
        <v>81.546000000000006</v>
      </c>
      <c r="EW92" s="58">
        <v>92.141000000000005</v>
      </c>
      <c r="EX92" s="58">
        <v>160.232</v>
      </c>
      <c r="EY92" s="58">
        <v>79.599000000000004</v>
      </c>
      <c r="EZ92" s="58">
        <v>80.632000000000005</v>
      </c>
      <c r="FA92" s="58">
        <v>1940.155</v>
      </c>
      <c r="FB92" s="58">
        <v>1024.759</v>
      </c>
      <c r="FC92" s="58">
        <v>915.39700000000005</v>
      </c>
      <c r="FD92" s="58">
        <v>1319.309</v>
      </c>
      <c r="FE92" s="58">
        <v>840.47</v>
      </c>
      <c r="FF92" s="58">
        <v>478.839</v>
      </c>
      <c r="FG92" s="58">
        <v>620.846</v>
      </c>
      <c r="FH92" s="58">
        <v>184.28800000000001</v>
      </c>
      <c r="FI92" s="58">
        <v>436.55799999999999</v>
      </c>
      <c r="FJ92" s="58">
        <v>191.70400000000001</v>
      </c>
      <c r="FK92" s="58">
        <v>105.623</v>
      </c>
      <c r="FL92" s="58">
        <v>86.081000000000003</v>
      </c>
      <c r="FM92" s="58">
        <v>55.219000000000001</v>
      </c>
      <c r="FN92" s="58">
        <v>32.728999999999999</v>
      </c>
      <c r="FO92" s="58">
        <v>22.489000000000001</v>
      </c>
      <c r="FP92" s="58">
        <v>21.309000000000001</v>
      </c>
      <c r="FQ92" s="58">
        <v>15.855</v>
      </c>
      <c r="FR92" s="58">
        <v>5.4539999999999997</v>
      </c>
      <c r="FS92" s="58">
        <v>14.856</v>
      </c>
      <c r="FT92" s="58">
        <v>10.97</v>
      </c>
      <c r="FU92" s="58">
        <v>3.8860000000000001</v>
      </c>
      <c r="FV92" s="58">
        <v>6.4530000000000003</v>
      </c>
      <c r="FW92" s="58">
        <v>4.8849999999999998</v>
      </c>
      <c r="FX92" s="58">
        <v>1.5680000000000001</v>
      </c>
      <c r="FY92" s="58">
        <v>33.909999999999997</v>
      </c>
      <c r="FZ92" s="58">
        <v>16.873999999999999</v>
      </c>
      <c r="GA92" s="58">
        <v>17.035</v>
      </c>
      <c r="GB92" s="58">
        <v>158.596</v>
      </c>
      <c r="GC92" s="58">
        <v>87.935000000000002</v>
      </c>
      <c r="GD92" s="58">
        <v>70.661000000000001</v>
      </c>
      <c r="GE92" s="58">
        <v>50.682000000000002</v>
      </c>
      <c r="GF92" s="58">
        <v>40.389000000000003</v>
      </c>
      <c r="GG92" s="58">
        <v>10.292</v>
      </c>
      <c r="GH92" s="58">
        <v>107.914</v>
      </c>
      <c r="GI92" s="58">
        <v>47.545000000000002</v>
      </c>
      <c r="GJ92" s="58">
        <v>60.369</v>
      </c>
      <c r="GK92" s="58">
        <v>66.991</v>
      </c>
      <c r="GL92" s="58">
        <v>52.226999999999997</v>
      </c>
      <c r="GM92" s="58">
        <v>14.763999999999999</v>
      </c>
      <c r="GN92" s="58">
        <v>124.71299999999999</v>
      </c>
      <c r="GO92" s="58">
        <v>53.395000000000003</v>
      </c>
      <c r="GP92" s="58">
        <v>71.316999999999993</v>
      </c>
      <c r="GQ92" s="58">
        <v>122.77</v>
      </c>
      <c r="GR92" s="58">
        <v>58.515000000000001</v>
      </c>
      <c r="GS92" s="58">
        <v>64.254999999999995</v>
      </c>
      <c r="GT92" s="58">
        <v>617.44600000000003</v>
      </c>
      <c r="GU92" s="58">
        <v>373.74200000000002</v>
      </c>
      <c r="GV92" s="58">
        <v>243.70400000000001</v>
      </c>
      <c r="GW92" s="58">
        <v>300.19499999999999</v>
      </c>
      <c r="GX92" s="58">
        <v>216.18799999999999</v>
      </c>
      <c r="GY92" s="58">
        <v>84.007000000000005</v>
      </c>
      <c r="GZ92" s="58">
        <v>317.25099999999998</v>
      </c>
      <c r="HA92" s="58">
        <v>157.554</v>
      </c>
      <c r="HB92" s="58">
        <v>159.697</v>
      </c>
      <c r="HC92" s="58">
        <v>62.91</v>
      </c>
      <c r="HD92" s="58">
        <v>40.167000000000002</v>
      </c>
      <c r="HE92" s="58">
        <v>22.744</v>
      </c>
      <c r="HF92" s="58">
        <v>30.609000000000002</v>
      </c>
      <c r="HG92" s="58">
        <v>23.18</v>
      </c>
      <c r="HH92" s="58">
        <v>7.4290000000000003</v>
      </c>
      <c r="HI92" s="58">
        <v>7.5369999999999999</v>
      </c>
      <c r="HJ92" s="58">
        <v>6.47</v>
      </c>
      <c r="HK92" s="58">
        <v>1.0669999999999999</v>
      </c>
      <c r="HL92" s="58">
        <v>5.0839999999999996</v>
      </c>
      <c r="HM92" s="58">
        <v>4.6989999999999998</v>
      </c>
      <c r="HN92" s="58">
        <v>0.38500000000000001</v>
      </c>
      <c r="HO92" s="58">
        <v>2.4529999999999998</v>
      </c>
      <c r="HP92" s="58">
        <v>1.7709999999999999</v>
      </c>
      <c r="HQ92" s="58">
        <v>0.68200000000000005</v>
      </c>
      <c r="HR92" s="58">
        <v>23.071999999999999</v>
      </c>
      <c r="HS92" s="58">
        <v>16.709</v>
      </c>
      <c r="HT92" s="58">
        <v>6.3630000000000004</v>
      </c>
      <c r="HU92" s="58">
        <v>40.198999999999998</v>
      </c>
      <c r="HV92" s="58">
        <v>23.353000000000002</v>
      </c>
      <c r="HW92" s="58">
        <v>16.846</v>
      </c>
      <c r="HX92" s="58">
        <v>7.8220000000000001</v>
      </c>
      <c r="HY92" s="58">
        <v>6.968</v>
      </c>
      <c r="HZ92" s="58">
        <v>0.85299999999999998</v>
      </c>
      <c r="IA92" s="58">
        <v>32.378</v>
      </c>
      <c r="IB92" s="58">
        <v>16.385000000000002</v>
      </c>
      <c r="IC92" s="58">
        <v>15.993</v>
      </c>
      <c r="ID92" s="58">
        <v>13.936</v>
      </c>
      <c r="IE92" s="58">
        <v>12.016</v>
      </c>
      <c r="IF92" s="58">
        <v>1.92</v>
      </c>
      <c r="IG92" s="58">
        <v>48.973999999999997</v>
      </c>
      <c r="IH92" s="58">
        <v>28.151</v>
      </c>
      <c r="II92" s="58">
        <v>20.824000000000002</v>
      </c>
      <c r="IJ92" s="58">
        <v>37.462000000000003</v>
      </c>
      <c r="IK92" s="58">
        <v>21.084</v>
      </c>
      <c r="IL92" s="58">
        <v>16.378</v>
      </c>
      <c r="IM92" s="58">
        <v>4112.3429999999998</v>
      </c>
      <c r="IN92" s="58">
        <v>2163.748</v>
      </c>
      <c r="IO92" s="58">
        <v>1948.595</v>
      </c>
      <c r="IP92" s="58">
        <v>2843.0520000000001</v>
      </c>
      <c r="IQ92" s="58">
        <v>1727.7170000000001</v>
      </c>
    </row>
    <row r="93" spans="1:251">
      <c r="A93" s="5">
        <v>44317</v>
      </c>
      <c r="B93" s="58">
        <v>13.974</v>
      </c>
      <c r="C93" s="58">
        <v>17.379000000000001</v>
      </c>
      <c r="D93" s="58">
        <v>345.01299999999998</v>
      </c>
      <c r="E93" s="58">
        <v>201.17500000000001</v>
      </c>
      <c r="F93" s="58">
        <v>143.83799999999999</v>
      </c>
      <c r="G93" s="58">
        <v>152.57300000000001</v>
      </c>
      <c r="H93" s="58">
        <v>114.503</v>
      </c>
      <c r="I93" s="58">
        <v>38.07</v>
      </c>
      <c r="J93" s="58">
        <v>192.43899999999999</v>
      </c>
      <c r="K93" s="58">
        <v>86.671000000000006</v>
      </c>
      <c r="L93" s="58">
        <v>105.768</v>
      </c>
      <c r="M93" s="58">
        <v>173.68</v>
      </c>
      <c r="N93" s="58">
        <v>128.15799999999999</v>
      </c>
      <c r="O93" s="58">
        <v>45.521999999999998</v>
      </c>
      <c r="P93" s="58">
        <v>202.685</v>
      </c>
      <c r="Q93" s="58">
        <v>91.998000000000005</v>
      </c>
      <c r="R93" s="58">
        <v>110.68600000000001</v>
      </c>
      <c r="S93" s="58">
        <v>208.036</v>
      </c>
      <c r="T93" s="58">
        <v>97.65</v>
      </c>
      <c r="U93" s="58">
        <v>110.386</v>
      </c>
      <c r="V93" s="58">
        <v>2932.98</v>
      </c>
      <c r="W93" s="58">
        <v>1549.7909999999999</v>
      </c>
      <c r="X93" s="58">
        <v>1383.1880000000001</v>
      </c>
      <c r="Y93" s="58">
        <v>2192.299</v>
      </c>
      <c r="Z93" s="58">
        <v>1408.0229999999999</v>
      </c>
      <c r="AA93" s="58">
        <v>784.27700000000004</v>
      </c>
      <c r="AB93" s="58">
        <v>740.68</v>
      </c>
      <c r="AC93" s="58">
        <v>141.76900000000001</v>
      </c>
      <c r="AD93" s="58">
        <v>598.91200000000003</v>
      </c>
      <c r="AE93" s="58">
        <v>322.47000000000003</v>
      </c>
      <c r="AF93" s="58">
        <v>165.04400000000001</v>
      </c>
      <c r="AG93" s="58">
        <v>157.42599999999999</v>
      </c>
      <c r="AH93" s="58">
        <v>62.557000000000002</v>
      </c>
      <c r="AI93" s="58">
        <v>33.814999999999998</v>
      </c>
      <c r="AJ93" s="58">
        <v>28.742000000000001</v>
      </c>
      <c r="AK93" s="58">
        <v>31.530999999999999</v>
      </c>
      <c r="AL93" s="58">
        <v>22.922000000000001</v>
      </c>
      <c r="AM93" s="58">
        <v>8.609</v>
      </c>
      <c r="AN93" s="58">
        <v>21.971</v>
      </c>
      <c r="AO93" s="58">
        <v>14.974</v>
      </c>
      <c r="AP93" s="58">
        <v>6.9969999999999999</v>
      </c>
      <c r="AQ93" s="58">
        <v>9.56</v>
      </c>
      <c r="AR93" s="58">
        <v>7.9480000000000004</v>
      </c>
      <c r="AS93" s="58">
        <v>1.6120000000000001</v>
      </c>
      <c r="AT93" s="58">
        <v>31.026</v>
      </c>
      <c r="AU93" s="58">
        <v>10.893000000000001</v>
      </c>
      <c r="AV93" s="58">
        <v>20.132999999999999</v>
      </c>
      <c r="AW93" s="58">
        <v>291.55200000000002</v>
      </c>
      <c r="AX93" s="58">
        <v>146.643</v>
      </c>
      <c r="AY93" s="58">
        <v>144.90899999999999</v>
      </c>
      <c r="AZ93" s="58">
        <v>135.32400000000001</v>
      </c>
      <c r="BA93" s="58">
        <v>97.694000000000003</v>
      </c>
      <c r="BB93" s="58">
        <v>37.630000000000003</v>
      </c>
      <c r="BC93" s="58">
        <v>156.22800000000001</v>
      </c>
      <c r="BD93" s="58">
        <v>48.948999999999998</v>
      </c>
      <c r="BE93" s="58">
        <v>107.279</v>
      </c>
      <c r="BF93" s="58">
        <v>154.21899999999999</v>
      </c>
      <c r="BG93" s="58">
        <v>111.664</v>
      </c>
      <c r="BH93" s="58">
        <v>42.555999999999997</v>
      </c>
      <c r="BI93" s="58">
        <v>168.25</v>
      </c>
      <c r="BJ93" s="58">
        <v>53.38</v>
      </c>
      <c r="BK93" s="58">
        <v>114.87</v>
      </c>
      <c r="BL93" s="58">
        <v>178.19900000000001</v>
      </c>
      <c r="BM93" s="58">
        <v>63.923000000000002</v>
      </c>
      <c r="BN93" s="58">
        <v>114.276</v>
      </c>
      <c r="BO93" s="58">
        <v>2641.7579999999998</v>
      </c>
      <c r="BP93" s="58">
        <v>1356.0840000000001</v>
      </c>
      <c r="BQ93" s="58">
        <v>1285.674</v>
      </c>
      <c r="BR93" s="58">
        <v>2002.5250000000001</v>
      </c>
      <c r="BS93" s="58">
        <v>1212.934</v>
      </c>
      <c r="BT93" s="58">
        <v>789.59100000000001</v>
      </c>
      <c r="BU93" s="58">
        <v>639.23400000000004</v>
      </c>
      <c r="BV93" s="58">
        <v>143.15</v>
      </c>
      <c r="BW93" s="58">
        <v>496.084</v>
      </c>
      <c r="BX93" s="58">
        <v>284.91000000000003</v>
      </c>
      <c r="BY93" s="58">
        <v>141.97499999999999</v>
      </c>
      <c r="BZ93" s="58">
        <v>142.935</v>
      </c>
      <c r="CA93" s="58">
        <v>55.031999999999996</v>
      </c>
      <c r="CB93" s="58">
        <v>30.756</v>
      </c>
      <c r="CC93" s="58">
        <v>24.276</v>
      </c>
      <c r="CD93" s="58">
        <v>22.677</v>
      </c>
      <c r="CE93" s="58">
        <v>16.263999999999999</v>
      </c>
      <c r="CF93" s="58">
        <v>6.4130000000000003</v>
      </c>
      <c r="CG93" s="58">
        <v>12.903</v>
      </c>
      <c r="CH93" s="58">
        <v>8.8339999999999996</v>
      </c>
      <c r="CI93" s="58">
        <v>4.069</v>
      </c>
      <c r="CJ93" s="58">
        <v>9.7739999999999991</v>
      </c>
      <c r="CK93" s="58">
        <v>7.43</v>
      </c>
      <c r="CL93" s="58">
        <v>2.3439999999999999</v>
      </c>
      <c r="CM93" s="58">
        <v>32.354999999999997</v>
      </c>
      <c r="CN93" s="58">
        <v>14.492000000000001</v>
      </c>
      <c r="CO93" s="58">
        <v>17.863</v>
      </c>
      <c r="CP93" s="58">
        <v>257.53100000000001</v>
      </c>
      <c r="CQ93" s="58">
        <v>127.432</v>
      </c>
      <c r="CR93" s="58">
        <v>130.09899999999999</v>
      </c>
      <c r="CS93" s="58">
        <v>111.527</v>
      </c>
      <c r="CT93" s="58">
        <v>77.084999999999994</v>
      </c>
      <c r="CU93" s="58">
        <v>34.442</v>
      </c>
      <c r="CV93" s="58">
        <v>146.00399999999999</v>
      </c>
      <c r="CW93" s="58">
        <v>50.347000000000001</v>
      </c>
      <c r="CX93" s="58">
        <v>95.656999999999996</v>
      </c>
      <c r="CY93" s="58">
        <v>126.88200000000001</v>
      </c>
      <c r="CZ93" s="58">
        <v>88.346000000000004</v>
      </c>
      <c r="DA93" s="58">
        <v>38.536000000000001</v>
      </c>
      <c r="DB93" s="58">
        <v>158.02799999999999</v>
      </c>
      <c r="DC93" s="58">
        <v>53.628</v>
      </c>
      <c r="DD93" s="58">
        <v>104.399</v>
      </c>
      <c r="DE93" s="58">
        <v>158.90700000000001</v>
      </c>
      <c r="DF93" s="58">
        <v>59.182000000000002</v>
      </c>
      <c r="DG93" s="58">
        <v>99.725999999999999</v>
      </c>
      <c r="DH93" s="58">
        <v>2621.6480000000001</v>
      </c>
      <c r="DI93" s="58">
        <v>1420.1569999999999</v>
      </c>
      <c r="DJ93" s="58">
        <v>1201.491</v>
      </c>
      <c r="DK93" s="58">
        <v>1639.6990000000001</v>
      </c>
      <c r="DL93" s="58">
        <v>1057.954</v>
      </c>
      <c r="DM93" s="58">
        <v>581.745</v>
      </c>
      <c r="DN93" s="58">
        <v>981.94899999999996</v>
      </c>
      <c r="DO93" s="58">
        <v>362.20299999999997</v>
      </c>
      <c r="DP93" s="58">
        <v>619.74599999999998</v>
      </c>
      <c r="DQ93" s="58">
        <v>258.20600000000002</v>
      </c>
      <c r="DR93" s="58">
        <v>150.791</v>
      </c>
      <c r="DS93" s="58">
        <v>107.41500000000001</v>
      </c>
      <c r="DT93" s="58">
        <v>82.37</v>
      </c>
      <c r="DU93" s="58">
        <v>52.509</v>
      </c>
      <c r="DV93" s="58">
        <v>29.861000000000001</v>
      </c>
      <c r="DW93" s="58">
        <v>29.896000000000001</v>
      </c>
      <c r="DX93" s="58">
        <v>23.486000000000001</v>
      </c>
      <c r="DY93" s="58">
        <v>6.41</v>
      </c>
      <c r="DZ93" s="58">
        <v>19.199000000000002</v>
      </c>
      <c r="EA93" s="58">
        <v>14.28</v>
      </c>
      <c r="EB93" s="58">
        <v>4.9180000000000001</v>
      </c>
      <c r="EC93" s="58">
        <v>10.696999999999999</v>
      </c>
      <c r="ED93" s="58">
        <v>9.2059999999999995</v>
      </c>
      <c r="EE93" s="58">
        <v>1.4910000000000001</v>
      </c>
      <c r="EF93" s="58">
        <v>52.473999999999997</v>
      </c>
      <c r="EG93" s="58">
        <v>29.023</v>
      </c>
      <c r="EH93" s="58">
        <v>23.451000000000001</v>
      </c>
      <c r="EI93" s="58">
        <v>199.13</v>
      </c>
      <c r="EJ93" s="58">
        <v>114.48099999999999</v>
      </c>
      <c r="EK93" s="58">
        <v>84.649000000000001</v>
      </c>
      <c r="EL93" s="58">
        <v>60.845999999999997</v>
      </c>
      <c r="EM93" s="58">
        <v>45.859000000000002</v>
      </c>
      <c r="EN93" s="58">
        <v>14.986000000000001</v>
      </c>
      <c r="EO93" s="58">
        <v>138.28399999999999</v>
      </c>
      <c r="EP93" s="58">
        <v>68.622</v>
      </c>
      <c r="EQ93" s="58">
        <v>69.662999999999997</v>
      </c>
      <c r="ER93" s="58">
        <v>87.417000000000002</v>
      </c>
      <c r="ES93" s="58">
        <v>66.412000000000006</v>
      </c>
      <c r="ET93" s="58">
        <v>21.004999999999999</v>
      </c>
      <c r="EU93" s="58">
        <v>170.78899999999999</v>
      </c>
      <c r="EV93" s="58">
        <v>84.379000000000005</v>
      </c>
      <c r="EW93" s="58">
        <v>86.41</v>
      </c>
      <c r="EX93" s="58">
        <v>157.483</v>
      </c>
      <c r="EY93" s="58">
        <v>82.902000000000001</v>
      </c>
      <c r="EZ93" s="58">
        <v>74.581000000000003</v>
      </c>
      <c r="FA93" s="58">
        <v>1981.395</v>
      </c>
      <c r="FB93" s="58">
        <v>1036.318</v>
      </c>
      <c r="FC93" s="58">
        <v>945.077</v>
      </c>
      <c r="FD93" s="58">
        <v>1353.5630000000001</v>
      </c>
      <c r="FE93" s="58">
        <v>849.87599999999998</v>
      </c>
      <c r="FF93" s="58">
        <v>503.68700000000001</v>
      </c>
      <c r="FG93" s="58">
        <v>627.83199999999999</v>
      </c>
      <c r="FH93" s="58">
        <v>186.44200000000001</v>
      </c>
      <c r="FI93" s="58">
        <v>441.39</v>
      </c>
      <c r="FJ93" s="58">
        <v>198.49700000000001</v>
      </c>
      <c r="FK93" s="58">
        <v>110.32</v>
      </c>
      <c r="FL93" s="58">
        <v>88.177000000000007</v>
      </c>
      <c r="FM93" s="58">
        <v>55.161999999999999</v>
      </c>
      <c r="FN93" s="58">
        <v>34.322000000000003</v>
      </c>
      <c r="FO93" s="58">
        <v>20.84</v>
      </c>
      <c r="FP93" s="58">
        <v>24.727</v>
      </c>
      <c r="FQ93" s="58">
        <v>18.707999999999998</v>
      </c>
      <c r="FR93" s="58">
        <v>6.0190000000000001</v>
      </c>
      <c r="FS93" s="58">
        <v>15.172000000000001</v>
      </c>
      <c r="FT93" s="58">
        <v>10.645</v>
      </c>
      <c r="FU93" s="58">
        <v>4.5270000000000001</v>
      </c>
      <c r="FV93" s="58">
        <v>9.5540000000000003</v>
      </c>
      <c r="FW93" s="58">
        <v>8.0630000000000006</v>
      </c>
      <c r="FX93" s="58">
        <v>1.4910000000000001</v>
      </c>
      <c r="FY93" s="58">
        <v>30.436</v>
      </c>
      <c r="FZ93" s="58">
        <v>15.614000000000001</v>
      </c>
      <c r="GA93" s="58">
        <v>14.821</v>
      </c>
      <c r="GB93" s="58">
        <v>160.15700000000001</v>
      </c>
      <c r="GC93" s="58">
        <v>87.275999999999996</v>
      </c>
      <c r="GD93" s="58">
        <v>72.881</v>
      </c>
      <c r="GE93" s="58">
        <v>50.356000000000002</v>
      </c>
      <c r="GF93" s="58">
        <v>37.078000000000003</v>
      </c>
      <c r="GG93" s="58">
        <v>13.278</v>
      </c>
      <c r="GH93" s="58">
        <v>109.801</v>
      </c>
      <c r="GI93" s="58">
        <v>50.198</v>
      </c>
      <c r="GJ93" s="58">
        <v>59.603000000000002</v>
      </c>
      <c r="GK93" s="58">
        <v>72.944999999999993</v>
      </c>
      <c r="GL93" s="58">
        <v>53.649000000000001</v>
      </c>
      <c r="GM93" s="58">
        <v>19.295999999999999</v>
      </c>
      <c r="GN93" s="58">
        <v>125.55200000000001</v>
      </c>
      <c r="GO93" s="58">
        <v>56.670999999999999</v>
      </c>
      <c r="GP93" s="58">
        <v>68.881</v>
      </c>
      <c r="GQ93" s="58">
        <v>124.974</v>
      </c>
      <c r="GR93" s="58">
        <v>60.843000000000004</v>
      </c>
      <c r="GS93" s="58">
        <v>64.131</v>
      </c>
      <c r="GT93" s="58">
        <v>640.25300000000004</v>
      </c>
      <c r="GU93" s="58">
        <v>383.839</v>
      </c>
      <c r="GV93" s="58">
        <v>256.41399999999999</v>
      </c>
      <c r="GW93" s="58">
        <v>286.13600000000002</v>
      </c>
      <c r="GX93" s="58">
        <v>208.078</v>
      </c>
      <c r="GY93" s="58">
        <v>78.058000000000007</v>
      </c>
      <c r="GZ93" s="58">
        <v>354.11700000000002</v>
      </c>
      <c r="HA93" s="58">
        <v>175.761</v>
      </c>
      <c r="HB93" s="58">
        <v>178.35599999999999</v>
      </c>
      <c r="HC93" s="58">
        <v>59.709000000000003</v>
      </c>
      <c r="HD93" s="58">
        <v>40.472000000000001</v>
      </c>
      <c r="HE93" s="58">
        <v>19.238</v>
      </c>
      <c r="HF93" s="58">
        <v>27.207999999999998</v>
      </c>
      <c r="HG93" s="58">
        <v>18.187000000000001</v>
      </c>
      <c r="HH93" s="58">
        <v>9.0210000000000008</v>
      </c>
      <c r="HI93" s="58">
        <v>5.1689999999999996</v>
      </c>
      <c r="HJ93" s="58">
        <v>4.7779999999999996</v>
      </c>
      <c r="HK93" s="58">
        <v>0.39100000000000001</v>
      </c>
      <c r="HL93" s="58">
        <v>4.0259999999999998</v>
      </c>
      <c r="HM93" s="58">
        <v>3.6349999999999998</v>
      </c>
      <c r="HN93" s="58">
        <v>0.39100000000000001</v>
      </c>
      <c r="HO93" s="58">
        <v>1.143</v>
      </c>
      <c r="HP93" s="58">
        <v>1.143</v>
      </c>
      <c r="HQ93" s="58">
        <v>0</v>
      </c>
      <c r="HR93" s="58">
        <v>22.039000000000001</v>
      </c>
      <c r="HS93" s="58">
        <v>13.409000000000001</v>
      </c>
      <c r="HT93" s="58">
        <v>8.6300000000000008</v>
      </c>
      <c r="HU93" s="58">
        <v>38.972999999999999</v>
      </c>
      <c r="HV93" s="58">
        <v>27.204999999999998</v>
      </c>
      <c r="HW93" s="58">
        <v>11.768000000000001</v>
      </c>
      <c r="HX93" s="58">
        <v>10.49</v>
      </c>
      <c r="HY93" s="58">
        <v>8.7810000000000006</v>
      </c>
      <c r="HZ93" s="58">
        <v>1.7090000000000001</v>
      </c>
      <c r="IA93" s="58">
        <v>28.483000000000001</v>
      </c>
      <c r="IB93" s="58">
        <v>18.423999999999999</v>
      </c>
      <c r="IC93" s="58">
        <v>10.058999999999999</v>
      </c>
      <c r="ID93" s="58">
        <v>14.472</v>
      </c>
      <c r="IE93" s="58">
        <v>12.763</v>
      </c>
      <c r="IF93" s="58">
        <v>1.7090000000000001</v>
      </c>
      <c r="IG93" s="58">
        <v>45.237000000000002</v>
      </c>
      <c r="IH93" s="58">
        <v>27.707999999999998</v>
      </c>
      <c r="II93" s="58">
        <v>17.529</v>
      </c>
      <c r="IJ93" s="58">
        <v>32.51</v>
      </c>
      <c r="IK93" s="58">
        <v>22.059000000000001</v>
      </c>
      <c r="IL93" s="58">
        <v>10.45</v>
      </c>
      <c r="IM93" s="58">
        <v>4187.6940000000004</v>
      </c>
      <c r="IN93" s="58">
        <v>2180.98</v>
      </c>
      <c r="IO93" s="58">
        <v>2006.7139999999999</v>
      </c>
      <c r="IP93" s="58">
        <v>2899.0309999999999</v>
      </c>
      <c r="IQ93" s="58">
        <v>1736.9749999999999</v>
      </c>
    </row>
    <row r="94" spans="1:251">
      <c r="A94" s="5">
        <v>44348</v>
      </c>
      <c r="B94" s="58">
        <v>15.664999999999999</v>
      </c>
      <c r="C94" s="58">
        <v>24.675999999999998</v>
      </c>
      <c r="D94" s="58">
        <v>372.84199999999998</v>
      </c>
      <c r="E94" s="58">
        <v>213.304</v>
      </c>
      <c r="F94" s="58">
        <v>159.53899999999999</v>
      </c>
      <c r="G94" s="58">
        <v>171.417</v>
      </c>
      <c r="H94" s="58">
        <v>125.411</v>
      </c>
      <c r="I94" s="58">
        <v>46.006</v>
      </c>
      <c r="J94" s="58">
        <v>201.42500000000001</v>
      </c>
      <c r="K94" s="58">
        <v>87.893000000000001</v>
      </c>
      <c r="L94" s="58">
        <v>113.533</v>
      </c>
      <c r="M94" s="58">
        <v>219.941</v>
      </c>
      <c r="N94" s="58">
        <v>157.03899999999999</v>
      </c>
      <c r="O94" s="58">
        <v>62.902000000000001</v>
      </c>
      <c r="P94" s="58">
        <v>220.39099999999999</v>
      </c>
      <c r="Q94" s="58">
        <v>94.881</v>
      </c>
      <c r="R94" s="58">
        <v>125.51</v>
      </c>
      <c r="S94" s="58">
        <v>239.93199999999999</v>
      </c>
      <c r="T94" s="58">
        <v>109.154</v>
      </c>
      <c r="U94" s="58">
        <v>130.77799999999999</v>
      </c>
      <c r="V94" s="58">
        <v>2931.076</v>
      </c>
      <c r="W94" s="58">
        <v>1546.701</v>
      </c>
      <c r="X94" s="58">
        <v>1384.374</v>
      </c>
      <c r="Y94" s="58">
        <v>2187.5940000000001</v>
      </c>
      <c r="Z94" s="58">
        <v>1414.3440000000001</v>
      </c>
      <c r="AA94" s="58">
        <v>773.25</v>
      </c>
      <c r="AB94" s="58">
        <v>743.48099999999999</v>
      </c>
      <c r="AC94" s="58">
        <v>132.357</v>
      </c>
      <c r="AD94" s="58">
        <v>611.12400000000002</v>
      </c>
      <c r="AE94" s="58">
        <v>361.64299999999997</v>
      </c>
      <c r="AF94" s="58">
        <v>193.46299999999999</v>
      </c>
      <c r="AG94" s="58">
        <v>168.18</v>
      </c>
      <c r="AH94" s="58">
        <v>95.337000000000003</v>
      </c>
      <c r="AI94" s="58">
        <v>50.811999999999998</v>
      </c>
      <c r="AJ94" s="58">
        <v>44.524999999999999</v>
      </c>
      <c r="AK94" s="58">
        <v>52.218000000000004</v>
      </c>
      <c r="AL94" s="58">
        <v>37.668999999999997</v>
      </c>
      <c r="AM94" s="58">
        <v>14.548</v>
      </c>
      <c r="AN94" s="58">
        <v>33.837000000000003</v>
      </c>
      <c r="AO94" s="58">
        <v>22.759</v>
      </c>
      <c r="AP94" s="58">
        <v>11.079000000000001</v>
      </c>
      <c r="AQ94" s="58">
        <v>18.38</v>
      </c>
      <c r="AR94" s="58">
        <v>14.911</v>
      </c>
      <c r="AS94" s="58">
        <v>3.47</v>
      </c>
      <c r="AT94" s="58">
        <v>43.12</v>
      </c>
      <c r="AU94" s="58">
        <v>13.143000000000001</v>
      </c>
      <c r="AV94" s="58">
        <v>29.975999999999999</v>
      </c>
      <c r="AW94" s="58">
        <v>294.14100000000002</v>
      </c>
      <c r="AX94" s="58">
        <v>156.917</v>
      </c>
      <c r="AY94" s="58">
        <v>137.22399999999999</v>
      </c>
      <c r="AZ94" s="58">
        <v>144.30199999999999</v>
      </c>
      <c r="BA94" s="58">
        <v>110.05800000000001</v>
      </c>
      <c r="BB94" s="58">
        <v>34.244</v>
      </c>
      <c r="BC94" s="58">
        <v>149.839</v>
      </c>
      <c r="BD94" s="58">
        <v>46.859000000000002</v>
      </c>
      <c r="BE94" s="58">
        <v>102.98</v>
      </c>
      <c r="BF94" s="58">
        <v>186.56200000000001</v>
      </c>
      <c r="BG94" s="58">
        <v>139.631</v>
      </c>
      <c r="BH94" s="58">
        <v>46.930999999999997</v>
      </c>
      <c r="BI94" s="58">
        <v>175.08099999999999</v>
      </c>
      <c r="BJ94" s="58">
        <v>53.832000000000001</v>
      </c>
      <c r="BK94" s="58">
        <v>121.249</v>
      </c>
      <c r="BL94" s="58">
        <v>183.67599999999999</v>
      </c>
      <c r="BM94" s="58">
        <v>69.617999999999995</v>
      </c>
      <c r="BN94" s="58">
        <v>114.05800000000001</v>
      </c>
      <c r="BO94" s="58">
        <v>2647.328</v>
      </c>
      <c r="BP94" s="58">
        <v>1358.335</v>
      </c>
      <c r="BQ94" s="58">
        <v>1288.9929999999999</v>
      </c>
      <c r="BR94" s="58">
        <v>2000.5640000000001</v>
      </c>
      <c r="BS94" s="58">
        <v>1224.623</v>
      </c>
      <c r="BT94" s="58">
        <v>775.94100000000003</v>
      </c>
      <c r="BU94" s="58">
        <v>646.76400000000001</v>
      </c>
      <c r="BV94" s="58">
        <v>133.71199999999999</v>
      </c>
      <c r="BW94" s="58">
        <v>513.05200000000002</v>
      </c>
      <c r="BX94" s="58">
        <v>298.77999999999997</v>
      </c>
      <c r="BY94" s="58">
        <v>151.86699999999999</v>
      </c>
      <c r="BZ94" s="58">
        <v>146.91200000000001</v>
      </c>
      <c r="CA94" s="58">
        <v>82.781000000000006</v>
      </c>
      <c r="CB94" s="58">
        <v>46.404000000000003</v>
      </c>
      <c r="CC94" s="58">
        <v>36.377000000000002</v>
      </c>
      <c r="CD94" s="58">
        <v>43.725000000000001</v>
      </c>
      <c r="CE94" s="58">
        <v>33.682000000000002</v>
      </c>
      <c r="CF94" s="58">
        <v>10.042999999999999</v>
      </c>
      <c r="CG94" s="58">
        <v>26.651</v>
      </c>
      <c r="CH94" s="58">
        <v>19.885999999999999</v>
      </c>
      <c r="CI94" s="58">
        <v>6.7649999999999997</v>
      </c>
      <c r="CJ94" s="58">
        <v>17.074000000000002</v>
      </c>
      <c r="CK94" s="58">
        <v>13.795999999999999</v>
      </c>
      <c r="CL94" s="58">
        <v>3.278</v>
      </c>
      <c r="CM94" s="58">
        <v>39.055999999999997</v>
      </c>
      <c r="CN94" s="58">
        <v>12.722</v>
      </c>
      <c r="CO94" s="58">
        <v>26.334</v>
      </c>
      <c r="CP94" s="58">
        <v>247.411</v>
      </c>
      <c r="CQ94" s="58">
        <v>121.967</v>
      </c>
      <c r="CR94" s="58">
        <v>125.444</v>
      </c>
      <c r="CS94" s="58">
        <v>107.29600000000001</v>
      </c>
      <c r="CT94" s="58">
        <v>78.02</v>
      </c>
      <c r="CU94" s="58">
        <v>29.276</v>
      </c>
      <c r="CV94" s="58">
        <v>140.11500000000001</v>
      </c>
      <c r="CW94" s="58">
        <v>43.947000000000003</v>
      </c>
      <c r="CX94" s="58">
        <v>96.168000000000006</v>
      </c>
      <c r="CY94" s="58">
        <v>141.11099999999999</v>
      </c>
      <c r="CZ94" s="58">
        <v>103.13</v>
      </c>
      <c r="DA94" s="58">
        <v>37.981000000000002</v>
      </c>
      <c r="DB94" s="58">
        <v>157.66900000000001</v>
      </c>
      <c r="DC94" s="58">
        <v>48.737000000000002</v>
      </c>
      <c r="DD94" s="58">
        <v>108.932</v>
      </c>
      <c r="DE94" s="58">
        <v>166.76599999999999</v>
      </c>
      <c r="DF94" s="58">
        <v>63.834000000000003</v>
      </c>
      <c r="DG94" s="58">
        <v>102.932</v>
      </c>
      <c r="DH94" s="58">
        <v>2617.1550000000002</v>
      </c>
      <c r="DI94" s="58">
        <v>1435.3030000000001</v>
      </c>
      <c r="DJ94" s="58">
        <v>1181.8520000000001</v>
      </c>
      <c r="DK94" s="58">
        <v>1665.971</v>
      </c>
      <c r="DL94" s="58">
        <v>1078.383</v>
      </c>
      <c r="DM94" s="58">
        <v>587.58799999999997</v>
      </c>
      <c r="DN94" s="58">
        <v>951.18399999999997</v>
      </c>
      <c r="DO94" s="58">
        <v>356.91899999999998</v>
      </c>
      <c r="DP94" s="58">
        <v>594.26400000000001</v>
      </c>
      <c r="DQ94" s="58">
        <v>290.57400000000001</v>
      </c>
      <c r="DR94" s="58">
        <v>169.84200000000001</v>
      </c>
      <c r="DS94" s="58">
        <v>120.73099999999999</v>
      </c>
      <c r="DT94" s="58">
        <v>109.753</v>
      </c>
      <c r="DU94" s="58">
        <v>65.962000000000003</v>
      </c>
      <c r="DV94" s="58">
        <v>43.790999999999997</v>
      </c>
      <c r="DW94" s="58">
        <v>45.344000000000001</v>
      </c>
      <c r="DX94" s="58">
        <v>31.434000000000001</v>
      </c>
      <c r="DY94" s="58">
        <v>13.91</v>
      </c>
      <c r="DZ94" s="58">
        <v>28.38</v>
      </c>
      <c r="EA94" s="58">
        <v>18.809000000000001</v>
      </c>
      <c r="EB94" s="58">
        <v>9.5719999999999992</v>
      </c>
      <c r="EC94" s="58">
        <v>16.963000000000001</v>
      </c>
      <c r="ED94" s="58">
        <v>12.625</v>
      </c>
      <c r="EE94" s="58">
        <v>4.3380000000000001</v>
      </c>
      <c r="EF94" s="58">
        <v>64.41</v>
      </c>
      <c r="EG94" s="58">
        <v>34.527999999999999</v>
      </c>
      <c r="EH94" s="58">
        <v>29.881</v>
      </c>
      <c r="EI94" s="58">
        <v>211.81899999999999</v>
      </c>
      <c r="EJ94" s="58">
        <v>124.123</v>
      </c>
      <c r="EK94" s="58">
        <v>87.695999999999998</v>
      </c>
      <c r="EL94" s="58">
        <v>75.11</v>
      </c>
      <c r="EM94" s="58">
        <v>55.097000000000001</v>
      </c>
      <c r="EN94" s="58">
        <v>20.013000000000002</v>
      </c>
      <c r="EO94" s="58">
        <v>136.709</v>
      </c>
      <c r="EP94" s="58">
        <v>69.025999999999996</v>
      </c>
      <c r="EQ94" s="58">
        <v>67.683000000000007</v>
      </c>
      <c r="ER94" s="58">
        <v>112.081</v>
      </c>
      <c r="ES94" s="58">
        <v>79.031000000000006</v>
      </c>
      <c r="ET94" s="58">
        <v>33.049999999999997</v>
      </c>
      <c r="EU94" s="58">
        <v>178.49199999999999</v>
      </c>
      <c r="EV94" s="58">
        <v>90.811000000000007</v>
      </c>
      <c r="EW94" s="58">
        <v>87.680999999999997</v>
      </c>
      <c r="EX94" s="58">
        <v>165.09</v>
      </c>
      <c r="EY94" s="58">
        <v>87.834999999999994</v>
      </c>
      <c r="EZ94" s="58">
        <v>77.254999999999995</v>
      </c>
      <c r="FA94" s="58">
        <v>1979.6590000000001</v>
      </c>
      <c r="FB94" s="58">
        <v>1044.008</v>
      </c>
      <c r="FC94" s="58">
        <v>935.65099999999995</v>
      </c>
      <c r="FD94" s="58">
        <v>1370.8009999999999</v>
      </c>
      <c r="FE94" s="58">
        <v>866.39</v>
      </c>
      <c r="FF94" s="58">
        <v>504.411</v>
      </c>
      <c r="FG94" s="58">
        <v>608.85799999999995</v>
      </c>
      <c r="FH94" s="58">
        <v>177.61799999999999</v>
      </c>
      <c r="FI94" s="58">
        <v>431.24</v>
      </c>
      <c r="FJ94" s="58">
        <v>225.53899999999999</v>
      </c>
      <c r="FK94" s="58">
        <v>124.197</v>
      </c>
      <c r="FL94" s="58">
        <v>101.342</v>
      </c>
      <c r="FM94" s="58">
        <v>78.352000000000004</v>
      </c>
      <c r="FN94" s="58">
        <v>42.854999999999997</v>
      </c>
      <c r="FO94" s="58">
        <v>35.497</v>
      </c>
      <c r="FP94" s="58">
        <v>35.868000000000002</v>
      </c>
      <c r="FQ94" s="58">
        <v>23.323</v>
      </c>
      <c r="FR94" s="58">
        <v>12.545999999999999</v>
      </c>
      <c r="FS94" s="58">
        <v>22</v>
      </c>
      <c r="FT94" s="58">
        <v>13.792</v>
      </c>
      <c r="FU94" s="58">
        <v>8.2080000000000002</v>
      </c>
      <c r="FV94" s="58">
        <v>13.869</v>
      </c>
      <c r="FW94" s="58">
        <v>9.5310000000000006</v>
      </c>
      <c r="FX94" s="58">
        <v>4.3380000000000001</v>
      </c>
      <c r="FY94" s="58">
        <v>42.484000000000002</v>
      </c>
      <c r="FZ94" s="58">
        <v>19.533000000000001</v>
      </c>
      <c r="GA94" s="58">
        <v>22.951000000000001</v>
      </c>
      <c r="GB94" s="58">
        <v>170.708</v>
      </c>
      <c r="GC94" s="58">
        <v>95.606999999999999</v>
      </c>
      <c r="GD94" s="58">
        <v>75.100999999999999</v>
      </c>
      <c r="GE94" s="58">
        <v>63.837000000000003</v>
      </c>
      <c r="GF94" s="58">
        <v>45.475999999999999</v>
      </c>
      <c r="GG94" s="58">
        <v>18.361000000000001</v>
      </c>
      <c r="GH94" s="58">
        <v>106.871</v>
      </c>
      <c r="GI94" s="58">
        <v>50.131</v>
      </c>
      <c r="GJ94" s="58">
        <v>56.74</v>
      </c>
      <c r="GK94" s="58">
        <v>94.063999999999993</v>
      </c>
      <c r="GL94" s="58">
        <v>63.66</v>
      </c>
      <c r="GM94" s="58">
        <v>30.402999999999999</v>
      </c>
      <c r="GN94" s="58">
        <v>131.476</v>
      </c>
      <c r="GO94" s="58">
        <v>60.536999999999999</v>
      </c>
      <c r="GP94" s="58">
        <v>70.938999999999993</v>
      </c>
      <c r="GQ94" s="58">
        <v>128.87100000000001</v>
      </c>
      <c r="GR94" s="58">
        <v>63.923000000000002</v>
      </c>
      <c r="GS94" s="58">
        <v>64.947999999999993</v>
      </c>
      <c r="GT94" s="58">
        <v>637.495</v>
      </c>
      <c r="GU94" s="58">
        <v>391.29399999999998</v>
      </c>
      <c r="GV94" s="58">
        <v>246.20099999999999</v>
      </c>
      <c r="GW94" s="58">
        <v>295.17</v>
      </c>
      <c r="GX94" s="58">
        <v>211.99299999999999</v>
      </c>
      <c r="GY94" s="58">
        <v>83.177000000000007</v>
      </c>
      <c r="GZ94" s="58">
        <v>342.32600000000002</v>
      </c>
      <c r="HA94" s="58">
        <v>179.30099999999999</v>
      </c>
      <c r="HB94" s="58">
        <v>163.024</v>
      </c>
      <c r="HC94" s="58">
        <v>65.034000000000006</v>
      </c>
      <c r="HD94" s="58">
        <v>45.645000000000003</v>
      </c>
      <c r="HE94" s="58">
        <v>19.388999999999999</v>
      </c>
      <c r="HF94" s="58">
        <v>31.401</v>
      </c>
      <c r="HG94" s="58">
        <v>23.106999999999999</v>
      </c>
      <c r="HH94" s="58">
        <v>8.2940000000000005</v>
      </c>
      <c r="HI94" s="58">
        <v>9.4749999999999996</v>
      </c>
      <c r="HJ94" s="58">
        <v>8.1110000000000007</v>
      </c>
      <c r="HK94" s="58">
        <v>1.3640000000000001</v>
      </c>
      <c r="HL94" s="58">
        <v>6.3810000000000002</v>
      </c>
      <c r="HM94" s="58">
        <v>5.0170000000000003</v>
      </c>
      <c r="HN94" s="58">
        <v>1.3640000000000001</v>
      </c>
      <c r="HO94" s="58">
        <v>3.0950000000000002</v>
      </c>
      <c r="HP94" s="58">
        <v>3.0950000000000002</v>
      </c>
      <c r="HQ94" s="58">
        <v>0</v>
      </c>
      <c r="HR94" s="58">
        <v>21.925999999999998</v>
      </c>
      <c r="HS94" s="58">
        <v>14.996</v>
      </c>
      <c r="HT94" s="58">
        <v>6.93</v>
      </c>
      <c r="HU94" s="58">
        <v>41.110999999999997</v>
      </c>
      <c r="HV94" s="58">
        <v>28.515999999999998</v>
      </c>
      <c r="HW94" s="58">
        <v>12.595000000000001</v>
      </c>
      <c r="HX94" s="58">
        <v>11.273</v>
      </c>
      <c r="HY94" s="58">
        <v>9.6210000000000004</v>
      </c>
      <c r="HZ94" s="58">
        <v>1.6519999999999999</v>
      </c>
      <c r="IA94" s="58">
        <v>29.838000000000001</v>
      </c>
      <c r="IB94" s="58">
        <v>18.895</v>
      </c>
      <c r="IC94" s="58">
        <v>10.943</v>
      </c>
      <c r="ID94" s="58">
        <v>18.018000000000001</v>
      </c>
      <c r="IE94" s="58">
        <v>15.371</v>
      </c>
      <c r="IF94" s="58">
        <v>2.6469999999999998</v>
      </c>
      <c r="IG94" s="58">
        <v>47.017000000000003</v>
      </c>
      <c r="IH94" s="58">
        <v>30.274000000000001</v>
      </c>
      <c r="II94" s="58">
        <v>16.742999999999999</v>
      </c>
      <c r="IJ94" s="58">
        <v>36.219000000000001</v>
      </c>
      <c r="IK94" s="58">
        <v>23.911999999999999</v>
      </c>
      <c r="IL94" s="58">
        <v>12.307</v>
      </c>
      <c r="IM94" s="58">
        <v>4179.6819999999998</v>
      </c>
      <c r="IN94" s="58">
        <v>2175.4699999999998</v>
      </c>
      <c r="IO94" s="58">
        <v>2004.212</v>
      </c>
      <c r="IP94" s="58">
        <v>2914.6840000000002</v>
      </c>
      <c r="IQ94" s="58">
        <v>1740.202</v>
      </c>
    </row>
    <row r="95" spans="1:251">
      <c r="A95" s="5">
        <v>44378</v>
      </c>
      <c r="B95" s="58">
        <v>28.385000000000002</v>
      </c>
      <c r="C95" s="58">
        <v>35.722999999999999</v>
      </c>
      <c r="D95" s="58">
        <v>376.80099999999999</v>
      </c>
      <c r="E95" s="58">
        <v>227.93</v>
      </c>
      <c r="F95" s="58">
        <v>148.87100000000001</v>
      </c>
      <c r="G95" s="58">
        <v>183.75899999999999</v>
      </c>
      <c r="H95" s="58">
        <v>138.523</v>
      </c>
      <c r="I95" s="58">
        <v>45.235999999999997</v>
      </c>
      <c r="J95" s="58">
        <v>193.042</v>
      </c>
      <c r="K95" s="58">
        <v>89.406999999999996</v>
      </c>
      <c r="L95" s="58">
        <v>103.63500000000001</v>
      </c>
      <c r="M95" s="58">
        <v>242.62299999999999</v>
      </c>
      <c r="N95" s="58">
        <v>173.85599999999999</v>
      </c>
      <c r="O95" s="58">
        <v>68.766999999999996</v>
      </c>
      <c r="P95" s="58">
        <v>228.31100000000001</v>
      </c>
      <c r="Q95" s="58">
        <v>99.753</v>
      </c>
      <c r="R95" s="58">
        <v>128.55799999999999</v>
      </c>
      <c r="S95" s="58">
        <v>248.846</v>
      </c>
      <c r="T95" s="58">
        <v>123.833</v>
      </c>
      <c r="U95" s="58">
        <v>125.01300000000001</v>
      </c>
      <c r="V95" s="58">
        <v>2934.1790000000001</v>
      </c>
      <c r="W95" s="58">
        <v>1552.89</v>
      </c>
      <c r="X95" s="58">
        <v>1381.288</v>
      </c>
      <c r="Y95" s="58">
        <v>2192.1759999999999</v>
      </c>
      <c r="Z95" s="58">
        <v>1412.7080000000001</v>
      </c>
      <c r="AA95" s="58">
        <v>779.46699999999998</v>
      </c>
      <c r="AB95" s="58">
        <v>742.00300000000004</v>
      </c>
      <c r="AC95" s="58">
        <v>140.18199999999999</v>
      </c>
      <c r="AD95" s="58">
        <v>601.82100000000003</v>
      </c>
      <c r="AE95" s="58">
        <v>363.13499999999999</v>
      </c>
      <c r="AF95" s="58">
        <v>191.85300000000001</v>
      </c>
      <c r="AG95" s="58">
        <v>171.28299999999999</v>
      </c>
      <c r="AH95" s="58">
        <v>110.836</v>
      </c>
      <c r="AI95" s="58">
        <v>60.225999999999999</v>
      </c>
      <c r="AJ95" s="58">
        <v>50.61</v>
      </c>
      <c r="AK95" s="58">
        <v>63.08</v>
      </c>
      <c r="AL95" s="58">
        <v>46.213999999999999</v>
      </c>
      <c r="AM95" s="58">
        <v>16.866</v>
      </c>
      <c r="AN95" s="58">
        <v>46.061999999999998</v>
      </c>
      <c r="AO95" s="58">
        <v>34.085000000000001</v>
      </c>
      <c r="AP95" s="58">
        <v>11.977</v>
      </c>
      <c r="AQ95" s="58">
        <v>17.018000000000001</v>
      </c>
      <c r="AR95" s="58">
        <v>12.13</v>
      </c>
      <c r="AS95" s="58">
        <v>4.8879999999999999</v>
      </c>
      <c r="AT95" s="58">
        <v>47.756</v>
      </c>
      <c r="AU95" s="58">
        <v>14.012</v>
      </c>
      <c r="AV95" s="58">
        <v>33.744</v>
      </c>
      <c r="AW95" s="58">
        <v>294.68799999999999</v>
      </c>
      <c r="AX95" s="58">
        <v>156.364</v>
      </c>
      <c r="AY95" s="58">
        <v>138.32400000000001</v>
      </c>
      <c r="AZ95" s="58">
        <v>148.19900000000001</v>
      </c>
      <c r="BA95" s="58">
        <v>113.90300000000001</v>
      </c>
      <c r="BB95" s="58">
        <v>34.295999999999999</v>
      </c>
      <c r="BC95" s="58">
        <v>146.489</v>
      </c>
      <c r="BD95" s="58">
        <v>42.460999999999999</v>
      </c>
      <c r="BE95" s="58">
        <v>104.02800000000001</v>
      </c>
      <c r="BF95" s="58">
        <v>192.64500000000001</v>
      </c>
      <c r="BG95" s="58">
        <v>143.52699999999999</v>
      </c>
      <c r="BH95" s="58">
        <v>49.118000000000002</v>
      </c>
      <c r="BI95" s="58">
        <v>170.49</v>
      </c>
      <c r="BJ95" s="58">
        <v>48.326000000000001</v>
      </c>
      <c r="BK95" s="58">
        <v>122.16500000000001</v>
      </c>
      <c r="BL95" s="58">
        <v>192.55099999999999</v>
      </c>
      <c r="BM95" s="58">
        <v>76.546000000000006</v>
      </c>
      <c r="BN95" s="58">
        <v>116.005</v>
      </c>
      <c r="BO95" s="58">
        <v>2652.067</v>
      </c>
      <c r="BP95" s="58">
        <v>1361.0319999999999</v>
      </c>
      <c r="BQ95" s="58">
        <v>1291.0350000000001</v>
      </c>
      <c r="BR95" s="58">
        <v>2016.4159999999999</v>
      </c>
      <c r="BS95" s="58">
        <v>1221.7650000000001</v>
      </c>
      <c r="BT95" s="58">
        <v>794.65099999999995</v>
      </c>
      <c r="BU95" s="58">
        <v>635.65099999999995</v>
      </c>
      <c r="BV95" s="58">
        <v>139.267</v>
      </c>
      <c r="BW95" s="58">
        <v>496.38400000000001</v>
      </c>
      <c r="BX95" s="58">
        <v>321.26799999999997</v>
      </c>
      <c r="BY95" s="58">
        <v>159.42500000000001</v>
      </c>
      <c r="BZ95" s="58">
        <v>161.84299999999999</v>
      </c>
      <c r="CA95" s="58">
        <v>100.178</v>
      </c>
      <c r="CB95" s="58">
        <v>53.597000000000001</v>
      </c>
      <c r="CC95" s="58">
        <v>46.582000000000001</v>
      </c>
      <c r="CD95" s="58">
        <v>50.924999999999997</v>
      </c>
      <c r="CE95" s="58">
        <v>36.780999999999999</v>
      </c>
      <c r="CF95" s="58">
        <v>14.144</v>
      </c>
      <c r="CG95" s="58">
        <v>32.167000000000002</v>
      </c>
      <c r="CH95" s="58">
        <v>23.013999999999999</v>
      </c>
      <c r="CI95" s="58">
        <v>9.1530000000000005</v>
      </c>
      <c r="CJ95" s="58">
        <v>18.757999999999999</v>
      </c>
      <c r="CK95" s="58">
        <v>13.766999999999999</v>
      </c>
      <c r="CL95" s="58">
        <v>4.9909999999999997</v>
      </c>
      <c r="CM95" s="58">
        <v>49.253</v>
      </c>
      <c r="CN95" s="58">
        <v>16.815000000000001</v>
      </c>
      <c r="CO95" s="58">
        <v>32.438000000000002</v>
      </c>
      <c r="CP95" s="58">
        <v>253.779</v>
      </c>
      <c r="CQ95" s="58">
        <v>121.283</v>
      </c>
      <c r="CR95" s="58">
        <v>132.49700000000001</v>
      </c>
      <c r="CS95" s="58">
        <v>116.089</v>
      </c>
      <c r="CT95" s="58">
        <v>81.561000000000007</v>
      </c>
      <c r="CU95" s="58">
        <v>34.527999999999999</v>
      </c>
      <c r="CV95" s="58">
        <v>137.69</v>
      </c>
      <c r="CW95" s="58">
        <v>39.720999999999997</v>
      </c>
      <c r="CX95" s="58">
        <v>97.968999999999994</v>
      </c>
      <c r="CY95" s="58">
        <v>157.941</v>
      </c>
      <c r="CZ95" s="58">
        <v>112.176</v>
      </c>
      <c r="DA95" s="58">
        <v>45.765000000000001</v>
      </c>
      <c r="DB95" s="58">
        <v>163.327</v>
      </c>
      <c r="DC95" s="58">
        <v>47.249000000000002</v>
      </c>
      <c r="DD95" s="58">
        <v>116.078</v>
      </c>
      <c r="DE95" s="58">
        <v>169.858</v>
      </c>
      <c r="DF95" s="58">
        <v>62.735999999999997</v>
      </c>
      <c r="DG95" s="58">
        <v>107.122</v>
      </c>
      <c r="DH95" s="58">
        <v>2601.665</v>
      </c>
      <c r="DI95" s="58">
        <v>1428.9259999999999</v>
      </c>
      <c r="DJ95" s="58">
        <v>1172.739</v>
      </c>
      <c r="DK95" s="58">
        <v>1664.673</v>
      </c>
      <c r="DL95" s="58">
        <v>1078.0119999999999</v>
      </c>
      <c r="DM95" s="58">
        <v>586.66099999999994</v>
      </c>
      <c r="DN95" s="58">
        <v>936.99199999999996</v>
      </c>
      <c r="DO95" s="58">
        <v>350.91399999999999</v>
      </c>
      <c r="DP95" s="58">
        <v>586.07799999999997</v>
      </c>
      <c r="DQ95" s="58">
        <v>300.37400000000002</v>
      </c>
      <c r="DR95" s="58">
        <v>170.44399999999999</v>
      </c>
      <c r="DS95" s="58">
        <v>129.93</v>
      </c>
      <c r="DT95" s="58">
        <v>130.57400000000001</v>
      </c>
      <c r="DU95" s="58">
        <v>76.475999999999999</v>
      </c>
      <c r="DV95" s="58">
        <v>54.098999999999997</v>
      </c>
      <c r="DW95" s="58">
        <v>53.158000000000001</v>
      </c>
      <c r="DX95" s="58">
        <v>37.597999999999999</v>
      </c>
      <c r="DY95" s="58">
        <v>15.56</v>
      </c>
      <c r="DZ95" s="58">
        <v>38.707000000000001</v>
      </c>
      <c r="EA95" s="58">
        <v>26.568000000000001</v>
      </c>
      <c r="EB95" s="58">
        <v>12.138999999999999</v>
      </c>
      <c r="EC95" s="58">
        <v>14.45</v>
      </c>
      <c r="ED95" s="58">
        <v>11.029</v>
      </c>
      <c r="EE95" s="58">
        <v>3.4209999999999998</v>
      </c>
      <c r="EF95" s="58">
        <v>77.415999999999997</v>
      </c>
      <c r="EG95" s="58">
        <v>38.878</v>
      </c>
      <c r="EH95" s="58">
        <v>38.537999999999997</v>
      </c>
      <c r="EI95" s="58">
        <v>203.16499999999999</v>
      </c>
      <c r="EJ95" s="58">
        <v>113.614</v>
      </c>
      <c r="EK95" s="58">
        <v>89.55</v>
      </c>
      <c r="EL95" s="58">
        <v>72.747</v>
      </c>
      <c r="EM95" s="58">
        <v>55.32</v>
      </c>
      <c r="EN95" s="58">
        <v>17.427</v>
      </c>
      <c r="EO95" s="58">
        <v>130.41800000000001</v>
      </c>
      <c r="EP95" s="58">
        <v>58.293999999999997</v>
      </c>
      <c r="EQ95" s="58">
        <v>72.123000000000005</v>
      </c>
      <c r="ER95" s="58">
        <v>121.215</v>
      </c>
      <c r="ES95" s="58">
        <v>89.27</v>
      </c>
      <c r="ET95" s="58">
        <v>31.945</v>
      </c>
      <c r="EU95" s="58">
        <v>179.15899999999999</v>
      </c>
      <c r="EV95" s="58">
        <v>81.174000000000007</v>
      </c>
      <c r="EW95" s="58">
        <v>97.984999999999999</v>
      </c>
      <c r="EX95" s="58">
        <v>169.125</v>
      </c>
      <c r="EY95" s="58">
        <v>84.863</v>
      </c>
      <c r="EZ95" s="58">
        <v>84.263000000000005</v>
      </c>
      <c r="FA95" s="58">
        <v>1967.09</v>
      </c>
      <c r="FB95" s="58">
        <v>1036.646</v>
      </c>
      <c r="FC95" s="58">
        <v>930.44399999999996</v>
      </c>
      <c r="FD95" s="58">
        <v>1363.201</v>
      </c>
      <c r="FE95" s="58">
        <v>861.51599999999996</v>
      </c>
      <c r="FF95" s="58">
        <v>501.685</v>
      </c>
      <c r="FG95" s="58">
        <v>603.88900000000001</v>
      </c>
      <c r="FH95" s="58">
        <v>175.13</v>
      </c>
      <c r="FI95" s="58">
        <v>428.75900000000001</v>
      </c>
      <c r="FJ95" s="58">
        <v>224.92400000000001</v>
      </c>
      <c r="FK95" s="58">
        <v>119.669</v>
      </c>
      <c r="FL95" s="58">
        <v>105.255</v>
      </c>
      <c r="FM95" s="58">
        <v>88.405000000000001</v>
      </c>
      <c r="FN95" s="58">
        <v>47.869</v>
      </c>
      <c r="FO95" s="58">
        <v>40.536000000000001</v>
      </c>
      <c r="FP95" s="58">
        <v>41.253</v>
      </c>
      <c r="FQ95" s="58">
        <v>27.763999999999999</v>
      </c>
      <c r="FR95" s="58">
        <v>13.489000000000001</v>
      </c>
      <c r="FS95" s="58">
        <v>31.219000000000001</v>
      </c>
      <c r="FT95" s="58">
        <v>20.103999999999999</v>
      </c>
      <c r="FU95" s="58">
        <v>11.114000000000001</v>
      </c>
      <c r="FV95" s="58">
        <v>10.034000000000001</v>
      </c>
      <c r="FW95" s="58">
        <v>7.66</v>
      </c>
      <c r="FX95" s="58">
        <v>2.3740000000000001</v>
      </c>
      <c r="FY95" s="58">
        <v>47.152000000000001</v>
      </c>
      <c r="FZ95" s="58">
        <v>20.105</v>
      </c>
      <c r="GA95" s="58">
        <v>27.047000000000001</v>
      </c>
      <c r="GB95" s="58">
        <v>162.523</v>
      </c>
      <c r="GC95" s="58">
        <v>85.47</v>
      </c>
      <c r="GD95" s="58">
        <v>77.052999999999997</v>
      </c>
      <c r="GE95" s="58">
        <v>62.905999999999999</v>
      </c>
      <c r="GF95" s="58">
        <v>46.05</v>
      </c>
      <c r="GG95" s="58">
        <v>16.856000000000002</v>
      </c>
      <c r="GH95" s="58">
        <v>99.617000000000004</v>
      </c>
      <c r="GI95" s="58">
        <v>39.42</v>
      </c>
      <c r="GJ95" s="58">
        <v>60.198</v>
      </c>
      <c r="GK95" s="58">
        <v>100.86799999999999</v>
      </c>
      <c r="GL95" s="58">
        <v>71.566000000000003</v>
      </c>
      <c r="GM95" s="58">
        <v>29.303000000000001</v>
      </c>
      <c r="GN95" s="58">
        <v>124.056</v>
      </c>
      <c r="GO95" s="58">
        <v>48.103000000000002</v>
      </c>
      <c r="GP95" s="58">
        <v>75.951999999999998</v>
      </c>
      <c r="GQ95" s="58">
        <v>130.83600000000001</v>
      </c>
      <c r="GR95" s="58">
        <v>59.524000000000001</v>
      </c>
      <c r="GS95" s="58">
        <v>71.311999999999998</v>
      </c>
      <c r="GT95" s="58">
        <v>634.57399999999996</v>
      </c>
      <c r="GU95" s="58">
        <v>392.28</v>
      </c>
      <c r="GV95" s="58">
        <v>242.29499999999999</v>
      </c>
      <c r="GW95" s="58">
        <v>301.47199999999998</v>
      </c>
      <c r="GX95" s="58">
        <v>216.495</v>
      </c>
      <c r="GY95" s="58">
        <v>84.975999999999999</v>
      </c>
      <c r="GZ95" s="58">
        <v>333.10300000000001</v>
      </c>
      <c r="HA95" s="58">
        <v>175.78399999999999</v>
      </c>
      <c r="HB95" s="58">
        <v>157.31899999999999</v>
      </c>
      <c r="HC95" s="58">
        <v>75.450999999999993</v>
      </c>
      <c r="HD95" s="58">
        <v>50.774999999999999</v>
      </c>
      <c r="HE95" s="58">
        <v>24.675000000000001</v>
      </c>
      <c r="HF95" s="58">
        <v>42.168999999999997</v>
      </c>
      <c r="HG95" s="58">
        <v>28.606999999999999</v>
      </c>
      <c r="HH95" s="58">
        <v>13.561999999999999</v>
      </c>
      <c r="HI95" s="58">
        <v>11.904999999999999</v>
      </c>
      <c r="HJ95" s="58">
        <v>9.8339999999999996</v>
      </c>
      <c r="HK95" s="58">
        <v>2.0710000000000002</v>
      </c>
      <c r="HL95" s="58">
        <v>7.4889999999999999</v>
      </c>
      <c r="HM95" s="58">
        <v>6.4640000000000004</v>
      </c>
      <c r="HN95" s="58">
        <v>1.0249999999999999</v>
      </c>
      <c r="HO95" s="58">
        <v>4.4160000000000004</v>
      </c>
      <c r="HP95" s="58">
        <v>3.37</v>
      </c>
      <c r="HQ95" s="58">
        <v>1.0469999999999999</v>
      </c>
      <c r="HR95" s="58">
        <v>30.263999999999999</v>
      </c>
      <c r="HS95" s="58">
        <v>18.773</v>
      </c>
      <c r="HT95" s="58">
        <v>11.491</v>
      </c>
      <c r="HU95" s="58">
        <v>40.642000000000003</v>
      </c>
      <c r="HV95" s="58">
        <v>28.143999999999998</v>
      </c>
      <c r="HW95" s="58">
        <v>12.497</v>
      </c>
      <c r="HX95" s="58">
        <v>9.8409999999999993</v>
      </c>
      <c r="HY95" s="58">
        <v>9.27</v>
      </c>
      <c r="HZ95" s="58">
        <v>0.57199999999999995</v>
      </c>
      <c r="IA95" s="58">
        <v>30.8</v>
      </c>
      <c r="IB95" s="58">
        <v>18.875</v>
      </c>
      <c r="IC95" s="58">
        <v>11.926</v>
      </c>
      <c r="ID95" s="58">
        <v>20.347000000000001</v>
      </c>
      <c r="IE95" s="58">
        <v>17.704000000000001</v>
      </c>
      <c r="IF95" s="58">
        <v>2.6429999999999998</v>
      </c>
      <c r="IG95" s="58">
        <v>55.103000000000002</v>
      </c>
      <c r="IH95" s="58">
        <v>33.070999999999998</v>
      </c>
      <c r="II95" s="58">
        <v>22.032</v>
      </c>
      <c r="IJ95" s="58">
        <v>38.289000000000001</v>
      </c>
      <c r="IK95" s="58">
        <v>25.338999999999999</v>
      </c>
      <c r="IL95" s="58">
        <v>12.95</v>
      </c>
      <c r="IM95" s="58">
        <v>4134.6880000000001</v>
      </c>
      <c r="IN95" s="58">
        <v>2172.6089999999999</v>
      </c>
      <c r="IO95" s="58">
        <v>1962.08</v>
      </c>
      <c r="IP95" s="58">
        <v>2928.7089999999998</v>
      </c>
      <c r="IQ95" s="58">
        <v>1764.8910000000001</v>
      </c>
    </row>
    <row r="96" spans="1:251">
      <c r="A96" s="5">
        <v>44409</v>
      </c>
      <c r="B96" s="58">
        <v>28.195</v>
      </c>
      <c r="C96" s="58">
        <v>49.481999999999999</v>
      </c>
      <c r="D96" s="58">
        <v>365.69900000000001</v>
      </c>
      <c r="E96" s="58">
        <v>209.06100000000001</v>
      </c>
      <c r="F96" s="58">
        <v>156.63800000000001</v>
      </c>
      <c r="G96" s="58">
        <v>160.89599999999999</v>
      </c>
      <c r="H96" s="58">
        <v>118.705</v>
      </c>
      <c r="I96" s="58">
        <v>42.191000000000003</v>
      </c>
      <c r="J96" s="58">
        <v>204.803</v>
      </c>
      <c r="K96" s="58">
        <v>90.356999999999999</v>
      </c>
      <c r="L96" s="58">
        <v>114.447</v>
      </c>
      <c r="M96" s="58">
        <v>253.23500000000001</v>
      </c>
      <c r="N96" s="58">
        <v>180.45500000000001</v>
      </c>
      <c r="O96" s="58">
        <v>72.78</v>
      </c>
      <c r="P96" s="58">
        <v>244.941</v>
      </c>
      <c r="Q96" s="58">
        <v>103.52800000000001</v>
      </c>
      <c r="R96" s="58">
        <v>141.41300000000001</v>
      </c>
      <c r="S96" s="58">
        <v>299.46100000000001</v>
      </c>
      <c r="T96" s="58">
        <v>149.75399999999999</v>
      </c>
      <c r="U96" s="58">
        <v>149.70699999999999</v>
      </c>
      <c r="V96" s="58">
        <v>2900.1</v>
      </c>
      <c r="W96" s="58">
        <v>1534.2449999999999</v>
      </c>
      <c r="X96" s="58">
        <v>1365.855</v>
      </c>
      <c r="Y96" s="58">
        <v>2168.2240000000002</v>
      </c>
      <c r="Z96" s="58">
        <v>1393.9480000000001</v>
      </c>
      <c r="AA96" s="58">
        <v>774.27499999999998</v>
      </c>
      <c r="AB96" s="58">
        <v>731.87699999999995</v>
      </c>
      <c r="AC96" s="58">
        <v>140.297</v>
      </c>
      <c r="AD96" s="58">
        <v>591.57899999999995</v>
      </c>
      <c r="AE96" s="58">
        <v>371.48700000000002</v>
      </c>
      <c r="AF96" s="58">
        <v>208.55699999999999</v>
      </c>
      <c r="AG96" s="58">
        <v>162.93</v>
      </c>
      <c r="AH96" s="58">
        <v>151.16499999999999</v>
      </c>
      <c r="AI96" s="58">
        <v>85.715000000000003</v>
      </c>
      <c r="AJ96" s="58">
        <v>65.45</v>
      </c>
      <c r="AK96" s="58">
        <v>94.052000000000007</v>
      </c>
      <c r="AL96" s="58">
        <v>66.263999999999996</v>
      </c>
      <c r="AM96" s="58">
        <v>27.788</v>
      </c>
      <c r="AN96" s="58">
        <v>68.828000000000003</v>
      </c>
      <c r="AO96" s="58">
        <v>46.877000000000002</v>
      </c>
      <c r="AP96" s="58">
        <v>21.951000000000001</v>
      </c>
      <c r="AQ96" s="58">
        <v>25.224</v>
      </c>
      <c r="AR96" s="58">
        <v>19.387</v>
      </c>
      <c r="AS96" s="58">
        <v>5.8369999999999997</v>
      </c>
      <c r="AT96" s="58">
        <v>57.113</v>
      </c>
      <c r="AU96" s="58">
        <v>19.451000000000001</v>
      </c>
      <c r="AV96" s="58">
        <v>37.661999999999999</v>
      </c>
      <c r="AW96" s="58">
        <v>261.01400000000001</v>
      </c>
      <c r="AX96" s="58">
        <v>147.696</v>
      </c>
      <c r="AY96" s="58">
        <v>113.318</v>
      </c>
      <c r="AZ96" s="58">
        <v>127.80800000000001</v>
      </c>
      <c r="BA96" s="58">
        <v>100.548</v>
      </c>
      <c r="BB96" s="58">
        <v>27.26</v>
      </c>
      <c r="BC96" s="58">
        <v>133.20599999999999</v>
      </c>
      <c r="BD96" s="58">
        <v>47.148000000000003</v>
      </c>
      <c r="BE96" s="58">
        <v>86.058000000000007</v>
      </c>
      <c r="BF96" s="58">
        <v>207.35300000000001</v>
      </c>
      <c r="BG96" s="58">
        <v>154.37799999999999</v>
      </c>
      <c r="BH96" s="58">
        <v>52.975000000000001</v>
      </c>
      <c r="BI96" s="58">
        <v>164.13399999999999</v>
      </c>
      <c r="BJ96" s="58">
        <v>54.179000000000002</v>
      </c>
      <c r="BK96" s="58">
        <v>109.955</v>
      </c>
      <c r="BL96" s="58">
        <v>202.03399999999999</v>
      </c>
      <c r="BM96" s="58">
        <v>94.025000000000006</v>
      </c>
      <c r="BN96" s="58">
        <v>108.009</v>
      </c>
      <c r="BO96" s="58">
        <v>2646.31</v>
      </c>
      <c r="BP96" s="58">
        <v>1364.5820000000001</v>
      </c>
      <c r="BQ96" s="58">
        <v>1281.7280000000001</v>
      </c>
      <c r="BR96" s="58">
        <v>2007.2940000000001</v>
      </c>
      <c r="BS96" s="58">
        <v>1220.0830000000001</v>
      </c>
      <c r="BT96" s="58">
        <v>787.21100000000001</v>
      </c>
      <c r="BU96" s="58">
        <v>639.01599999999996</v>
      </c>
      <c r="BV96" s="58">
        <v>144.499</v>
      </c>
      <c r="BW96" s="58">
        <v>494.517</v>
      </c>
      <c r="BX96" s="58">
        <v>344.45800000000003</v>
      </c>
      <c r="BY96" s="58">
        <v>181.381</v>
      </c>
      <c r="BZ96" s="58">
        <v>163.078</v>
      </c>
      <c r="CA96" s="58">
        <v>137.828</v>
      </c>
      <c r="CB96" s="58">
        <v>80.361000000000004</v>
      </c>
      <c r="CC96" s="58">
        <v>57.466999999999999</v>
      </c>
      <c r="CD96" s="58">
        <v>87.965999999999994</v>
      </c>
      <c r="CE96" s="58">
        <v>60.371000000000002</v>
      </c>
      <c r="CF96" s="58">
        <v>27.594999999999999</v>
      </c>
      <c r="CG96" s="58">
        <v>65.325000000000003</v>
      </c>
      <c r="CH96" s="58">
        <v>44.48</v>
      </c>
      <c r="CI96" s="58">
        <v>20.844999999999999</v>
      </c>
      <c r="CJ96" s="58">
        <v>22.640999999999998</v>
      </c>
      <c r="CK96" s="58">
        <v>15.891</v>
      </c>
      <c r="CL96" s="58">
        <v>6.75</v>
      </c>
      <c r="CM96" s="58">
        <v>49.862000000000002</v>
      </c>
      <c r="CN96" s="58">
        <v>19.989999999999998</v>
      </c>
      <c r="CO96" s="58">
        <v>29.872</v>
      </c>
      <c r="CP96" s="58">
        <v>252.74199999999999</v>
      </c>
      <c r="CQ96" s="58">
        <v>125.566</v>
      </c>
      <c r="CR96" s="58">
        <v>127.176</v>
      </c>
      <c r="CS96" s="58">
        <v>107.717</v>
      </c>
      <c r="CT96" s="58">
        <v>80.433000000000007</v>
      </c>
      <c r="CU96" s="58">
        <v>27.283999999999999</v>
      </c>
      <c r="CV96" s="58">
        <v>145.02500000000001</v>
      </c>
      <c r="CW96" s="58">
        <v>45.133000000000003</v>
      </c>
      <c r="CX96" s="58">
        <v>99.891999999999996</v>
      </c>
      <c r="CY96" s="58">
        <v>179.10900000000001</v>
      </c>
      <c r="CZ96" s="58">
        <v>129.887</v>
      </c>
      <c r="DA96" s="58">
        <v>49.222000000000001</v>
      </c>
      <c r="DB96" s="58">
        <v>165.35</v>
      </c>
      <c r="DC96" s="58">
        <v>51.494</v>
      </c>
      <c r="DD96" s="58">
        <v>113.85599999999999</v>
      </c>
      <c r="DE96" s="58">
        <v>210.35</v>
      </c>
      <c r="DF96" s="58">
        <v>89.613</v>
      </c>
      <c r="DG96" s="58">
        <v>120.73699999999999</v>
      </c>
      <c r="DH96" s="58">
        <v>2579.873</v>
      </c>
      <c r="DI96" s="58">
        <v>1414.65</v>
      </c>
      <c r="DJ96" s="58">
        <v>1165.222</v>
      </c>
      <c r="DK96" s="58">
        <v>1640.057</v>
      </c>
      <c r="DL96" s="58">
        <v>1068.6990000000001</v>
      </c>
      <c r="DM96" s="58">
        <v>571.35799999999995</v>
      </c>
      <c r="DN96" s="58">
        <v>939.81600000000003</v>
      </c>
      <c r="DO96" s="58">
        <v>345.95100000000002</v>
      </c>
      <c r="DP96" s="58">
        <v>593.86400000000003</v>
      </c>
      <c r="DQ96" s="58">
        <v>326.18799999999999</v>
      </c>
      <c r="DR96" s="58">
        <v>184.399</v>
      </c>
      <c r="DS96" s="58">
        <v>141.78800000000001</v>
      </c>
      <c r="DT96" s="58">
        <v>162.40700000000001</v>
      </c>
      <c r="DU96" s="58">
        <v>95.177000000000007</v>
      </c>
      <c r="DV96" s="58">
        <v>67.23</v>
      </c>
      <c r="DW96" s="58">
        <v>76.597999999999999</v>
      </c>
      <c r="DX96" s="58">
        <v>58.637</v>
      </c>
      <c r="DY96" s="58">
        <v>17.962</v>
      </c>
      <c r="DZ96" s="58">
        <v>57.972999999999999</v>
      </c>
      <c r="EA96" s="58">
        <v>43.930999999999997</v>
      </c>
      <c r="EB96" s="58">
        <v>14.042</v>
      </c>
      <c r="EC96" s="58">
        <v>18.625</v>
      </c>
      <c r="ED96" s="58">
        <v>14.706</v>
      </c>
      <c r="EE96" s="58">
        <v>3.92</v>
      </c>
      <c r="EF96" s="58">
        <v>85.808000000000007</v>
      </c>
      <c r="EG96" s="58">
        <v>36.54</v>
      </c>
      <c r="EH96" s="58">
        <v>49.268000000000001</v>
      </c>
      <c r="EI96" s="58">
        <v>195.41800000000001</v>
      </c>
      <c r="EJ96" s="58">
        <v>104.253</v>
      </c>
      <c r="EK96" s="58">
        <v>91.164000000000001</v>
      </c>
      <c r="EL96" s="58">
        <v>66.617000000000004</v>
      </c>
      <c r="EM96" s="58">
        <v>48.906999999999996</v>
      </c>
      <c r="EN96" s="58">
        <v>17.71</v>
      </c>
      <c r="EO96" s="58">
        <v>128.80099999999999</v>
      </c>
      <c r="EP96" s="58">
        <v>55.345999999999997</v>
      </c>
      <c r="EQ96" s="58">
        <v>73.454999999999998</v>
      </c>
      <c r="ER96" s="58">
        <v>132.82400000000001</v>
      </c>
      <c r="ES96" s="58">
        <v>100.355</v>
      </c>
      <c r="ET96" s="58">
        <v>32.469000000000001</v>
      </c>
      <c r="EU96" s="58">
        <v>193.364</v>
      </c>
      <c r="EV96" s="58">
        <v>84.043999999999997</v>
      </c>
      <c r="EW96" s="58">
        <v>109.319</v>
      </c>
      <c r="EX96" s="58">
        <v>186.774</v>
      </c>
      <c r="EY96" s="58">
        <v>99.277000000000001</v>
      </c>
      <c r="EZ96" s="58">
        <v>87.497</v>
      </c>
      <c r="FA96" s="58">
        <v>1950.9</v>
      </c>
      <c r="FB96" s="58">
        <v>1031.0840000000001</v>
      </c>
      <c r="FC96" s="58">
        <v>919.81600000000003</v>
      </c>
      <c r="FD96" s="58">
        <v>1349.104</v>
      </c>
      <c r="FE96" s="58">
        <v>856.40599999999995</v>
      </c>
      <c r="FF96" s="58">
        <v>492.69799999999998</v>
      </c>
      <c r="FG96" s="58">
        <v>601.79700000000003</v>
      </c>
      <c r="FH96" s="58">
        <v>174.678</v>
      </c>
      <c r="FI96" s="58">
        <v>427.11900000000003</v>
      </c>
      <c r="FJ96" s="58">
        <v>242.65</v>
      </c>
      <c r="FK96" s="58">
        <v>131.732</v>
      </c>
      <c r="FL96" s="58">
        <v>110.91800000000001</v>
      </c>
      <c r="FM96" s="58">
        <v>112.395</v>
      </c>
      <c r="FN96" s="58">
        <v>63.988999999999997</v>
      </c>
      <c r="FO96" s="58">
        <v>48.405999999999999</v>
      </c>
      <c r="FP96" s="58">
        <v>60.713000000000001</v>
      </c>
      <c r="FQ96" s="58">
        <v>44.658000000000001</v>
      </c>
      <c r="FR96" s="58">
        <v>16.055</v>
      </c>
      <c r="FS96" s="58">
        <v>46.322000000000003</v>
      </c>
      <c r="FT96" s="58">
        <v>33.816000000000003</v>
      </c>
      <c r="FU96" s="58">
        <v>12.507</v>
      </c>
      <c r="FV96" s="58">
        <v>14.391</v>
      </c>
      <c r="FW96" s="58">
        <v>10.842000000000001</v>
      </c>
      <c r="FX96" s="58">
        <v>3.5489999999999999</v>
      </c>
      <c r="FY96" s="58">
        <v>51.682000000000002</v>
      </c>
      <c r="FZ96" s="58">
        <v>19.332000000000001</v>
      </c>
      <c r="GA96" s="58">
        <v>32.35</v>
      </c>
      <c r="GB96" s="58">
        <v>153.22399999999999</v>
      </c>
      <c r="GC96" s="58">
        <v>77.628</v>
      </c>
      <c r="GD96" s="58">
        <v>75.596000000000004</v>
      </c>
      <c r="GE96" s="58">
        <v>55.962000000000003</v>
      </c>
      <c r="GF96" s="58">
        <v>38.692999999999998</v>
      </c>
      <c r="GG96" s="58">
        <v>17.268999999999998</v>
      </c>
      <c r="GH96" s="58">
        <v>97.262</v>
      </c>
      <c r="GI96" s="58">
        <v>38.935000000000002</v>
      </c>
      <c r="GJ96" s="58">
        <v>58.326999999999998</v>
      </c>
      <c r="GK96" s="58">
        <v>108.62</v>
      </c>
      <c r="GL96" s="58">
        <v>78.498999999999995</v>
      </c>
      <c r="GM96" s="58">
        <v>30.122</v>
      </c>
      <c r="GN96" s="58">
        <v>134.029</v>
      </c>
      <c r="GO96" s="58">
        <v>53.232999999999997</v>
      </c>
      <c r="GP96" s="58">
        <v>80.796000000000006</v>
      </c>
      <c r="GQ96" s="58">
        <v>143.584</v>
      </c>
      <c r="GR96" s="58">
        <v>72.75</v>
      </c>
      <c r="GS96" s="58">
        <v>70.832999999999998</v>
      </c>
      <c r="GT96" s="58">
        <v>628.97199999999998</v>
      </c>
      <c r="GU96" s="58">
        <v>383.56700000000001</v>
      </c>
      <c r="GV96" s="58">
        <v>245.40600000000001</v>
      </c>
      <c r="GW96" s="58">
        <v>290.95299999999997</v>
      </c>
      <c r="GX96" s="58">
        <v>212.29300000000001</v>
      </c>
      <c r="GY96" s="58">
        <v>78.66</v>
      </c>
      <c r="GZ96" s="58">
        <v>338.01900000000001</v>
      </c>
      <c r="HA96" s="58">
        <v>171.274</v>
      </c>
      <c r="HB96" s="58">
        <v>166.745</v>
      </c>
      <c r="HC96" s="58">
        <v>83.537999999999997</v>
      </c>
      <c r="HD96" s="58">
        <v>52.667000000000002</v>
      </c>
      <c r="HE96" s="58">
        <v>30.870999999999999</v>
      </c>
      <c r="HF96" s="58">
        <v>50.012</v>
      </c>
      <c r="HG96" s="58">
        <v>31.187000000000001</v>
      </c>
      <c r="HH96" s="58">
        <v>18.824999999999999</v>
      </c>
      <c r="HI96" s="58">
        <v>15.885</v>
      </c>
      <c r="HJ96" s="58">
        <v>13.978999999999999</v>
      </c>
      <c r="HK96" s="58">
        <v>1.907</v>
      </c>
      <c r="HL96" s="58">
        <v>11.651</v>
      </c>
      <c r="HM96" s="58">
        <v>10.115</v>
      </c>
      <c r="HN96" s="58">
        <v>1.536</v>
      </c>
      <c r="HO96" s="58">
        <v>4.234</v>
      </c>
      <c r="HP96" s="58">
        <v>3.8639999999999999</v>
      </c>
      <c r="HQ96" s="58">
        <v>0.371</v>
      </c>
      <c r="HR96" s="58">
        <v>34.125999999999998</v>
      </c>
      <c r="HS96" s="58">
        <v>17.209</v>
      </c>
      <c r="HT96" s="58">
        <v>16.917999999999999</v>
      </c>
      <c r="HU96" s="58">
        <v>42.194000000000003</v>
      </c>
      <c r="HV96" s="58">
        <v>26.626000000000001</v>
      </c>
      <c r="HW96" s="58">
        <v>15.569000000000001</v>
      </c>
      <c r="HX96" s="58">
        <v>10.654999999999999</v>
      </c>
      <c r="HY96" s="58">
        <v>10.214</v>
      </c>
      <c r="HZ96" s="58">
        <v>0.441</v>
      </c>
      <c r="IA96" s="58">
        <v>31.539000000000001</v>
      </c>
      <c r="IB96" s="58">
        <v>16.411999999999999</v>
      </c>
      <c r="IC96" s="58">
        <v>15.128</v>
      </c>
      <c r="ID96" s="58">
        <v>24.204000000000001</v>
      </c>
      <c r="IE96" s="58">
        <v>21.856000000000002</v>
      </c>
      <c r="IF96" s="58">
        <v>2.347</v>
      </c>
      <c r="IG96" s="58">
        <v>59.334000000000003</v>
      </c>
      <c r="IH96" s="58">
        <v>30.811</v>
      </c>
      <c r="II96" s="58">
        <v>28.523</v>
      </c>
      <c r="IJ96" s="58">
        <v>43.19</v>
      </c>
      <c r="IK96" s="58">
        <v>26.527000000000001</v>
      </c>
      <c r="IL96" s="58">
        <v>16.664000000000001</v>
      </c>
      <c r="IM96" s="58">
        <v>3945.8820000000001</v>
      </c>
      <c r="IN96" s="58">
        <v>2082.1640000000002</v>
      </c>
      <c r="IO96" s="58">
        <v>1863.7180000000001</v>
      </c>
      <c r="IP96" s="58">
        <v>2806.9059999999999</v>
      </c>
      <c r="IQ96" s="58">
        <v>1682.9190000000001</v>
      </c>
    </row>
    <row r="97" spans="1:251">
      <c r="A97" s="5">
        <v>44440</v>
      </c>
      <c r="B97" s="58">
        <v>27.577999999999999</v>
      </c>
      <c r="C97" s="58">
        <v>39.883000000000003</v>
      </c>
      <c r="D97" s="58">
        <v>335.97500000000002</v>
      </c>
      <c r="E97" s="58">
        <v>197.11199999999999</v>
      </c>
      <c r="F97" s="58">
        <v>138.863</v>
      </c>
      <c r="G97" s="58">
        <v>159.05699999999999</v>
      </c>
      <c r="H97" s="58">
        <v>121.121</v>
      </c>
      <c r="I97" s="58">
        <v>37.936</v>
      </c>
      <c r="J97" s="58">
        <v>176.91800000000001</v>
      </c>
      <c r="K97" s="58">
        <v>75.991</v>
      </c>
      <c r="L97" s="58">
        <v>100.92700000000001</v>
      </c>
      <c r="M97" s="58">
        <v>261.62400000000002</v>
      </c>
      <c r="N97" s="58">
        <v>187.65100000000001</v>
      </c>
      <c r="O97" s="58">
        <v>73.971999999999994</v>
      </c>
      <c r="P97" s="58">
        <v>209.809</v>
      </c>
      <c r="Q97" s="58">
        <v>83.486000000000004</v>
      </c>
      <c r="R97" s="58">
        <v>126.32299999999999</v>
      </c>
      <c r="S97" s="58">
        <v>277.21899999999999</v>
      </c>
      <c r="T97" s="58">
        <v>143.08799999999999</v>
      </c>
      <c r="U97" s="58">
        <v>134.13</v>
      </c>
      <c r="V97" s="58">
        <v>2905.2170000000001</v>
      </c>
      <c r="W97" s="58">
        <v>1535.1559999999999</v>
      </c>
      <c r="X97" s="58">
        <v>1370.0609999999999</v>
      </c>
      <c r="Y97" s="58">
        <v>2189.386</v>
      </c>
      <c r="Z97" s="58">
        <v>1392.117</v>
      </c>
      <c r="AA97" s="58">
        <v>797.26900000000001</v>
      </c>
      <c r="AB97" s="58">
        <v>715.83100000000002</v>
      </c>
      <c r="AC97" s="58">
        <v>143.04</v>
      </c>
      <c r="AD97" s="58">
        <v>572.79200000000003</v>
      </c>
      <c r="AE97" s="58">
        <v>375.31700000000001</v>
      </c>
      <c r="AF97" s="58">
        <v>204.529</v>
      </c>
      <c r="AG97" s="58">
        <v>170.78700000000001</v>
      </c>
      <c r="AH97" s="58">
        <v>159.55600000000001</v>
      </c>
      <c r="AI97" s="58">
        <v>83.052000000000007</v>
      </c>
      <c r="AJ97" s="58">
        <v>76.504000000000005</v>
      </c>
      <c r="AK97" s="58">
        <v>102.764</v>
      </c>
      <c r="AL97" s="58">
        <v>68.341999999999999</v>
      </c>
      <c r="AM97" s="58">
        <v>34.420999999999999</v>
      </c>
      <c r="AN97" s="58">
        <v>71.988</v>
      </c>
      <c r="AO97" s="58">
        <v>43.24</v>
      </c>
      <c r="AP97" s="58">
        <v>28.748000000000001</v>
      </c>
      <c r="AQ97" s="58">
        <v>30.776</v>
      </c>
      <c r="AR97" s="58">
        <v>25.102</v>
      </c>
      <c r="AS97" s="58">
        <v>5.673</v>
      </c>
      <c r="AT97" s="58">
        <v>56.792000000000002</v>
      </c>
      <c r="AU97" s="58">
        <v>14.71</v>
      </c>
      <c r="AV97" s="58">
        <v>42.082000000000001</v>
      </c>
      <c r="AW97" s="58">
        <v>248.84299999999999</v>
      </c>
      <c r="AX97" s="58">
        <v>136.16200000000001</v>
      </c>
      <c r="AY97" s="58">
        <v>112.682</v>
      </c>
      <c r="AZ97" s="58">
        <v>119.803</v>
      </c>
      <c r="BA97" s="58">
        <v>91.882000000000005</v>
      </c>
      <c r="BB97" s="58">
        <v>27.920999999999999</v>
      </c>
      <c r="BC97" s="58">
        <v>129.04</v>
      </c>
      <c r="BD97" s="58">
        <v>44.28</v>
      </c>
      <c r="BE97" s="58">
        <v>84.76</v>
      </c>
      <c r="BF97" s="58">
        <v>212.17500000000001</v>
      </c>
      <c r="BG97" s="58">
        <v>151.191</v>
      </c>
      <c r="BH97" s="58">
        <v>60.984000000000002</v>
      </c>
      <c r="BI97" s="58">
        <v>163.142</v>
      </c>
      <c r="BJ97" s="58">
        <v>53.338999999999999</v>
      </c>
      <c r="BK97" s="58">
        <v>109.804</v>
      </c>
      <c r="BL97" s="58">
        <v>201.02799999999999</v>
      </c>
      <c r="BM97" s="58">
        <v>87.52</v>
      </c>
      <c r="BN97" s="58">
        <v>113.508</v>
      </c>
      <c r="BO97" s="58">
        <v>2636.0839999999998</v>
      </c>
      <c r="BP97" s="58">
        <v>1362.3530000000001</v>
      </c>
      <c r="BQ97" s="58">
        <v>1273.731</v>
      </c>
      <c r="BR97" s="58">
        <v>2032.6469999999999</v>
      </c>
      <c r="BS97" s="58">
        <v>1232.6310000000001</v>
      </c>
      <c r="BT97" s="58">
        <v>800.01599999999996</v>
      </c>
      <c r="BU97" s="58">
        <v>603.43700000000001</v>
      </c>
      <c r="BV97" s="58">
        <v>129.72200000000001</v>
      </c>
      <c r="BW97" s="58">
        <v>473.71499999999997</v>
      </c>
      <c r="BX97" s="58">
        <v>335.19299999999998</v>
      </c>
      <c r="BY97" s="58">
        <v>167.03200000000001</v>
      </c>
      <c r="BZ97" s="58">
        <v>168.161</v>
      </c>
      <c r="CA97" s="58">
        <v>146.34200000000001</v>
      </c>
      <c r="CB97" s="58">
        <v>75.108000000000004</v>
      </c>
      <c r="CC97" s="58">
        <v>71.233000000000004</v>
      </c>
      <c r="CD97" s="58">
        <v>91.183000000000007</v>
      </c>
      <c r="CE97" s="58">
        <v>58.701999999999998</v>
      </c>
      <c r="CF97" s="58">
        <v>32.479999999999997</v>
      </c>
      <c r="CG97" s="58">
        <v>68.841999999999999</v>
      </c>
      <c r="CH97" s="58">
        <v>40.576999999999998</v>
      </c>
      <c r="CI97" s="58">
        <v>28.265000000000001</v>
      </c>
      <c r="CJ97" s="58">
        <v>22.341000000000001</v>
      </c>
      <c r="CK97" s="58">
        <v>18.125</v>
      </c>
      <c r="CL97" s="58">
        <v>4.2160000000000002</v>
      </c>
      <c r="CM97" s="58">
        <v>55.158999999999999</v>
      </c>
      <c r="CN97" s="58">
        <v>16.405999999999999</v>
      </c>
      <c r="CO97" s="58">
        <v>38.753</v>
      </c>
      <c r="CP97" s="58">
        <v>228.74799999999999</v>
      </c>
      <c r="CQ97" s="58">
        <v>116.925</v>
      </c>
      <c r="CR97" s="58">
        <v>111.824</v>
      </c>
      <c r="CS97" s="58">
        <v>103.738</v>
      </c>
      <c r="CT97" s="58">
        <v>74.995000000000005</v>
      </c>
      <c r="CU97" s="58">
        <v>28.742999999999999</v>
      </c>
      <c r="CV97" s="58">
        <v>125.011</v>
      </c>
      <c r="CW97" s="58">
        <v>41.93</v>
      </c>
      <c r="CX97" s="58">
        <v>83.08</v>
      </c>
      <c r="CY97" s="58">
        <v>175.16499999999999</v>
      </c>
      <c r="CZ97" s="58">
        <v>118.465</v>
      </c>
      <c r="DA97" s="58">
        <v>56.7</v>
      </c>
      <c r="DB97" s="58">
        <v>160.02799999999999</v>
      </c>
      <c r="DC97" s="58">
        <v>48.567</v>
      </c>
      <c r="DD97" s="58">
        <v>111.461</v>
      </c>
      <c r="DE97" s="58">
        <v>193.85300000000001</v>
      </c>
      <c r="DF97" s="58">
        <v>82.507999999999996</v>
      </c>
      <c r="DG97" s="58">
        <v>111.345</v>
      </c>
      <c r="DH97" s="58">
        <v>2588.7559999999999</v>
      </c>
      <c r="DI97" s="58">
        <v>1417.327</v>
      </c>
      <c r="DJ97" s="58">
        <v>1171.4280000000001</v>
      </c>
      <c r="DK97" s="58">
        <v>1657.3340000000001</v>
      </c>
      <c r="DL97" s="58">
        <v>1073.9839999999999</v>
      </c>
      <c r="DM97" s="58">
        <v>583.35</v>
      </c>
      <c r="DN97" s="58">
        <v>931.42200000000003</v>
      </c>
      <c r="DO97" s="58">
        <v>343.34399999999999</v>
      </c>
      <c r="DP97" s="58">
        <v>588.07799999999997</v>
      </c>
      <c r="DQ97" s="58">
        <v>329.30200000000002</v>
      </c>
      <c r="DR97" s="58">
        <v>189.13499999999999</v>
      </c>
      <c r="DS97" s="58">
        <v>140.167</v>
      </c>
      <c r="DT97" s="58">
        <v>172.86500000000001</v>
      </c>
      <c r="DU97" s="58">
        <v>98.144000000000005</v>
      </c>
      <c r="DV97" s="58">
        <v>74.721000000000004</v>
      </c>
      <c r="DW97" s="58">
        <v>73.344999999999999</v>
      </c>
      <c r="DX97" s="58">
        <v>54.212000000000003</v>
      </c>
      <c r="DY97" s="58">
        <v>19.132999999999999</v>
      </c>
      <c r="DZ97" s="58">
        <v>54.441000000000003</v>
      </c>
      <c r="EA97" s="58">
        <v>39.32</v>
      </c>
      <c r="EB97" s="58">
        <v>15.121</v>
      </c>
      <c r="EC97" s="58">
        <v>18.904</v>
      </c>
      <c r="ED97" s="58">
        <v>14.891</v>
      </c>
      <c r="EE97" s="58">
        <v>4.0129999999999999</v>
      </c>
      <c r="EF97" s="58">
        <v>99.52</v>
      </c>
      <c r="EG97" s="58">
        <v>43.933</v>
      </c>
      <c r="EH97" s="58">
        <v>55.588000000000001</v>
      </c>
      <c r="EI97" s="58">
        <v>191.61600000000001</v>
      </c>
      <c r="EJ97" s="58">
        <v>112.22</v>
      </c>
      <c r="EK97" s="58">
        <v>79.396000000000001</v>
      </c>
      <c r="EL97" s="58">
        <v>65.680999999999997</v>
      </c>
      <c r="EM97" s="58">
        <v>49.085000000000001</v>
      </c>
      <c r="EN97" s="58">
        <v>16.596</v>
      </c>
      <c r="EO97" s="58">
        <v>125.935</v>
      </c>
      <c r="EP97" s="58">
        <v>63.134999999999998</v>
      </c>
      <c r="EQ97" s="58">
        <v>62.8</v>
      </c>
      <c r="ER97" s="58">
        <v>131.35599999999999</v>
      </c>
      <c r="ES97" s="58">
        <v>97.444000000000003</v>
      </c>
      <c r="ET97" s="58">
        <v>33.911999999999999</v>
      </c>
      <c r="EU97" s="58">
        <v>197.946</v>
      </c>
      <c r="EV97" s="58">
        <v>91.69</v>
      </c>
      <c r="EW97" s="58">
        <v>106.255</v>
      </c>
      <c r="EX97" s="58">
        <v>180.376</v>
      </c>
      <c r="EY97" s="58">
        <v>102.455</v>
      </c>
      <c r="EZ97" s="58">
        <v>77.921000000000006</v>
      </c>
      <c r="FA97" s="58">
        <v>1953.8869999999999</v>
      </c>
      <c r="FB97" s="58">
        <v>1030.674</v>
      </c>
      <c r="FC97" s="58">
        <v>923.21299999999997</v>
      </c>
      <c r="FD97" s="58">
        <v>1359.3510000000001</v>
      </c>
      <c r="FE97" s="58">
        <v>857.50900000000001</v>
      </c>
      <c r="FF97" s="58">
        <v>501.84199999999998</v>
      </c>
      <c r="FG97" s="58">
        <v>594.53599999999994</v>
      </c>
      <c r="FH97" s="58">
        <v>173.16499999999999</v>
      </c>
      <c r="FI97" s="58">
        <v>421.37</v>
      </c>
      <c r="FJ97" s="58">
        <v>238.16499999999999</v>
      </c>
      <c r="FK97" s="58">
        <v>129.68799999999999</v>
      </c>
      <c r="FL97" s="58">
        <v>108.477</v>
      </c>
      <c r="FM97" s="58">
        <v>109.83199999999999</v>
      </c>
      <c r="FN97" s="58">
        <v>58.008000000000003</v>
      </c>
      <c r="FO97" s="58">
        <v>51.823999999999998</v>
      </c>
      <c r="FP97" s="58">
        <v>52.54</v>
      </c>
      <c r="FQ97" s="58">
        <v>36.863999999999997</v>
      </c>
      <c r="FR97" s="58">
        <v>15.676</v>
      </c>
      <c r="FS97" s="58">
        <v>37.692999999999998</v>
      </c>
      <c r="FT97" s="58">
        <v>25.521999999999998</v>
      </c>
      <c r="FU97" s="58">
        <v>12.170999999999999</v>
      </c>
      <c r="FV97" s="58">
        <v>14.846</v>
      </c>
      <c r="FW97" s="58">
        <v>11.342000000000001</v>
      </c>
      <c r="FX97" s="58">
        <v>3.5049999999999999</v>
      </c>
      <c r="FY97" s="58">
        <v>57.292000000000002</v>
      </c>
      <c r="FZ97" s="58">
        <v>21.143999999999998</v>
      </c>
      <c r="GA97" s="58">
        <v>36.148000000000003</v>
      </c>
      <c r="GB97" s="58">
        <v>151.31</v>
      </c>
      <c r="GC97" s="58">
        <v>83.570999999999998</v>
      </c>
      <c r="GD97" s="58">
        <v>67.739000000000004</v>
      </c>
      <c r="GE97" s="58">
        <v>54.046999999999997</v>
      </c>
      <c r="GF97" s="58">
        <v>39.524999999999999</v>
      </c>
      <c r="GG97" s="58">
        <v>14.523</v>
      </c>
      <c r="GH97" s="58">
        <v>97.263000000000005</v>
      </c>
      <c r="GI97" s="58">
        <v>44.046999999999997</v>
      </c>
      <c r="GJ97" s="58">
        <v>53.216000000000001</v>
      </c>
      <c r="GK97" s="58">
        <v>102.596</v>
      </c>
      <c r="GL97" s="58">
        <v>73.706999999999994</v>
      </c>
      <c r="GM97" s="58">
        <v>28.888999999999999</v>
      </c>
      <c r="GN97" s="58">
        <v>135.57</v>
      </c>
      <c r="GO97" s="58">
        <v>55.981000000000002</v>
      </c>
      <c r="GP97" s="58">
        <v>79.587999999999994</v>
      </c>
      <c r="GQ97" s="58">
        <v>134.95599999999999</v>
      </c>
      <c r="GR97" s="58">
        <v>69.569000000000003</v>
      </c>
      <c r="GS97" s="58">
        <v>65.387</v>
      </c>
      <c r="GT97" s="58">
        <v>634.86900000000003</v>
      </c>
      <c r="GU97" s="58">
        <v>386.65300000000002</v>
      </c>
      <c r="GV97" s="58">
        <v>248.21600000000001</v>
      </c>
      <c r="GW97" s="58">
        <v>297.983</v>
      </c>
      <c r="GX97" s="58">
        <v>216.47499999999999</v>
      </c>
      <c r="GY97" s="58">
        <v>81.507999999999996</v>
      </c>
      <c r="GZ97" s="58">
        <v>336.887</v>
      </c>
      <c r="HA97" s="58">
        <v>170.179</v>
      </c>
      <c r="HB97" s="58">
        <v>166.708</v>
      </c>
      <c r="HC97" s="58">
        <v>91.135999999999996</v>
      </c>
      <c r="HD97" s="58">
        <v>59.445999999999998</v>
      </c>
      <c r="HE97" s="58">
        <v>31.69</v>
      </c>
      <c r="HF97" s="58">
        <v>63.033000000000001</v>
      </c>
      <c r="HG97" s="58">
        <v>40.136000000000003</v>
      </c>
      <c r="HH97" s="58">
        <v>22.896999999999998</v>
      </c>
      <c r="HI97" s="58">
        <v>20.805</v>
      </c>
      <c r="HJ97" s="58">
        <v>17.347999999999999</v>
      </c>
      <c r="HK97" s="58">
        <v>3.4580000000000002</v>
      </c>
      <c r="HL97" s="58">
        <v>16.748000000000001</v>
      </c>
      <c r="HM97" s="58">
        <v>13.798</v>
      </c>
      <c r="HN97" s="58">
        <v>2.95</v>
      </c>
      <c r="HO97" s="58">
        <v>4.0579999999999998</v>
      </c>
      <c r="HP97" s="58">
        <v>3.55</v>
      </c>
      <c r="HQ97" s="58">
        <v>0.50800000000000001</v>
      </c>
      <c r="HR97" s="58">
        <v>42.228000000000002</v>
      </c>
      <c r="HS97" s="58">
        <v>22.788</v>
      </c>
      <c r="HT97" s="58">
        <v>19.439</v>
      </c>
      <c r="HU97" s="58">
        <v>40.305999999999997</v>
      </c>
      <c r="HV97" s="58">
        <v>28.649000000000001</v>
      </c>
      <c r="HW97" s="58">
        <v>11.657999999999999</v>
      </c>
      <c r="HX97" s="58">
        <v>11.634</v>
      </c>
      <c r="HY97" s="58">
        <v>9.5609999999999999</v>
      </c>
      <c r="HZ97" s="58">
        <v>2.073</v>
      </c>
      <c r="IA97" s="58">
        <v>28.672000000000001</v>
      </c>
      <c r="IB97" s="58">
        <v>19.088000000000001</v>
      </c>
      <c r="IC97" s="58">
        <v>9.5850000000000009</v>
      </c>
      <c r="ID97" s="58">
        <v>28.760999999999999</v>
      </c>
      <c r="IE97" s="58">
        <v>23.738</v>
      </c>
      <c r="IF97" s="58">
        <v>5.0229999999999997</v>
      </c>
      <c r="IG97" s="58">
        <v>62.375999999999998</v>
      </c>
      <c r="IH97" s="58">
        <v>35.709000000000003</v>
      </c>
      <c r="II97" s="58">
        <v>26.667000000000002</v>
      </c>
      <c r="IJ97" s="58">
        <v>45.42</v>
      </c>
      <c r="IK97" s="58">
        <v>32.886000000000003</v>
      </c>
      <c r="IL97" s="58">
        <v>12.534000000000001</v>
      </c>
      <c r="IM97" s="58">
        <v>3936.6979999999999</v>
      </c>
      <c r="IN97" s="58">
        <v>2078.366</v>
      </c>
      <c r="IO97" s="58">
        <v>1858.3330000000001</v>
      </c>
      <c r="IP97" s="58">
        <v>2825.0709999999999</v>
      </c>
      <c r="IQ97" s="58">
        <v>1699.94</v>
      </c>
    </row>
    <row r="98" spans="1:251">
      <c r="A98" s="5">
        <v>44470</v>
      </c>
      <c r="B98" s="58">
        <v>22.288</v>
      </c>
      <c r="C98" s="58">
        <v>31.934000000000001</v>
      </c>
      <c r="D98" s="58">
        <v>338.20499999999998</v>
      </c>
      <c r="E98" s="58">
        <v>203.33500000000001</v>
      </c>
      <c r="F98" s="58">
        <v>134.869</v>
      </c>
      <c r="G98" s="58">
        <v>162.03399999999999</v>
      </c>
      <c r="H98" s="58">
        <v>117.979</v>
      </c>
      <c r="I98" s="58">
        <v>44.055</v>
      </c>
      <c r="J98" s="58">
        <v>176.17099999999999</v>
      </c>
      <c r="K98" s="58">
        <v>85.355999999999995</v>
      </c>
      <c r="L98" s="58">
        <v>90.814999999999998</v>
      </c>
      <c r="M98" s="58">
        <v>263.476</v>
      </c>
      <c r="N98" s="58">
        <v>185.50700000000001</v>
      </c>
      <c r="O98" s="58">
        <v>77.968999999999994</v>
      </c>
      <c r="P98" s="58">
        <v>201.124</v>
      </c>
      <c r="Q98" s="58">
        <v>92.944999999999993</v>
      </c>
      <c r="R98" s="58">
        <v>108.179</v>
      </c>
      <c r="S98" s="58">
        <v>280.50799999999998</v>
      </c>
      <c r="T98" s="58">
        <v>156.43</v>
      </c>
      <c r="U98" s="58">
        <v>124.078</v>
      </c>
      <c r="V98" s="58">
        <v>2911.76</v>
      </c>
      <c r="W98" s="58">
        <v>1547.64</v>
      </c>
      <c r="X98" s="58">
        <v>1364.12</v>
      </c>
      <c r="Y98" s="58">
        <v>2191.9029999999998</v>
      </c>
      <c r="Z98" s="58">
        <v>1402.83</v>
      </c>
      <c r="AA98" s="58">
        <v>789.07399999999996</v>
      </c>
      <c r="AB98" s="58">
        <v>719.85699999999997</v>
      </c>
      <c r="AC98" s="58">
        <v>144.81100000000001</v>
      </c>
      <c r="AD98" s="58">
        <v>575.04600000000005</v>
      </c>
      <c r="AE98" s="58">
        <v>369.34899999999999</v>
      </c>
      <c r="AF98" s="58">
        <v>201.92599999999999</v>
      </c>
      <c r="AG98" s="58">
        <v>167.423</v>
      </c>
      <c r="AH98" s="58">
        <v>142.61799999999999</v>
      </c>
      <c r="AI98" s="58">
        <v>82.260999999999996</v>
      </c>
      <c r="AJ98" s="58">
        <v>60.356999999999999</v>
      </c>
      <c r="AK98" s="58">
        <v>96.195999999999998</v>
      </c>
      <c r="AL98" s="58">
        <v>68.509</v>
      </c>
      <c r="AM98" s="58">
        <v>27.687000000000001</v>
      </c>
      <c r="AN98" s="58">
        <v>72.385999999999996</v>
      </c>
      <c r="AO98" s="58">
        <v>51.271000000000001</v>
      </c>
      <c r="AP98" s="58">
        <v>21.114999999999998</v>
      </c>
      <c r="AQ98" s="58">
        <v>23.809000000000001</v>
      </c>
      <c r="AR98" s="58">
        <v>17.238</v>
      </c>
      <c r="AS98" s="58">
        <v>6.5720000000000001</v>
      </c>
      <c r="AT98" s="58">
        <v>46.421999999999997</v>
      </c>
      <c r="AU98" s="58">
        <v>13.752000000000001</v>
      </c>
      <c r="AV98" s="58">
        <v>32.67</v>
      </c>
      <c r="AW98" s="58">
        <v>261.58800000000002</v>
      </c>
      <c r="AX98" s="58">
        <v>138.834</v>
      </c>
      <c r="AY98" s="58">
        <v>122.754</v>
      </c>
      <c r="AZ98" s="58">
        <v>118.114</v>
      </c>
      <c r="BA98" s="58">
        <v>91.759</v>
      </c>
      <c r="BB98" s="58">
        <v>26.355</v>
      </c>
      <c r="BC98" s="58">
        <v>143.47300000000001</v>
      </c>
      <c r="BD98" s="58">
        <v>47.075000000000003</v>
      </c>
      <c r="BE98" s="58">
        <v>96.397999999999996</v>
      </c>
      <c r="BF98" s="58">
        <v>199.73699999999999</v>
      </c>
      <c r="BG98" s="58">
        <v>147.238</v>
      </c>
      <c r="BH98" s="58">
        <v>52.499000000000002</v>
      </c>
      <c r="BI98" s="58">
        <v>169.61199999999999</v>
      </c>
      <c r="BJ98" s="58">
        <v>54.688000000000002</v>
      </c>
      <c r="BK98" s="58">
        <v>114.92400000000001</v>
      </c>
      <c r="BL98" s="58">
        <v>215.86</v>
      </c>
      <c r="BM98" s="58">
        <v>98.346999999999994</v>
      </c>
      <c r="BN98" s="58">
        <v>117.51300000000001</v>
      </c>
      <c r="BO98" s="58">
        <v>2627.3139999999999</v>
      </c>
      <c r="BP98" s="58">
        <v>1351.942</v>
      </c>
      <c r="BQ98" s="58">
        <v>1275.3720000000001</v>
      </c>
      <c r="BR98" s="58">
        <v>2014.241</v>
      </c>
      <c r="BS98" s="58">
        <v>1211.7750000000001</v>
      </c>
      <c r="BT98" s="58">
        <v>802.46699999999998</v>
      </c>
      <c r="BU98" s="58">
        <v>613.07299999999998</v>
      </c>
      <c r="BV98" s="58">
        <v>140.16800000000001</v>
      </c>
      <c r="BW98" s="58">
        <v>472.90499999999997</v>
      </c>
      <c r="BX98" s="58">
        <v>337.95800000000003</v>
      </c>
      <c r="BY98" s="58">
        <v>178.63499999999999</v>
      </c>
      <c r="BZ98" s="58">
        <v>159.322</v>
      </c>
      <c r="CA98" s="58">
        <v>137.005</v>
      </c>
      <c r="CB98" s="58">
        <v>81.668000000000006</v>
      </c>
      <c r="CC98" s="58">
        <v>55.337000000000003</v>
      </c>
      <c r="CD98" s="58">
        <v>85.251000000000005</v>
      </c>
      <c r="CE98" s="58">
        <v>58.296999999999997</v>
      </c>
      <c r="CF98" s="58">
        <v>26.954000000000001</v>
      </c>
      <c r="CG98" s="58">
        <v>66.769000000000005</v>
      </c>
      <c r="CH98" s="58">
        <v>41.902999999999999</v>
      </c>
      <c r="CI98" s="58">
        <v>24.866</v>
      </c>
      <c r="CJ98" s="58">
        <v>18.481999999999999</v>
      </c>
      <c r="CK98" s="58">
        <v>16.393999999999998</v>
      </c>
      <c r="CL98" s="58">
        <v>2.0880000000000001</v>
      </c>
      <c r="CM98" s="58">
        <v>51.753999999999998</v>
      </c>
      <c r="CN98" s="58">
        <v>23.370999999999999</v>
      </c>
      <c r="CO98" s="58">
        <v>28.382999999999999</v>
      </c>
      <c r="CP98" s="58">
        <v>233.31700000000001</v>
      </c>
      <c r="CQ98" s="58">
        <v>113.33799999999999</v>
      </c>
      <c r="CR98" s="58">
        <v>119.979</v>
      </c>
      <c r="CS98" s="58">
        <v>104.289</v>
      </c>
      <c r="CT98" s="58">
        <v>71.084000000000003</v>
      </c>
      <c r="CU98" s="58">
        <v>33.204999999999998</v>
      </c>
      <c r="CV98" s="58">
        <v>129.02799999999999</v>
      </c>
      <c r="CW98" s="58">
        <v>42.253999999999998</v>
      </c>
      <c r="CX98" s="58">
        <v>86.772999999999996</v>
      </c>
      <c r="CY98" s="58">
        <v>178.15899999999999</v>
      </c>
      <c r="CZ98" s="58">
        <v>123.12</v>
      </c>
      <c r="DA98" s="58">
        <v>55.04</v>
      </c>
      <c r="DB98" s="58">
        <v>159.798</v>
      </c>
      <c r="DC98" s="58">
        <v>55.515000000000001</v>
      </c>
      <c r="DD98" s="58">
        <v>104.283</v>
      </c>
      <c r="DE98" s="58">
        <v>195.797</v>
      </c>
      <c r="DF98" s="58">
        <v>84.156999999999996</v>
      </c>
      <c r="DG98" s="58">
        <v>111.639</v>
      </c>
      <c r="DH98" s="58">
        <v>2574.9319999999998</v>
      </c>
      <c r="DI98" s="58">
        <v>1417.066</v>
      </c>
      <c r="DJ98" s="58">
        <v>1157.866</v>
      </c>
      <c r="DK98" s="58">
        <v>1641.471</v>
      </c>
      <c r="DL98" s="58">
        <v>1072.4749999999999</v>
      </c>
      <c r="DM98" s="58">
        <v>568.99599999999998</v>
      </c>
      <c r="DN98" s="58">
        <v>933.46199999999999</v>
      </c>
      <c r="DO98" s="58">
        <v>344.59100000000001</v>
      </c>
      <c r="DP98" s="58">
        <v>588.87099999999998</v>
      </c>
      <c r="DQ98" s="58">
        <v>327.255</v>
      </c>
      <c r="DR98" s="58">
        <v>186.90600000000001</v>
      </c>
      <c r="DS98" s="58">
        <v>140.34899999999999</v>
      </c>
      <c r="DT98" s="58">
        <v>166.55500000000001</v>
      </c>
      <c r="DU98" s="58">
        <v>102.22199999999999</v>
      </c>
      <c r="DV98" s="58">
        <v>64.332999999999998</v>
      </c>
      <c r="DW98" s="58">
        <v>81.760999999999996</v>
      </c>
      <c r="DX98" s="58">
        <v>64.492000000000004</v>
      </c>
      <c r="DY98" s="58">
        <v>17.268999999999998</v>
      </c>
      <c r="DZ98" s="58">
        <v>60.661000000000001</v>
      </c>
      <c r="EA98" s="58">
        <v>47.732999999999997</v>
      </c>
      <c r="EB98" s="58">
        <v>12.928000000000001</v>
      </c>
      <c r="EC98" s="58">
        <v>21.1</v>
      </c>
      <c r="ED98" s="58">
        <v>16.757999999999999</v>
      </c>
      <c r="EE98" s="58">
        <v>4.3419999999999996</v>
      </c>
      <c r="EF98" s="58">
        <v>84.793999999999997</v>
      </c>
      <c r="EG98" s="58">
        <v>37.731000000000002</v>
      </c>
      <c r="EH98" s="58">
        <v>47.063000000000002</v>
      </c>
      <c r="EI98" s="58">
        <v>200.45400000000001</v>
      </c>
      <c r="EJ98" s="58">
        <v>106.096</v>
      </c>
      <c r="EK98" s="58">
        <v>94.358000000000004</v>
      </c>
      <c r="EL98" s="58">
        <v>71.415999999999997</v>
      </c>
      <c r="EM98" s="58">
        <v>51.383000000000003</v>
      </c>
      <c r="EN98" s="58">
        <v>20.033000000000001</v>
      </c>
      <c r="EO98" s="58">
        <v>129.03800000000001</v>
      </c>
      <c r="EP98" s="58">
        <v>54.713999999999999</v>
      </c>
      <c r="EQ98" s="58">
        <v>74.325000000000003</v>
      </c>
      <c r="ER98" s="58">
        <v>141.05099999999999</v>
      </c>
      <c r="ES98" s="58">
        <v>106.35</v>
      </c>
      <c r="ET98" s="58">
        <v>34.701000000000001</v>
      </c>
      <c r="EU98" s="58">
        <v>186.20500000000001</v>
      </c>
      <c r="EV98" s="58">
        <v>80.557000000000002</v>
      </c>
      <c r="EW98" s="58">
        <v>105.648</v>
      </c>
      <c r="EX98" s="58">
        <v>189.69900000000001</v>
      </c>
      <c r="EY98" s="58">
        <v>102.447</v>
      </c>
      <c r="EZ98" s="58">
        <v>87.251999999999995</v>
      </c>
      <c r="FA98" s="58">
        <v>1952.12</v>
      </c>
      <c r="FB98" s="58">
        <v>1035.991</v>
      </c>
      <c r="FC98" s="58">
        <v>916.13</v>
      </c>
      <c r="FD98" s="58">
        <v>1353.4179999999999</v>
      </c>
      <c r="FE98" s="58">
        <v>868.07399999999996</v>
      </c>
      <c r="FF98" s="58">
        <v>485.34399999999999</v>
      </c>
      <c r="FG98" s="58">
        <v>598.702</v>
      </c>
      <c r="FH98" s="58">
        <v>167.917</v>
      </c>
      <c r="FI98" s="58">
        <v>430.786</v>
      </c>
      <c r="FJ98" s="58">
        <v>239.15</v>
      </c>
      <c r="FK98" s="58">
        <v>127.91200000000001</v>
      </c>
      <c r="FL98" s="58">
        <v>111.238</v>
      </c>
      <c r="FM98" s="58">
        <v>110.566</v>
      </c>
      <c r="FN98" s="58">
        <v>63.018000000000001</v>
      </c>
      <c r="FO98" s="58">
        <v>47.548000000000002</v>
      </c>
      <c r="FP98" s="58">
        <v>55.651000000000003</v>
      </c>
      <c r="FQ98" s="58">
        <v>42.314999999999998</v>
      </c>
      <c r="FR98" s="58">
        <v>13.337</v>
      </c>
      <c r="FS98" s="58">
        <v>41.216999999999999</v>
      </c>
      <c r="FT98" s="58">
        <v>31.274999999999999</v>
      </c>
      <c r="FU98" s="58">
        <v>9.9420000000000002</v>
      </c>
      <c r="FV98" s="58">
        <v>14.435</v>
      </c>
      <c r="FW98" s="58">
        <v>11.04</v>
      </c>
      <c r="FX98" s="58">
        <v>3.395</v>
      </c>
      <c r="FY98" s="58">
        <v>54.914999999999999</v>
      </c>
      <c r="FZ98" s="58">
        <v>20.704000000000001</v>
      </c>
      <c r="GA98" s="58">
        <v>34.210999999999999</v>
      </c>
      <c r="GB98" s="58">
        <v>157.37899999999999</v>
      </c>
      <c r="GC98" s="58">
        <v>79.596000000000004</v>
      </c>
      <c r="GD98" s="58">
        <v>77.784000000000006</v>
      </c>
      <c r="GE98" s="58">
        <v>59.05</v>
      </c>
      <c r="GF98" s="58">
        <v>41.283000000000001</v>
      </c>
      <c r="GG98" s="58">
        <v>17.766999999999999</v>
      </c>
      <c r="GH98" s="58">
        <v>98.33</v>
      </c>
      <c r="GI98" s="58">
        <v>38.313000000000002</v>
      </c>
      <c r="GJ98" s="58">
        <v>60.017000000000003</v>
      </c>
      <c r="GK98" s="58">
        <v>107.563</v>
      </c>
      <c r="GL98" s="58">
        <v>77.596000000000004</v>
      </c>
      <c r="GM98" s="58">
        <v>29.966999999999999</v>
      </c>
      <c r="GN98" s="58">
        <v>131.58699999999999</v>
      </c>
      <c r="GO98" s="58">
        <v>50.317</v>
      </c>
      <c r="GP98" s="58">
        <v>81.271000000000001</v>
      </c>
      <c r="GQ98" s="58">
        <v>139.54599999999999</v>
      </c>
      <c r="GR98" s="58">
        <v>69.587999999999994</v>
      </c>
      <c r="GS98" s="58">
        <v>69.959000000000003</v>
      </c>
      <c r="GT98" s="58">
        <v>622.81200000000001</v>
      </c>
      <c r="GU98" s="58">
        <v>381.07499999999999</v>
      </c>
      <c r="GV98" s="58">
        <v>241.73699999999999</v>
      </c>
      <c r="GW98" s="58">
        <v>288.05200000000002</v>
      </c>
      <c r="GX98" s="58">
        <v>204.4</v>
      </c>
      <c r="GY98" s="58">
        <v>83.652000000000001</v>
      </c>
      <c r="GZ98" s="58">
        <v>334.76</v>
      </c>
      <c r="HA98" s="58">
        <v>176.67500000000001</v>
      </c>
      <c r="HB98" s="58">
        <v>158.08500000000001</v>
      </c>
      <c r="HC98" s="58">
        <v>88.105000000000004</v>
      </c>
      <c r="HD98" s="58">
        <v>58.994</v>
      </c>
      <c r="HE98" s="58">
        <v>29.111000000000001</v>
      </c>
      <c r="HF98" s="58">
        <v>55.988999999999997</v>
      </c>
      <c r="HG98" s="58">
        <v>39.204000000000001</v>
      </c>
      <c r="HH98" s="58">
        <v>16.785</v>
      </c>
      <c r="HI98" s="58">
        <v>26.11</v>
      </c>
      <c r="HJ98" s="58">
        <v>22.177</v>
      </c>
      <c r="HK98" s="58">
        <v>3.9329999999999998</v>
      </c>
      <c r="HL98" s="58">
        <v>19.443999999999999</v>
      </c>
      <c r="HM98" s="58">
        <v>16.457999999999998</v>
      </c>
      <c r="HN98" s="58">
        <v>2.9860000000000002</v>
      </c>
      <c r="HO98" s="58">
        <v>6.665</v>
      </c>
      <c r="HP98" s="58">
        <v>5.7190000000000003</v>
      </c>
      <c r="HQ98" s="58">
        <v>0.94699999999999995</v>
      </c>
      <c r="HR98" s="58">
        <v>29.879000000000001</v>
      </c>
      <c r="HS98" s="58">
        <v>17.027000000000001</v>
      </c>
      <c r="HT98" s="58">
        <v>12.853</v>
      </c>
      <c r="HU98" s="58">
        <v>43.075000000000003</v>
      </c>
      <c r="HV98" s="58">
        <v>26.5</v>
      </c>
      <c r="HW98" s="58">
        <v>16.574000000000002</v>
      </c>
      <c r="HX98" s="58">
        <v>12.366</v>
      </c>
      <c r="HY98" s="58">
        <v>10.1</v>
      </c>
      <c r="HZ98" s="58">
        <v>2.2669999999999999</v>
      </c>
      <c r="IA98" s="58">
        <v>30.707999999999998</v>
      </c>
      <c r="IB98" s="58">
        <v>16.401</v>
      </c>
      <c r="IC98" s="58">
        <v>14.308</v>
      </c>
      <c r="ID98" s="58">
        <v>33.488</v>
      </c>
      <c r="IE98" s="58">
        <v>28.754000000000001</v>
      </c>
      <c r="IF98" s="58">
        <v>4.734</v>
      </c>
      <c r="IG98" s="58">
        <v>54.616999999999997</v>
      </c>
      <c r="IH98" s="58">
        <v>30.24</v>
      </c>
      <c r="II98" s="58">
        <v>24.376999999999999</v>
      </c>
      <c r="IJ98" s="58">
        <v>50.152999999999999</v>
      </c>
      <c r="IK98" s="58">
        <v>32.859000000000002</v>
      </c>
      <c r="IL98" s="58">
        <v>17.294</v>
      </c>
      <c r="IM98" s="58">
        <v>3948.0520000000001</v>
      </c>
      <c r="IN98" s="58">
        <v>2091.9450000000002</v>
      </c>
      <c r="IO98" s="58">
        <v>1856.107</v>
      </c>
      <c r="IP98" s="58">
        <v>2816.96</v>
      </c>
      <c r="IQ98" s="58">
        <v>1695.6769999999999</v>
      </c>
    </row>
    <row r="99" spans="1:251">
      <c r="A99" s="5">
        <v>44501</v>
      </c>
      <c r="B99" s="58">
        <v>20.376000000000001</v>
      </c>
      <c r="C99" s="58">
        <v>21.303000000000001</v>
      </c>
      <c r="D99" s="58">
        <v>327.93799999999999</v>
      </c>
      <c r="E99" s="58">
        <v>190.58600000000001</v>
      </c>
      <c r="F99" s="58">
        <v>137.351</v>
      </c>
      <c r="G99" s="58">
        <v>150.77099999999999</v>
      </c>
      <c r="H99" s="58">
        <v>111.187</v>
      </c>
      <c r="I99" s="58">
        <v>39.584000000000003</v>
      </c>
      <c r="J99" s="58">
        <v>177.167</v>
      </c>
      <c r="K99" s="58">
        <v>79.399000000000001</v>
      </c>
      <c r="L99" s="58">
        <v>97.768000000000001</v>
      </c>
      <c r="M99" s="58">
        <v>178.203</v>
      </c>
      <c r="N99" s="58">
        <v>127.88200000000001</v>
      </c>
      <c r="O99" s="58">
        <v>50.320999999999998</v>
      </c>
      <c r="P99" s="58">
        <v>192.45500000000001</v>
      </c>
      <c r="Q99" s="58">
        <v>87.403999999999996</v>
      </c>
      <c r="R99" s="58">
        <v>105.051</v>
      </c>
      <c r="S99" s="58">
        <v>206.149</v>
      </c>
      <c r="T99" s="58">
        <v>98.852999999999994</v>
      </c>
      <c r="U99" s="58">
        <v>107.29600000000001</v>
      </c>
      <c r="V99" s="58">
        <v>2972.8020000000001</v>
      </c>
      <c r="W99" s="58">
        <v>1576.527</v>
      </c>
      <c r="X99" s="58">
        <v>1396.2750000000001</v>
      </c>
      <c r="Y99" s="58">
        <v>2231.6550000000002</v>
      </c>
      <c r="Z99" s="58">
        <v>1426.8710000000001</v>
      </c>
      <c r="AA99" s="58">
        <v>804.78399999999999</v>
      </c>
      <c r="AB99" s="58">
        <v>741.14700000000005</v>
      </c>
      <c r="AC99" s="58">
        <v>149.65600000000001</v>
      </c>
      <c r="AD99" s="58">
        <v>591.49099999999999</v>
      </c>
      <c r="AE99" s="58">
        <v>314.16899999999998</v>
      </c>
      <c r="AF99" s="58">
        <v>160.904</v>
      </c>
      <c r="AG99" s="58">
        <v>153.26499999999999</v>
      </c>
      <c r="AH99" s="58">
        <v>71.427000000000007</v>
      </c>
      <c r="AI99" s="58">
        <v>38.454000000000001</v>
      </c>
      <c r="AJ99" s="58">
        <v>32.972999999999999</v>
      </c>
      <c r="AK99" s="58">
        <v>41.165999999999997</v>
      </c>
      <c r="AL99" s="58">
        <v>30.279</v>
      </c>
      <c r="AM99" s="58">
        <v>10.887</v>
      </c>
      <c r="AN99" s="58">
        <v>28.372</v>
      </c>
      <c r="AO99" s="58">
        <v>19.814</v>
      </c>
      <c r="AP99" s="58">
        <v>8.5579999999999998</v>
      </c>
      <c r="AQ99" s="58">
        <v>12.794</v>
      </c>
      <c r="AR99" s="58">
        <v>10.465</v>
      </c>
      <c r="AS99" s="58">
        <v>2.3290000000000002</v>
      </c>
      <c r="AT99" s="58">
        <v>30.260999999999999</v>
      </c>
      <c r="AU99" s="58">
        <v>8.1750000000000007</v>
      </c>
      <c r="AV99" s="58">
        <v>22.085999999999999</v>
      </c>
      <c r="AW99" s="58">
        <v>266.02600000000001</v>
      </c>
      <c r="AX99" s="58">
        <v>135.018</v>
      </c>
      <c r="AY99" s="58">
        <v>131.00800000000001</v>
      </c>
      <c r="AZ99" s="58">
        <v>130.762</v>
      </c>
      <c r="BA99" s="58">
        <v>95.231999999999999</v>
      </c>
      <c r="BB99" s="58">
        <v>35.53</v>
      </c>
      <c r="BC99" s="58">
        <v>135.26400000000001</v>
      </c>
      <c r="BD99" s="58">
        <v>39.786000000000001</v>
      </c>
      <c r="BE99" s="58">
        <v>95.477999999999994</v>
      </c>
      <c r="BF99" s="58">
        <v>163.67599999999999</v>
      </c>
      <c r="BG99" s="58">
        <v>119.474</v>
      </c>
      <c r="BH99" s="58">
        <v>44.201999999999998</v>
      </c>
      <c r="BI99" s="58">
        <v>150.49299999999999</v>
      </c>
      <c r="BJ99" s="58">
        <v>41.429000000000002</v>
      </c>
      <c r="BK99" s="58">
        <v>109.063</v>
      </c>
      <c r="BL99" s="58">
        <v>163.636</v>
      </c>
      <c r="BM99" s="58">
        <v>59.6</v>
      </c>
      <c r="BN99" s="58">
        <v>104.036</v>
      </c>
      <c r="BO99" s="58">
        <v>2688.511</v>
      </c>
      <c r="BP99" s="58">
        <v>1370.0640000000001</v>
      </c>
      <c r="BQ99" s="58">
        <v>1318.4469999999999</v>
      </c>
      <c r="BR99" s="58">
        <v>2050.7800000000002</v>
      </c>
      <c r="BS99" s="58">
        <v>1237.491</v>
      </c>
      <c r="BT99" s="58">
        <v>813.28800000000001</v>
      </c>
      <c r="BU99" s="58">
        <v>637.73099999999999</v>
      </c>
      <c r="BV99" s="58">
        <v>132.572</v>
      </c>
      <c r="BW99" s="58">
        <v>505.15899999999999</v>
      </c>
      <c r="BX99" s="58">
        <v>289.93</v>
      </c>
      <c r="BY99" s="58">
        <v>147.517</v>
      </c>
      <c r="BZ99" s="58">
        <v>142.41399999999999</v>
      </c>
      <c r="CA99" s="58">
        <v>77.86</v>
      </c>
      <c r="CB99" s="58">
        <v>46.621000000000002</v>
      </c>
      <c r="CC99" s="58">
        <v>31.239000000000001</v>
      </c>
      <c r="CD99" s="58">
        <v>42.143000000000001</v>
      </c>
      <c r="CE99" s="58">
        <v>31.983000000000001</v>
      </c>
      <c r="CF99" s="58">
        <v>10.16</v>
      </c>
      <c r="CG99" s="58">
        <v>30.902999999999999</v>
      </c>
      <c r="CH99" s="58">
        <v>23.988</v>
      </c>
      <c r="CI99" s="58">
        <v>6.915</v>
      </c>
      <c r="CJ99" s="58">
        <v>11.24</v>
      </c>
      <c r="CK99" s="58">
        <v>7.9960000000000004</v>
      </c>
      <c r="CL99" s="58">
        <v>3.2440000000000002</v>
      </c>
      <c r="CM99" s="58">
        <v>35.716999999999999</v>
      </c>
      <c r="CN99" s="58">
        <v>14.638</v>
      </c>
      <c r="CO99" s="58">
        <v>21.079000000000001</v>
      </c>
      <c r="CP99" s="58">
        <v>239.215</v>
      </c>
      <c r="CQ99" s="58">
        <v>116.471</v>
      </c>
      <c r="CR99" s="58">
        <v>122.744</v>
      </c>
      <c r="CS99" s="58">
        <v>104.782</v>
      </c>
      <c r="CT99" s="58">
        <v>78.680000000000007</v>
      </c>
      <c r="CU99" s="58">
        <v>26.102</v>
      </c>
      <c r="CV99" s="58">
        <v>134.434</v>
      </c>
      <c r="CW99" s="58">
        <v>37.792000000000002</v>
      </c>
      <c r="CX99" s="58">
        <v>96.641999999999996</v>
      </c>
      <c r="CY99" s="58">
        <v>138.98400000000001</v>
      </c>
      <c r="CZ99" s="58">
        <v>103.76300000000001</v>
      </c>
      <c r="DA99" s="58">
        <v>35.220999999999997</v>
      </c>
      <c r="DB99" s="58">
        <v>150.946</v>
      </c>
      <c r="DC99" s="58">
        <v>43.753999999999998</v>
      </c>
      <c r="DD99" s="58">
        <v>107.193</v>
      </c>
      <c r="DE99" s="58">
        <v>165.33699999999999</v>
      </c>
      <c r="DF99" s="58">
        <v>61.779000000000003</v>
      </c>
      <c r="DG99" s="58">
        <v>103.557</v>
      </c>
      <c r="DH99" s="58">
        <v>2657.1579999999999</v>
      </c>
      <c r="DI99" s="58">
        <v>1444.979</v>
      </c>
      <c r="DJ99" s="58">
        <v>1212.18</v>
      </c>
      <c r="DK99" s="58">
        <v>1666.71</v>
      </c>
      <c r="DL99" s="58">
        <v>1080.9659999999999</v>
      </c>
      <c r="DM99" s="58">
        <v>585.745</v>
      </c>
      <c r="DN99" s="58">
        <v>990.44799999999998</v>
      </c>
      <c r="DO99" s="58">
        <v>364.01299999999998</v>
      </c>
      <c r="DP99" s="58">
        <v>626.43499999999995</v>
      </c>
      <c r="DQ99" s="58">
        <v>265.56</v>
      </c>
      <c r="DR99" s="58">
        <v>144.94300000000001</v>
      </c>
      <c r="DS99" s="58">
        <v>120.617</v>
      </c>
      <c r="DT99" s="58">
        <v>105.411</v>
      </c>
      <c r="DU99" s="58">
        <v>63.424999999999997</v>
      </c>
      <c r="DV99" s="58">
        <v>41.985999999999997</v>
      </c>
      <c r="DW99" s="58">
        <v>40.51</v>
      </c>
      <c r="DX99" s="58">
        <v>31.47</v>
      </c>
      <c r="DY99" s="58">
        <v>9.0389999999999997</v>
      </c>
      <c r="DZ99" s="58">
        <v>27.939</v>
      </c>
      <c r="EA99" s="58">
        <v>20.791</v>
      </c>
      <c r="EB99" s="58">
        <v>7.1479999999999997</v>
      </c>
      <c r="EC99" s="58">
        <v>12.57</v>
      </c>
      <c r="ED99" s="58">
        <v>10.679</v>
      </c>
      <c r="EE99" s="58">
        <v>1.891</v>
      </c>
      <c r="EF99" s="58">
        <v>64.900999999999996</v>
      </c>
      <c r="EG99" s="58">
        <v>31.954999999999998</v>
      </c>
      <c r="EH99" s="58">
        <v>32.945999999999998</v>
      </c>
      <c r="EI99" s="58">
        <v>186.86199999999999</v>
      </c>
      <c r="EJ99" s="58">
        <v>97.554000000000002</v>
      </c>
      <c r="EK99" s="58">
        <v>89.308000000000007</v>
      </c>
      <c r="EL99" s="58">
        <v>67.691000000000003</v>
      </c>
      <c r="EM99" s="58">
        <v>47.822000000000003</v>
      </c>
      <c r="EN99" s="58">
        <v>19.87</v>
      </c>
      <c r="EO99" s="58">
        <v>119.17100000000001</v>
      </c>
      <c r="EP99" s="58">
        <v>49.732999999999997</v>
      </c>
      <c r="EQ99" s="58">
        <v>69.438000000000002</v>
      </c>
      <c r="ER99" s="58">
        <v>100.75</v>
      </c>
      <c r="ES99" s="58">
        <v>72.918999999999997</v>
      </c>
      <c r="ET99" s="58">
        <v>27.831</v>
      </c>
      <c r="EU99" s="58">
        <v>164.81</v>
      </c>
      <c r="EV99" s="58">
        <v>72.025000000000006</v>
      </c>
      <c r="EW99" s="58">
        <v>92.784999999999997</v>
      </c>
      <c r="EX99" s="58">
        <v>147.11000000000001</v>
      </c>
      <c r="EY99" s="58">
        <v>70.524000000000001</v>
      </c>
      <c r="EZ99" s="58">
        <v>76.585999999999999</v>
      </c>
      <c r="FA99" s="58">
        <v>2002.665</v>
      </c>
      <c r="FB99" s="58">
        <v>1051.1849999999999</v>
      </c>
      <c r="FC99" s="58">
        <v>951.48099999999999</v>
      </c>
      <c r="FD99" s="58">
        <v>1368.797</v>
      </c>
      <c r="FE99" s="58">
        <v>869.28200000000004</v>
      </c>
      <c r="FF99" s="58">
        <v>499.51400000000001</v>
      </c>
      <c r="FG99" s="58">
        <v>633.86900000000003</v>
      </c>
      <c r="FH99" s="58">
        <v>181.90199999999999</v>
      </c>
      <c r="FI99" s="58">
        <v>451.96600000000001</v>
      </c>
      <c r="FJ99" s="58">
        <v>197.26300000000001</v>
      </c>
      <c r="FK99" s="58">
        <v>102.227</v>
      </c>
      <c r="FL99" s="58">
        <v>95.036000000000001</v>
      </c>
      <c r="FM99" s="58">
        <v>66.506</v>
      </c>
      <c r="FN99" s="58">
        <v>38.225999999999999</v>
      </c>
      <c r="FO99" s="58">
        <v>28.28</v>
      </c>
      <c r="FP99" s="58">
        <v>28.923999999999999</v>
      </c>
      <c r="FQ99" s="58">
        <v>21.788</v>
      </c>
      <c r="FR99" s="58">
        <v>7.1360000000000001</v>
      </c>
      <c r="FS99" s="58">
        <v>18.268000000000001</v>
      </c>
      <c r="FT99" s="58">
        <v>13.022</v>
      </c>
      <c r="FU99" s="58">
        <v>5.2450000000000001</v>
      </c>
      <c r="FV99" s="58">
        <v>10.656000000000001</v>
      </c>
      <c r="FW99" s="58">
        <v>8.7650000000000006</v>
      </c>
      <c r="FX99" s="58">
        <v>1.891</v>
      </c>
      <c r="FY99" s="58">
        <v>37.582000000000001</v>
      </c>
      <c r="FZ99" s="58">
        <v>16.437999999999999</v>
      </c>
      <c r="GA99" s="58">
        <v>21.143999999999998</v>
      </c>
      <c r="GB99" s="58">
        <v>150.55500000000001</v>
      </c>
      <c r="GC99" s="58">
        <v>76.183999999999997</v>
      </c>
      <c r="GD99" s="58">
        <v>74.370999999999995</v>
      </c>
      <c r="GE99" s="58">
        <v>57.683999999999997</v>
      </c>
      <c r="GF99" s="58">
        <v>38.734000000000002</v>
      </c>
      <c r="GG99" s="58">
        <v>18.95</v>
      </c>
      <c r="GH99" s="58">
        <v>92.870999999999995</v>
      </c>
      <c r="GI99" s="58">
        <v>37.451000000000001</v>
      </c>
      <c r="GJ99" s="58">
        <v>55.420999999999999</v>
      </c>
      <c r="GK99" s="58">
        <v>81.058999999999997</v>
      </c>
      <c r="GL99" s="58">
        <v>55.567</v>
      </c>
      <c r="GM99" s="58">
        <v>25.491</v>
      </c>
      <c r="GN99" s="58">
        <v>116.20399999999999</v>
      </c>
      <c r="GO99" s="58">
        <v>46.66</v>
      </c>
      <c r="GP99" s="58">
        <v>69.543999999999997</v>
      </c>
      <c r="GQ99" s="58">
        <v>111.139</v>
      </c>
      <c r="GR99" s="58">
        <v>50.472999999999999</v>
      </c>
      <c r="GS99" s="58">
        <v>60.665999999999997</v>
      </c>
      <c r="GT99" s="58">
        <v>654.49300000000005</v>
      </c>
      <c r="GU99" s="58">
        <v>393.79399999999998</v>
      </c>
      <c r="GV99" s="58">
        <v>260.69900000000001</v>
      </c>
      <c r="GW99" s="58">
        <v>297.91300000000001</v>
      </c>
      <c r="GX99" s="58">
        <v>211.68299999999999</v>
      </c>
      <c r="GY99" s="58">
        <v>86.23</v>
      </c>
      <c r="GZ99" s="58">
        <v>356.58</v>
      </c>
      <c r="HA99" s="58">
        <v>182.11099999999999</v>
      </c>
      <c r="HB99" s="58">
        <v>174.46899999999999</v>
      </c>
      <c r="HC99" s="58">
        <v>68.298000000000002</v>
      </c>
      <c r="HD99" s="58">
        <v>42.716000000000001</v>
      </c>
      <c r="HE99" s="58">
        <v>25.581</v>
      </c>
      <c r="HF99" s="58">
        <v>38.905000000000001</v>
      </c>
      <c r="HG99" s="58">
        <v>25.2</v>
      </c>
      <c r="HH99" s="58">
        <v>13.706</v>
      </c>
      <c r="HI99" s="58">
        <v>11.586</v>
      </c>
      <c r="HJ99" s="58">
        <v>9.6829999999999998</v>
      </c>
      <c r="HK99" s="58">
        <v>1.903</v>
      </c>
      <c r="HL99" s="58">
        <v>9.6720000000000006</v>
      </c>
      <c r="HM99" s="58">
        <v>7.7679999999999998</v>
      </c>
      <c r="HN99" s="58">
        <v>1.903</v>
      </c>
      <c r="HO99" s="58">
        <v>1.9139999999999999</v>
      </c>
      <c r="HP99" s="58">
        <v>1.9139999999999999</v>
      </c>
      <c r="HQ99" s="58">
        <v>0</v>
      </c>
      <c r="HR99" s="58">
        <v>27.318999999999999</v>
      </c>
      <c r="HS99" s="58">
        <v>15.516999999999999</v>
      </c>
      <c r="HT99" s="58">
        <v>11.802</v>
      </c>
      <c r="HU99" s="58">
        <v>36.307000000000002</v>
      </c>
      <c r="HV99" s="58">
        <v>21.37</v>
      </c>
      <c r="HW99" s="58">
        <v>14.936</v>
      </c>
      <c r="HX99" s="58">
        <v>10.007</v>
      </c>
      <c r="HY99" s="58">
        <v>9.0879999999999992</v>
      </c>
      <c r="HZ99" s="58">
        <v>0.91900000000000004</v>
      </c>
      <c r="IA99" s="58">
        <v>26.298999999999999</v>
      </c>
      <c r="IB99" s="58">
        <v>12.282</v>
      </c>
      <c r="IC99" s="58">
        <v>14.016999999999999</v>
      </c>
      <c r="ID99" s="58">
        <v>19.690999999999999</v>
      </c>
      <c r="IE99" s="58">
        <v>17.350999999999999</v>
      </c>
      <c r="IF99" s="58">
        <v>2.34</v>
      </c>
      <c r="IG99" s="58">
        <v>48.606000000000002</v>
      </c>
      <c r="IH99" s="58">
        <v>25.364999999999998</v>
      </c>
      <c r="II99" s="58">
        <v>23.241</v>
      </c>
      <c r="IJ99" s="58">
        <v>35.970999999999997</v>
      </c>
      <c r="IK99" s="58">
        <v>20.050999999999998</v>
      </c>
      <c r="IL99" s="58">
        <v>15.92</v>
      </c>
      <c r="IM99" s="58">
        <v>4140.3090000000002</v>
      </c>
      <c r="IN99" s="58">
        <v>2173.5250000000001</v>
      </c>
      <c r="IO99" s="58">
        <v>1966.7829999999999</v>
      </c>
      <c r="IP99" s="58">
        <v>2921.5940000000001</v>
      </c>
      <c r="IQ99" s="58">
        <v>1763.194</v>
      </c>
    </row>
    <row r="100" spans="1:251">
      <c r="A100" s="5">
        <v>44531</v>
      </c>
      <c r="B100" s="58">
        <v>12.157999999999999</v>
      </c>
      <c r="C100" s="58">
        <v>17.725000000000001</v>
      </c>
      <c r="D100" s="58">
        <v>296.11399999999998</v>
      </c>
      <c r="E100" s="58">
        <v>170.792</v>
      </c>
      <c r="F100" s="58">
        <v>125.322</v>
      </c>
      <c r="G100" s="58">
        <v>131.91399999999999</v>
      </c>
      <c r="H100" s="58">
        <v>95.861999999999995</v>
      </c>
      <c r="I100" s="58">
        <v>36.052</v>
      </c>
      <c r="J100" s="58">
        <v>164.19900000000001</v>
      </c>
      <c r="K100" s="58">
        <v>74.929000000000002</v>
      </c>
      <c r="L100" s="58">
        <v>89.27</v>
      </c>
      <c r="M100" s="58">
        <v>167.42099999999999</v>
      </c>
      <c r="N100" s="58">
        <v>118.83199999999999</v>
      </c>
      <c r="O100" s="58">
        <v>48.588999999999999</v>
      </c>
      <c r="P100" s="58">
        <v>181.172</v>
      </c>
      <c r="Q100" s="58">
        <v>79.751000000000005</v>
      </c>
      <c r="R100" s="58">
        <v>101.42100000000001</v>
      </c>
      <c r="S100" s="58">
        <v>187.953</v>
      </c>
      <c r="T100" s="58">
        <v>90.323999999999998</v>
      </c>
      <c r="U100" s="58">
        <v>97.629000000000005</v>
      </c>
      <c r="V100" s="58">
        <v>2978.8380000000002</v>
      </c>
      <c r="W100" s="58">
        <v>1578.655</v>
      </c>
      <c r="X100" s="58">
        <v>1400.184</v>
      </c>
      <c r="Y100" s="58">
        <v>2237.0740000000001</v>
      </c>
      <c r="Z100" s="58">
        <v>1435.6489999999999</v>
      </c>
      <c r="AA100" s="58">
        <v>801.42499999999995</v>
      </c>
      <c r="AB100" s="58">
        <v>741.76499999999999</v>
      </c>
      <c r="AC100" s="58">
        <v>143.006</v>
      </c>
      <c r="AD100" s="58">
        <v>598.75800000000004</v>
      </c>
      <c r="AE100" s="58">
        <v>281.17899999999997</v>
      </c>
      <c r="AF100" s="58">
        <v>145.43</v>
      </c>
      <c r="AG100" s="58">
        <v>135.749</v>
      </c>
      <c r="AH100" s="58">
        <v>67.120999999999995</v>
      </c>
      <c r="AI100" s="58">
        <v>34.588000000000001</v>
      </c>
      <c r="AJ100" s="58">
        <v>32.533000000000001</v>
      </c>
      <c r="AK100" s="58">
        <v>36.369</v>
      </c>
      <c r="AL100" s="58">
        <v>26.667000000000002</v>
      </c>
      <c r="AM100" s="58">
        <v>9.702</v>
      </c>
      <c r="AN100" s="58">
        <v>16.920999999999999</v>
      </c>
      <c r="AO100" s="58">
        <v>12.961</v>
      </c>
      <c r="AP100" s="58">
        <v>3.96</v>
      </c>
      <c r="AQ100" s="58">
        <v>19.446999999999999</v>
      </c>
      <c r="AR100" s="58">
        <v>13.706</v>
      </c>
      <c r="AS100" s="58">
        <v>5.7409999999999997</v>
      </c>
      <c r="AT100" s="58">
        <v>30.753</v>
      </c>
      <c r="AU100" s="58">
        <v>7.9210000000000003</v>
      </c>
      <c r="AV100" s="58">
        <v>22.832000000000001</v>
      </c>
      <c r="AW100" s="58">
        <v>237.035</v>
      </c>
      <c r="AX100" s="58">
        <v>121.797</v>
      </c>
      <c r="AY100" s="58">
        <v>115.238</v>
      </c>
      <c r="AZ100" s="58">
        <v>113.70399999999999</v>
      </c>
      <c r="BA100" s="58">
        <v>82.13</v>
      </c>
      <c r="BB100" s="58">
        <v>31.574000000000002</v>
      </c>
      <c r="BC100" s="58">
        <v>123.331</v>
      </c>
      <c r="BD100" s="58">
        <v>39.667000000000002</v>
      </c>
      <c r="BE100" s="58">
        <v>83.664000000000001</v>
      </c>
      <c r="BF100" s="58">
        <v>142.386</v>
      </c>
      <c r="BG100" s="58">
        <v>102.479</v>
      </c>
      <c r="BH100" s="58">
        <v>39.906999999999996</v>
      </c>
      <c r="BI100" s="58">
        <v>138.79400000000001</v>
      </c>
      <c r="BJ100" s="58">
        <v>42.951999999999998</v>
      </c>
      <c r="BK100" s="58">
        <v>95.841999999999999</v>
      </c>
      <c r="BL100" s="58">
        <v>140.25200000000001</v>
      </c>
      <c r="BM100" s="58">
        <v>52.628</v>
      </c>
      <c r="BN100" s="58">
        <v>87.623999999999995</v>
      </c>
      <c r="BO100" s="58">
        <v>2692.2449999999999</v>
      </c>
      <c r="BP100" s="58">
        <v>1376.7149999999999</v>
      </c>
      <c r="BQ100" s="58">
        <v>1315.53</v>
      </c>
      <c r="BR100" s="58">
        <v>2065.663</v>
      </c>
      <c r="BS100" s="58">
        <v>1241.191</v>
      </c>
      <c r="BT100" s="58">
        <v>824.47199999999998</v>
      </c>
      <c r="BU100" s="58">
        <v>626.58100000000002</v>
      </c>
      <c r="BV100" s="58">
        <v>135.524</v>
      </c>
      <c r="BW100" s="58">
        <v>491.05700000000002</v>
      </c>
      <c r="BX100" s="58">
        <v>249.233</v>
      </c>
      <c r="BY100" s="58">
        <v>120.98</v>
      </c>
      <c r="BZ100" s="58">
        <v>128.25299999999999</v>
      </c>
      <c r="CA100" s="58">
        <v>61.606000000000002</v>
      </c>
      <c r="CB100" s="58">
        <v>30.577999999999999</v>
      </c>
      <c r="CC100" s="58">
        <v>31.027999999999999</v>
      </c>
      <c r="CD100" s="58">
        <v>30.692</v>
      </c>
      <c r="CE100" s="58">
        <v>20.66</v>
      </c>
      <c r="CF100" s="58">
        <v>10.032</v>
      </c>
      <c r="CG100" s="58">
        <v>19.238</v>
      </c>
      <c r="CH100" s="58">
        <v>11.707000000000001</v>
      </c>
      <c r="CI100" s="58">
        <v>7.5309999999999997</v>
      </c>
      <c r="CJ100" s="58">
        <v>11.454000000000001</v>
      </c>
      <c r="CK100" s="58">
        <v>8.9529999999999994</v>
      </c>
      <c r="CL100" s="58">
        <v>2.5009999999999999</v>
      </c>
      <c r="CM100" s="58">
        <v>30.914000000000001</v>
      </c>
      <c r="CN100" s="58">
        <v>9.9179999999999993</v>
      </c>
      <c r="CO100" s="58">
        <v>20.995999999999999</v>
      </c>
      <c r="CP100" s="58">
        <v>210.69300000000001</v>
      </c>
      <c r="CQ100" s="58">
        <v>99.95</v>
      </c>
      <c r="CR100" s="58">
        <v>110.74299999999999</v>
      </c>
      <c r="CS100" s="58">
        <v>97.096000000000004</v>
      </c>
      <c r="CT100" s="58">
        <v>66.906000000000006</v>
      </c>
      <c r="CU100" s="58">
        <v>30.19</v>
      </c>
      <c r="CV100" s="58">
        <v>113.596</v>
      </c>
      <c r="CW100" s="58">
        <v>33.043999999999997</v>
      </c>
      <c r="CX100" s="58">
        <v>80.552999999999997</v>
      </c>
      <c r="CY100" s="58">
        <v>119.218</v>
      </c>
      <c r="CZ100" s="58">
        <v>82.74</v>
      </c>
      <c r="DA100" s="58">
        <v>36.478999999999999</v>
      </c>
      <c r="DB100" s="58">
        <v>130.01499999999999</v>
      </c>
      <c r="DC100" s="58">
        <v>38.241</v>
      </c>
      <c r="DD100" s="58">
        <v>91.774000000000001</v>
      </c>
      <c r="DE100" s="58">
        <v>132.834</v>
      </c>
      <c r="DF100" s="58">
        <v>44.750999999999998</v>
      </c>
      <c r="DG100" s="58">
        <v>88.084000000000003</v>
      </c>
      <c r="DH100" s="58">
        <v>2663.884</v>
      </c>
      <c r="DI100" s="58">
        <v>1456.5930000000001</v>
      </c>
      <c r="DJ100" s="58">
        <v>1207.2909999999999</v>
      </c>
      <c r="DK100" s="58">
        <v>1685.877</v>
      </c>
      <c r="DL100" s="58">
        <v>1102.069</v>
      </c>
      <c r="DM100" s="58">
        <v>583.80799999999999</v>
      </c>
      <c r="DN100" s="58">
        <v>978.00699999999995</v>
      </c>
      <c r="DO100" s="58">
        <v>354.524</v>
      </c>
      <c r="DP100" s="58">
        <v>623.48299999999995</v>
      </c>
      <c r="DQ100" s="58">
        <v>255.44499999999999</v>
      </c>
      <c r="DR100" s="58">
        <v>138.66399999999999</v>
      </c>
      <c r="DS100" s="58">
        <v>116.78</v>
      </c>
      <c r="DT100" s="58">
        <v>88.67</v>
      </c>
      <c r="DU100" s="58">
        <v>52.024000000000001</v>
      </c>
      <c r="DV100" s="58">
        <v>36.646000000000001</v>
      </c>
      <c r="DW100" s="58">
        <v>34.576000000000001</v>
      </c>
      <c r="DX100" s="58">
        <v>25.978999999999999</v>
      </c>
      <c r="DY100" s="58">
        <v>8.5969999999999995</v>
      </c>
      <c r="DZ100" s="58">
        <v>23.193000000000001</v>
      </c>
      <c r="EA100" s="58">
        <v>18.399999999999999</v>
      </c>
      <c r="EB100" s="58">
        <v>4.7930000000000001</v>
      </c>
      <c r="EC100" s="58">
        <v>11.382999999999999</v>
      </c>
      <c r="ED100" s="58">
        <v>7.5780000000000003</v>
      </c>
      <c r="EE100" s="58">
        <v>3.8050000000000002</v>
      </c>
      <c r="EF100" s="58">
        <v>54.094000000000001</v>
      </c>
      <c r="EG100" s="58">
        <v>26.045999999999999</v>
      </c>
      <c r="EH100" s="58">
        <v>28.048999999999999</v>
      </c>
      <c r="EI100" s="58">
        <v>197.62200000000001</v>
      </c>
      <c r="EJ100" s="58">
        <v>104.342</v>
      </c>
      <c r="EK100" s="58">
        <v>93.28</v>
      </c>
      <c r="EL100" s="58">
        <v>74.352000000000004</v>
      </c>
      <c r="EM100" s="58">
        <v>49.869</v>
      </c>
      <c r="EN100" s="58">
        <v>24.483000000000001</v>
      </c>
      <c r="EO100" s="58">
        <v>123.27</v>
      </c>
      <c r="EP100" s="58">
        <v>54.472999999999999</v>
      </c>
      <c r="EQ100" s="58">
        <v>68.796999999999997</v>
      </c>
      <c r="ER100" s="58">
        <v>98.954999999999998</v>
      </c>
      <c r="ES100" s="58">
        <v>68.41</v>
      </c>
      <c r="ET100" s="58">
        <v>30.544</v>
      </c>
      <c r="EU100" s="58">
        <v>156.49</v>
      </c>
      <c r="EV100" s="58">
        <v>70.254000000000005</v>
      </c>
      <c r="EW100" s="58">
        <v>86.236000000000004</v>
      </c>
      <c r="EX100" s="58">
        <v>146.46299999999999</v>
      </c>
      <c r="EY100" s="58">
        <v>72.873000000000005</v>
      </c>
      <c r="EZ100" s="58">
        <v>73.59</v>
      </c>
      <c r="FA100" s="58">
        <v>2005.1410000000001</v>
      </c>
      <c r="FB100" s="58">
        <v>1053.7550000000001</v>
      </c>
      <c r="FC100" s="58">
        <v>951.38599999999997</v>
      </c>
      <c r="FD100" s="58">
        <v>1382.8720000000001</v>
      </c>
      <c r="FE100" s="58">
        <v>884.60799999999995</v>
      </c>
      <c r="FF100" s="58">
        <v>498.26400000000001</v>
      </c>
      <c r="FG100" s="58">
        <v>622.26900000000001</v>
      </c>
      <c r="FH100" s="58">
        <v>169.14699999999999</v>
      </c>
      <c r="FI100" s="58">
        <v>453.12200000000001</v>
      </c>
      <c r="FJ100" s="58">
        <v>192.48099999999999</v>
      </c>
      <c r="FK100" s="58">
        <v>100.001</v>
      </c>
      <c r="FL100" s="58">
        <v>92.48</v>
      </c>
      <c r="FM100" s="58">
        <v>59.215000000000003</v>
      </c>
      <c r="FN100" s="58">
        <v>32.406999999999996</v>
      </c>
      <c r="FO100" s="58">
        <v>26.808</v>
      </c>
      <c r="FP100" s="58">
        <v>23.651</v>
      </c>
      <c r="FQ100" s="58">
        <v>17.23</v>
      </c>
      <c r="FR100" s="58">
        <v>6.4219999999999997</v>
      </c>
      <c r="FS100" s="58">
        <v>15.266</v>
      </c>
      <c r="FT100" s="58">
        <v>11.433</v>
      </c>
      <c r="FU100" s="58">
        <v>3.8330000000000002</v>
      </c>
      <c r="FV100" s="58">
        <v>8.3859999999999992</v>
      </c>
      <c r="FW100" s="58">
        <v>5.7969999999999997</v>
      </c>
      <c r="FX100" s="58">
        <v>2.589</v>
      </c>
      <c r="FY100" s="58">
        <v>35.564</v>
      </c>
      <c r="FZ100" s="58">
        <v>15.177</v>
      </c>
      <c r="GA100" s="58">
        <v>20.385999999999999</v>
      </c>
      <c r="GB100" s="58">
        <v>157.471</v>
      </c>
      <c r="GC100" s="58">
        <v>80.17</v>
      </c>
      <c r="GD100" s="58">
        <v>77.3</v>
      </c>
      <c r="GE100" s="58">
        <v>64.105000000000004</v>
      </c>
      <c r="GF100" s="58">
        <v>42.792000000000002</v>
      </c>
      <c r="GG100" s="58">
        <v>21.312999999999999</v>
      </c>
      <c r="GH100" s="58">
        <v>93.366</v>
      </c>
      <c r="GI100" s="58">
        <v>37.378999999999998</v>
      </c>
      <c r="GJ100" s="58">
        <v>55.987000000000002</v>
      </c>
      <c r="GK100" s="58">
        <v>79.753</v>
      </c>
      <c r="GL100" s="58">
        <v>54.237000000000002</v>
      </c>
      <c r="GM100" s="58">
        <v>25.515999999999998</v>
      </c>
      <c r="GN100" s="58">
        <v>112.72799999999999</v>
      </c>
      <c r="GO100" s="58">
        <v>45.764000000000003</v>
      </c>
      <c r="GP100" s="58">
        <v>66.963999999999999</v>
      </c>
      <c r="GQ100" s="58">
        <v>108.63200000000001</v>
      </c>
      <c r="GR100" s="58">
        <v>48.811999999999998</v>
      </c>
      <c r="GS100" s="58">
        <v>59.82</v>
      </c>
      <c r="GT100" s="58">
        <v>658.74300000000005</v>
      </c>
      <c r="GU100" s="58">
        <v>402.83800000000002</v>
      </c>
      <c r="GV100" s="58">
        <v>255.905</v>
      </c>
      <c r="GW100" s="58">
        <v>303.005</v>
      </c>
      <c r="GX100" s="58">
        <v>217.46100000000001</v>
      </c>
      <c r="GY100" s="58">
        <v>85.543000000000006</v>
      </c>
      <c r="GZ100" s="58">
        <v>355.738</v>
      </c>
      <c r="HA100" s="58">
        <v>185.37700000000001</v>
      </c>
      <c r="HB100" s="58">
        <v>170.36199999999999</v>
      </c>
      <c r="HC100" s="58">
        <v>62.963000000000001</v>
      </c>
      <c r="HD100" s="58">
        <v>38.662999999999997</v>
      </c>
      <c r="HE100" s="58">
        <v>24.3</v>
      </c>
      <c r="HF100" s="58">
        <v>29.454999999999998</v>
      </c>
      <c r="HG100" s="58">
        <v>19.617000000000001</v>
      </c>
      <c r="HH100" s="58">
        <v>9.8379999999999992</v>
      </c>
      <c r="HI100" s="58">
        <v>10.923999999999999</v>
      </c>
      <c r="HJ100" s="58">
        <v>8.7490000000000006</v>
      </c>
      <c r="HK100" s="58">
        <v>2.1749999999999998</v>
      </c>
      <c r="HL100" s="58">
        <v>7.9269999999999996</v>
      </c>
      <c r="HM100" s="58">
        <v>6.968</v>
      </c>
      <c r="HN100" s="58">
        <v>0.95899999999999996</v>
      </c>
      <c r="HO100" s="58">
        <v>2.9969999999999999</v>
      </c>
      <c r="HP100" s="58">
        <v>1.7809999999999999</v>
      </c>
      <c r="HQ100" s="58">
        <v>1.216</v>
      </c>
      <c r="HR100" s="58">
        <v>18.530999999999999</v>
      </c>
      <c r="HS100" s="58">
        <v>10.868</v>
      </c>
      <c r="HT100" s="58">
        <v>7.6619999999999999</v>
      </c>
      <c r="HU100" s="58">
        <v>40.151000000000003</v>
      </c>
      <c r="HV100" s="58">
        <v>24.172000000000001</v>
      </c>
      <c r="HW100" s="58">
        <v>15.978999999999999</v>
      </c>
      <c r="HX100" s="58">
        <v>10.247</v>
      </c>
      <c r="HY100" s="58">
        <v>7.0780000000000003</v>
      </c>
      <c r="HZ100" s="58">
        <v>3.17</v>
      </c>
      <c r="IA100" s="58">
        <v>29.904</v>
      </c>
      <c r="IB100" s="58">
        <v>17.094000000000001</v>
      </c>
      <c r="IC100" s="58">
        <v>12.81</v>
      </c>
      <c r="ID100" s="58">
        <v>19.202000000000002</v>
      </c>
      <c r="IE100" s="58">
        <v>14.173</v>
      </c>
      <c r="IF100" s="58">
        <v>5.0279999999999996</v>
      </c>
      <c r="IG100" s="58">
        <v>43.762</v>
      </c>
      <c r="IH100" s="58">
        <v>24.49</v>
      </c>
      <c r="II100" s="58">
        <v>19.271999999999998</v>
      </c>
      <c r="IJ100" s="58">
        <v>37.831000000000003</v>
      </c>
      <c r="IK100" s="58">
        <v>24.062000000000001</v>
      </c>
      <c r="IL100" s="58">
        <v>13.769</v>
      </c>
      <c r="IM100" s="58">
        <v>4209.2370000000001</v>
      </c>
      <c r="IN100" s="58">
        <v>2202.7240000000002</v>
      </c>
      <c r="IO100" s="58">
        <v>2006.5129999999999</v>
      </c>
      <c r="IP100" s="58">
        <v>2972.3539999999998</v>
      </c>
      <c r="IQ100" s="58">
        <v>1776.443</v>
      </c>
    </row>
    <row r="101" spans="1:251">
      <c r="A101" s="5">
        <v>44562</v>
      </c>
      <c r="B101" s="58">
        <v>17.042999999999999</v>
      </c>
      <c r="C101" s="58">
        <v>25.158000000000001</v>
      </c>
      <c r="D101" s="58">
        <v>305.334</v>
      </c>
      <c r="E101" s="58">
        <v>173.21100000000001</v>
      </c>
      <c r="F101" s="58">
        <v>132.12299999999999</v>
      </c>
      <c r="G101" s="58">
        <v>142.28899999999999</v>
      </c>
      <c r="H101" s="58">
        <v>102.98699999999999</v>
      </c>
      <c r="I101" s="58">
        <v>39.302</v>
      </c>
      <c r="J101" s="58">
        <v>163.04499999999999</v>
      </c>
      <c r="K101" s="58">
        <v>70.224000000000004</v>
      </c>
      <c r="L101" s="58">
        <v>92.820999999999998</v>
      </c>
      <c r="M101" s="58">
        <v>173.57499999999999</v>
      </c>
      <c r="N101" s="58">
        <v>125.05500000000001</v>
      </c>
      <c r="O101" s="58">
        <v>48.518999999999998</v>
      </c>
      <c r="P101" s="58">
        <v>182.208</v>
      </c>
      <c r="Q101" s="58">
        <v>76.540000000000006</v>
      </c>
      <c r="R101" s="58">
        <v>105.66800000000001</v>
      </c>
      <c r="S101" s="58">
        <v>190.70699999999999</v>
      </c>
      <c r="T101" s="58">
        <v>90.76</v>
      </c>
      <c r="U101" s="58">
        <v>99.947000000000003</v>
      </c>
      <c r="V101" s="58">
        <v>2926.489</v>
      </c>
      <c r="W101" s="58">
        <v>1552.5129999999999</v>
      </c>
      <c r="X101" s="58">
        <v>1373.9760000000001</v>
      </c>
      <c r="Y101" s="58">
        <v>2207.085</v>
      </c>
      <c r="Z101" s="58">
        <v>1423.52</v>
      </c>
      <c r="AA101" s="58">
        <v>783.56399999999996</v>
      </c>
      <c r="AB101" s="58">
        <v>719.40499999999997</v>
      </c>
      <c r="AC101" s="58">
        <v>128.99299999999999</v>
      </c>
      <c r="AD101" s="58">
        <v>590.41200000000003</v>
      </c>
      <c r="AE101" s="58">
        <v>286.88099999999997</v>
      </c>
      <c r="AF101" s="58">
        <v>149.52699999999999</v>
      </c>
      <c r="AG101" s="58">
        <v>137.35400000000001</v>
      </c>
      <c r="AH101" s="58">
        <v>62.997999999999998</v>
      </c>
      <c r="AI101" s="58">
        <v>34.219000000000001</v>
      </c>
      <c r="AJ101" s="58">
        <v>28.779</v>
      </c>
      <c r="AK101" s="58">
        <v>33.554000000000002</v>
      </c>
      <c r="AL101" s="58">
        <v>26.17</v>
      </c>
      <c r="AM101" s="58">
        <v>7.3840000000000003</v>
      </c>
      <c r="AN101" s="58">
        <v>18.312999999999999</v>
      </c>
      <c r="AO101" s="58">
        <v>12.766999999999999</v>
      </c>
      <c r="AP101" s="58">
        <v>5.5460000000000003</v>
      </c>
      <c r="AQ101" s="58">
        <v>15.241</v>
      </c>
      <c r="AR101" s="58">
        <v>13.403</v>
      </c>
      <c r="AS101" s="58">
        <v>1.8380000000000001</v>
      </c>
      <c r="AT101" s="58">
        <v>29.443999999999999</v>
      </c>
      <c r="AU101" s="58">
        <v>8.0489999999999995</v>
      </c>
      <c r="AV101" s="58">
        <v>21.395</v>
      </c>
      <c r="AW101" s="58">
        <v>245.62899999999999</v>
      </c>
      <c r="AX101" s="58">
        <v>128.60599999999999</v>
      </c>
      <c r="AY101" s="58">
        <v>117.023</v>
      </c>
      <c r="AZ101" s="58">
        <v>121.76900000000001</v>
      </c>
      <c r="BA101" s="58">
        <v>89.335999999999999</v>
      </c>
      <c r="BB101" s="58">
        <v>32.433999999999997</v>
      </c>
      <c r="BC101" s="58">
        <v>123.85899999999999</v>
      </c>
      <c r="BD101" s="58">
        <v>39.270000000000003</v>
      </c>
      <c r="BE101" s="58">
        <v>84.588999999999999</v>
      </c>
      <c r="BF101" s="58">
        <v>147.34800000000001</v>
      </c>
      <c r="BG101" s="58">
        <v>108.60599999999999</v>
      </c>
      <c r="BH101" s="58">
        <v>38.741999999999997</v>
      </c>
      <c r="BI101" s="58">
        <v>139.53299999999999</v>
      </c>
      <c r="BJ101" s="58">
        <v>40.920999999999999</v>
      </c>
      <c r="BK101" s="58">
        <v>98.611999999999995</v>
      </c>
      <c r="BL101" s="58">
        <v>142.172</v>
      </c>
      <c r="BM101" s="58">
        <v>52.036999999999999</v>
      </c>
      <c r="BN101" s="58">
        <v>90.135000000000005</v>
      </c>
      <c r="BO101" s="58">
        <v>2641.1579999999999</v>
      </c>
      <c r="BP101" s="58">
        <v>1350.4839999999999</v>
      </c>
      <c r="BQ101" s="58">
        <v>1290.674</v>
      </c>
      <c r="BR101" s="58">
        <v>2022.8610000000001</v>
      </c>
      <c r="BS101" s="58">
        <v>1214.5229999999999</v>
      </c>
      <c r="BT101" s="58">
        <v>808.33799999999997</v>
      </c>
      <c r="BU101" s="58">
        <v>618.29700000000003</v>
      </c>
      <c r="BV101" s="58">
        <v>135.96100000000001</v>
      </c>
      <c r="BW101" s="58">
        <v>482.33600000000001</v>
      </c>
      <c r="BX101" s="58">
        <v>253.19900000000001</v>
      </c>
      <c r="BY101" s="58">
        <v>122.212</v>
      </c>
      <c r="BZ101" s="58">
        <v>130.98699999999999</v>
      </c>
      <c r="CA101" s="58">
        <v>71.501999999999995</v>
      </c>
      <c r="CB101" s="58">
        <v>41.058</v>
      </c>
      <c r="CC101" s="58">
        <v>30.445</v>
      </c>
      <c r="CD101" s="58">
        <v>36.908000000000001</v>
      </c>
      <c r="CE101" s="58">
        <v>27.021999999999998</v>
      </c>
      <c r="CF101" s="58">
        <v>9.8859999999999992</v>
      </c>
      <c r="CG101" s="58">
        <v>21.114000000000001</v>
      </c>
      <c r="CH101" s="58">
        <v>14.958</v>
      </c>
      <c r="CI101" s="58">
        <v>6.1559999999999997</v>
      </c>
      <c r="CJ101" s="58">
        <v>15.794</v>
      </c>
      <c r="CK101" s="58">
        <v>12.065</v>
      </c>
      <c r="CL101" s="58">
        <v>3.7290000000000001</v>
      </c>
      <c r="CM101" s="58">
        <v>34.594999999999999</v>
      </c>
      <c r="CN101" s="58">
        <v>14.035</v>
      </c>
      <c r="CO101" s="58">
        <v>20.559000000000001</v>
      </c>
      <c r="CP101" s="58">
        <v>201.33799999999999</v>
      </c>
      <c r="CQ101" s="58">
        <v>91.921999999999997</v>
      </c>
      <c r="CR101" s="58">
        <v>109.416</v>
      </c>
      <c r="CS101" s="58">
        <v>93.248000000000005</v>
      </c>
      <c r="CT101" s="58">
        <v>60.326000000000001</v>
      </c>
      <c r="CU101" s="58">
        <v>32.921999999999997</v>
      </c>
      <c r="CV101" s="58">
        <v>108.09099999999999</v>
      </c>
      <c r="CW101" s="58">
        <v>31.596</v>
      </c>
      <c r="CX101" s="58">
        <v>76.494</v>
      </c>
      <c r="CY101" s="58">
        <v>126.319</v>
      </c>
      <c r="CZ101" s="58">
        <v>84.328999999999994</v>
      </c>
      <c r="DA101" s="58">
        <v>41.991</v>
      </c>
      <c r="DB101" s="58">
        <v>126.879</v>
      </c>
      <c r="DC101" s="58">
        <v>37.883000000000003</v>
      </c>
      <c r="DD101" s="58">
        <v>88.995999999999995</v>
      </c>
      <c r="DE101" s="58">
        <v>129.20500000000001</v>
      </c>
      <c r="DF101" s="58">
        <v>46.554000000000002</v>
      </c>
      <c r="DG101" s="58">
        <v>82.650999999999996</v>
      </c>
      <c r="DH101" s="58">
        <v>2588.625</v>
      </c>
      <c r="DI101" s="58">
        <v>1420.08</v>
      </c>
      <c r="DJ101" s="58">
        <v>1168.5450000000001</v>
      </c>
      <c r="DK101" s="58">
        <v>1634.059</v>
      </c>
      <c r="DL101" s="58">
        <v>1068.047</v>
      </c>
      <c r="DM101" s="58">
        <v>566.01300000000003</v>
      </c>
      <c r="DN101" s="58">
        <v>954.56600000000003</v>
      </c>
      <c r="DO101" s="58">
        <v>352.03300000000002</v>
      </c>
      <c r="DP101" s="58">
        <v>602.53300000000002</v>
      </c>
      <c r="DQ101" s="58">
        <v>237.536</v>
      </c>
      <c r="DR101" s="58">
        <v>131.18600000000001</v>
      </c>
      <c r="DS101" s="58">
        <v>106.351</v>
      </c>
      <c r="DT101" s="58">
        <v>91.881</v>
      </c>
      <c r="DU101" s="58">
        <v>52.119</v>
      </c>
      <c r="DV101" s="58">
        <v>39.762</v>
      </c>
      <c r="DW101" s="58">
        <v>31.391999999999999</v>
      </c>
      <c r="DX101" s="58">
        <v>23.96</v>
      </c>
      <c r="DY101" s="58">
        <v>7.4320000000000004</v>
      </c>
      <c r="DZ101" s="58">
        <v>25.116</v>
      </c>
      <c r="EA101" s="58">
        <v>20.068999999999999</v>
      </c>
      <c r="EB101" s="58">
        <v>5.0469999999999997</v>
      </c>
      <c r="EC101" s="58">
        <v>6.2759999999999998</v>
      </c>
      <c r="ED101" s="58">
        <v>3.891</v>
      </c>
      <c r="EE101" s="58">
        <v>2.3849999999999998</v>
      </c>
      <c r="EF101" s="58">
        <v>60.488999999999997</v>
      </c>
      <c r="EG101" s="58">
        <v>28.158000000000001</v>
      </c>
      <c r="EH101" s="58">
        <v>32.331000000000003</v>
      </c>
      <c r="EI101" s="58">
        <v>164.49799999999999</v>
      </c>
      <c r="EJ101" s="58">
        <v>89.331999999999994</v>
      </c>
      <c r="EK101" s="58">
        <v>75.165999999999997</v>
      </c>
      <c r="EL101" s="58">
        <v>56.661999999999999</v>
      </c>
      <c r="EM101" s="58">
        <v>41.234000000000002</v>
      </c>
      <c r="EN101" s="58">
        <v>15.427</v>
      </c>
      <c r="EO101" s="58">
        <v>107.836</v>
      </c>
      <c r="EP101" s="58">
        <v>48.097000000000001</v>
      </c>
      <c r="EQ101" s="58">
        <v>59.738999999999997</v>
      </c>
      <c r="ER101" s="58">
        <v>85.813999999999993</v>
      </c>
      <c r="ES101" s="58">
        <v>63.081000000000003</v>
      </c>
      <c r="ET101" s="58">
        <v>22.733000000000001</v>
      </c>
      <c r="EU101" s="58">
        <v>151.72300000000001</v>
      </c>
      <c r="EV101" s="58">
        <v>68.105000000000004</v>
      </c>
      <c r="EW101" s="58">
        <v>83.617999999999995</v>
      </c>
      <c r="EX101" s="58">
        <v>132.952</v>
      </c>
      <c r="EY101" s="58">
        <v>68.167000000000002</v>
      </c>
      <c r="EZ101" s="58">
        <v>64.786000000000001</v>
      </c>
      <c r="FA101" s="58">
        <v>1977.4870000000001</v>
      </c>
      <c r="FB101" s="58">
        <v>1048.873</v>
      </c>
      <c r="FC101" s="58">
        <v>928.61400000000003</v>
      </c>
      <c r="FD101" s="58">
        <v>1359.287</v>
      </c>
      <c r="FE101" s="58">
        <v>871.90700000000004</v>
      </c>
      <c r="FF101" s="58">
        <v>487.38</v>
      </c>
      <c r="FG101" s="58">
        <v>618.19899999999996</v>
      </c>
      <c r="FH101" s="58">
        <v>176.96600000000001</v>
      </c>
      <c r="FI101" s="58">
        <v>441.233</v>
      </c>
      <c r="FJ101" s="58">
        <v>180.99799999999999</v>
      </c>
      <c r="FK101" s="58">
        <v>97.995999999999995</v>
      </c>
      <c r="FL101" s="58">
        <v>83.003</v>
      </c>
      <c r="FM101" s="58">
        <v>62.082000000000001</v>
      </c>
      <c r="FN101" s="58">
        <v>34.146999999999998</v>
      </c>
      <c r="FO101" s="58">
        <v>27.934999999999999</v>
      </c>
      <c r="FP101" s="58">
        <v>23.74</v>
      </c>
      <c r="FQ101" s="58">
        <v>16.972999999999999</v>
      </c>
      <c r="FR101" s="58">
        <v>6.7670000000000003</v>
      </c>
      <c r="FS101" s="58">
        <v>17.835000000000001</v>
      </c>
      <c r="FT101" s="58">
        <v>13.082000000000001</v>
      </c>
      <c r="FU101" s="58">
        <v>4.7519999999999998</v>
      </c>
      <c r="FV101" s="58">
        <v>5.9059999999999997</v>
      </c>
      <c r="FW101" s="58">
        <v>3.891</v>
      </c>
      <c r="FX101" s="58">
        <v>2.0150000000000001</v>
      </c>
      <c r="FY101" s="58">
        <v>38.341999999999999</v>
      </c>
      <c r="FZ101" s="58">
        <v>17.173999999999999</v>
      </c>
      <c r="GA101" s="58">
        <v>21.167999999999999</v>
      </c>
      <c r="GB101" s="58">
        <v>134.44</v>
      </c>
      <c r="GC101" s="58">
        <v>71.936000000000007</v>
      </c>
      <c r="GD101" s="58">
        <v>62.503999999999998</v>
      </c>
      <c r="GE101" s="58">
        <v>51.49</v>
      </c>
      <c r="GF101" s="58">
        <v>37.545000000000002</v>
      </c>
      <c r="GG101" s="58">
        <v>13.944000000000001</v>
      </c>
      <c r="GH101" s="58">
        <v>82.95</v>
      </c>
      <c r="GI101" s="58">
        <v>34.39</v>
      </c>
      <c r="GJ101" s="58">
        <v>48.56</v>
      </c>
      <c r="GK101" s="58">
        <v>73.036000000000001</v>
      </c>
      <c r="GL101" s="58">
        <v>52.45</v>
      </c>
      <c r="GM101" s="58">
        <v>20.585999999999999</v>
      </c>
      <c r="GN101" s="58">
        <v>107.962</v>
      </c>
      <c r="GO101" s="58">
        <v>45.545000000000002</v>
      </c>
      <c r="GP101" s="58">
        <v>62.417000000000002</v>
      </c>
      <c r="GQ101" s="58">
        <v>100.785</v>
      </c>
      <c r="GR101" s="58">
        <v>47.472999999999999</v>
      </c>
      <c r="GS101" s="58">
        <v>53.311999999999998</v>
      </c>
      <c r="GT101" s="58">
        <v>611.13800000000003</v>
      </c>
      <c r="GU101" s="58">
        <v>371.20699999999999</v>
      </c>
      <c r="GV101" s="58">
        <v>239.93199999999999</v>
      </c>
      <c r="GW101" s="58">
        <v>274.77199999999999</v>
      </c>
      <c r="GX101" s="58">
        <v>196.13900000000001</v>
      </c>
      <c r="GY101" s="58">
        <v>78.632999999999996</v>
      </c>
      <c r="GZ101" s="58">
        <v>336.36599999999999</v>
      </c>
      <c r="HA101" s="58">
        <v>175.06700000000001</v>
      </c>
      <c r="HB101" s="58">
        <v>161.29900000000001</v>
      </c>
      <c r="HC101" s="58">
        <v>56.537999999999997</v>
      </c>
      <c r="HD101" s="58">
        <v>33.19</v>
      </c>
      <c r="HE101" s="58">
        <v>23.347999999999999</v>
      </c>
      <c r="HF101" s="58">
        <v>29.798999999999999</v>
      </c>
      <c r="HG101" s="58">
        <v>17.972000000000001</v>
      </c>
      <c r="HH101" s="58">
        <v>11.827</v>
      </c>
      <c r="HI101" s="58">
        <v>7.6520000000000001</v>
      </c>
      <c r="HJ101" s="58">
        <v>6.9870000000000001</v>
      </c>
      <c r="HK101" s="58">
        <v>0.66400000000000003</v>
      </c>
      <c r="HL101" s="58">
        <v>7.282</v>
      </c>
      <c r="HM101" s="58">
        <v>6.9870000000000001</v>
      </c>
      <c r="HN101" s="58">
        <v>0.29399999999999998</v>
      </c>
      <c r="HO101" s="58">
        <v>0.37</v>
      </c>
      <c r="HP101" s="58">
        <v>0</v>
      </c>
      <c r="HQ101" s="58">
        <v>0.37</v>
      </c>
      <c r="HR101" s="58">
        <v>22.146999999999998</v>
      </c>
      <c r="HS101" s="58">
        <v>10.984999999999999</v>
      </c>
      <c r="HT101" s="58">
        <v>11.163</v>
      </c>
      <c r="HU101" s="58">
        <v>30.058</v>
      </c>
      <c r="HV101" s="58">
        <v>17.396000000000001</v>
      </c>
      <c r="HW101" s="58">
        <v>12.662000000000001</v>
      </c>
      <c r="HX101" s="58">
        <v>5.1719999999999997</v>
      </c>
      <c r="HY101" s="58">
        <v>3.6890000000000001</v>
      </c>
      <c r="HZ101" s="58">
        <v>1.4830000000000001</v>
      </c>
      <c r="IA101" s="58">
        <v>24.885999999999999</v>
      </c>
      <c r="IB101" s="58">
        <v>13.707000000000001</v>
      </c>
      <c r="IC101" s="58">
        <v>11.179</v>
      </c>
      <c r="ID101" s="58">
        <v>12.778</v>
      </c>
      <c r="IE101" s="58">
        <v>10.631</v>
      </c>
      <c r="IF101" s="58">
        <v>2.1469999999999998</v>
      </c>
      <c r="IG101" s="58">
        <v>43.76</v>
      </c>
      <c r="IH101" s="58">
        <v>22.559000000000001</v>
      </c>
      <c r="II101" s="58">
        <v>21.201000000000001</v>
      </c>
      <c r="IJ101" s="58">
        <v>32.167999999999999</v>
      </c>
      <c r="IK101" s="58">
        <v>20.693999999999999</v>
      </c>
      <c r="IL101" s="58">
        <v>11.474</v>
      </c>
      <c r="IM101" s="58">
        <v>4101.7309999999998</v>
      </c>
      <c r="IN101" s="58">
        <v>2148.194</v>
      </c>
      <c r="IO101" s="58">
        <v>1953.5360000000001</v>
      </c>
      <c r="IP101" s="58">
        <v>2905.0329999999999</v>
      </c>
      <c r="IQ101" s="58">
        <v>1754.713</v>
      </c>
    </row>
    <row r="102" spans="1:251">
      <c r="A102" s="5">
        <v>44593</v>
      </c>
      <c r="B102" s="58">
        <v>14.602</v>
      </c>
      <c r="C102" s="58">
        <v>24.951000000000001</v>
      </c>
      <c r="D102" s="58">
        <v>322.65100000000001</v>
      </c>
      <c r="E102" s="58">
        <v>186.53200000000001</v>
      </c>
      <c r="F102" s="58">
        <v>136.12</v>
      </c>
      <c r="G102" s="58">
        <v>158.30500000000001</v>
      </c>
      <c r="H102" s="58">
        <v>115.82599999999999</v>
      </c>
      <c r="I102" s="58">
        <v>42.478999999999999</v>
      </c>
      <c r="J102" s="58">
        <v>164.346</v>
      </c>
      <c r="K102" s="58">
        <v>70.704999999999998</v>
      </c>
      <c r="L102" s="58">
        <v>93.641000000000005</v>
      </c>
      <c r="M102" s="58">
        <v>183.542</v>
      </c>
      <c r="N102" s="58">
        <v>134.887</v>
      </c>
      <c r="O102" s="58">
        <v>48.655000000000001</v>
      </c>
      <c r="P102" s="58">
        <v>180.738</v>
      </c>
      <c r="Q102" s="58">
        <v>76.287000000000006</v>
      </c>
      <c r="R102" s="58">
        <v>104.45099999999999</v>
      </c>
      <c r="S102" s="58">
        <v>183.13900000000001</v>
      </c>
      <c r="T102" s="58">
        <v>82.846999999999994</v>
      </c>
      <c r="U102" s="58">
        <v>100.292</v>
      </c>
      <c r="V102" s="58">
        <v>3007.0410000000002</v>
      </c>
      <c r="W102" s="58">
        <v>1577.4680000000001</v>
      </c>
      <c r="X102" s="58">
        <v>1429.5730000000001</v>
      </c>
      <c r="Y102" s="58">
        <v>2266.5740000000001</v>
      </c>
      <c r="Z102" s="58">
        <v>1442.856</v>
      </c>
      <c r="AA102" s="58">
        <v>823.71799999999996</v>
      </c>
      <c r="AB102" s="58">
        <v>740.46699999999998</v>
      </c>
      <c r="AC102" s="58">
        <v>134.61199999999999</v>
      </c>
      <c r="AD102" s="58">
        <v>605.85500000000002</v>
      </c>
      <c r="AE102" s="58">
        <v>294.89699999999999</v>
      </c>
      <c r="AF102" s="58">
        <v>155.03399999999999</v>
      </c>
      <c r="AG102" s="58">
        <v>139.863</v>
      </c>
      <c r="AH102" s="58">
        <v>71.045000000000002</v>
      </c>
      <c r="AI102" s="58">
        <v>38.734999999999999</v>
      </c>
      <c r="AJ102" s="58">
        <v>32.311</v>
      </c>
      <c r="AK102" s="58">
        <v>35.295000000000002</v>
      </c>
      <c r="AL102" s="58">
        <v>27.902999999999999</v>
      </c>
      <c r="AM102" s="58">
        <v>7.3929999999999998</v>
      </c>
      <c r="AN102" s="58">
        <v>19.318000000000001</v>
      </c>
      <c r="AO102" s="58">
        <v>15.568</v>
      </c>
      <c r="AP102" s="58">
        <v>3.75</v>
      </c>
      <c r="AQ102" s="58">
        <v>15.978</v>
      </c>
      <c r="AR102" s="58">
        <v>12.335000000000001</v>
      </c>
      <c r="AS102" s="58">
        <v>3.6429999999999998</v>
      </c>
      <c r="AT102" s="58">
        <v>35.75</v>
      </c>
      <c r="AU102" s="58">
        <v>10.832000000000001</v>
      </c>
      <c r="AV102" s="58">
        <v>24.917999999999999</v>
      </c>
      <c r="AW102" s="58">
        <v>252.28200000000001</v>
      </c>
      <c r="AX102" s="58">
        <v>130.102</v>
      </c>
      <c r="AY102" s="58">
        <v>122.179</v>
      </c>
      <c r="AZ102" s="58">
        <v>121.27200000000001</v>
      </c>
      <c r="BA102" s="58">
        <v>89.658000000000001</v>
      </c>
      <c r="BB102" s="58">
        <v>31.614000000000001</v>
      </c>
      <c r="BC102" s="58">
        <v>131.01</v>
      </c>
      <c r="BD102" s="58">
        <v>40.444000000000003</v>
      </c>
      <c r="BE102" s="58">
        <v>90.564999999999998</v>
      </c>
      <c r="BF102" s="58">
        <v>146.34899999999999</v>
      </c>
      <c r="BG102" s="58">
        <v>109.676</v>
      </c>
      <c r="BH102" s="58">
        <v>36.673999999999999</v>
      </c>
      <c r="BI102" s="58">
        <v>148.548</v>
      </c>
      <c r="BJ102" s="58">
        <v>45.359000000000002</v>
      </c>
      <c r="BK102" s="58">
        <v>103.18899999999999</v>
      </c>
      <c r="BL102" s="58">
        <v>150.327</v>
      </c>
      <c r="BM102" s="58">
        <v>56.012</v>
      </c>
      <c r="BN102" s="58">
        <v>94.314999999999998</v>
      </c>
      <c r="BO102" s="58">
        <v>2709.4929999999999</v>
      </c>
      <c r="BP102" s="58">
        <v>1388.2439999999999</v>
      </c>
      <c r="BQ102" s="58">
        <v>1321.249</v>
      </c>
      <c r="BR102" s="58">
        <v>2077.4609999999998</v>
      </c>
      <c r="BS102" s="58">
        <v>1255.26</v>
      </c>
      <c r="BT102" s="58">
        <v>822.20100000000002</v>
      </c>
      <c r="BU102" s="58">
        <v>632.03200000000004</v>
      </c>
      <c r="BV102" s="58">
        <v>132.98400000000001</v>
      </c>
      <c r="BW102" s="58">
        <v>499.048</v>
      </c>
      <c r="BX102" s="58">
        <v>262.303</v>
      </c>
      <c r="BY102" s="58">
        <v>130.60599999999999</v>
      </c>
      <c r="BZ102" s="58">
        <v>131.697</v>
      </c>
      <c r="CA102" s="58">
        <v>82.366</v>
      </c>
      <c r="CB102" s="58">
        <v>51.808999999999997</v>
      </c>
      <c r="CC102" s="58">
        <v>30.556000000000001</v>
      </c>
      <c r="CD102" s="58">
        <v>47.268000000000001</v>
      </c>
      <c r="CE102" s="58">
        <v>35.613</v>
      </c>
      <c r="CF102" s="58">
        <v>11.654999999999999</v>
      </c>
      <c r="CG102" s="58">
        <v>27.623000000000001</v>
      </c>
      <c r="CH102" s="58">
        <v>19.026</v>
      </c>
      <c r="CI102" s="58">
        <v>8.5969999999999995</v>
      </c>
      <c r="CJ102" s="58">
        <v>19.645</v>
      </c>
      <c r="CK102" s="58">
        <v>16.587</v>
      </c>
      <c r="CL102" s="58">
        <v>3.0579999999999998</v>
      </c>
      <c r="CM102" s="58">
        <v>35.097000000000001</v>
      </c>
      <c r="CN102" s="58">
        <v>16.196000000000002</v>
      </c>
      <c r="CO102" s="58">
        <v>18.901</v>
      </c>
      <c r="CP102" s="58">
        <v>206.142</v>
      </c>
      <c r="CQ102" s="58">
        <v>94.881</v>
      </c>
      <c r="CR102" s="58">
        <v>111.261</v>
      </c>
      <c r="CS102" s="58">
        <v>92.183000000000007</v>
      </c>
      <c r="CT102" s="58">
        <v>60.564999999999998</v>
      </c>
      <c r="CU102" s="58">
        <v>31.617999999999999</v>
      </c>
      <c r="CV102" s="58">
        <v>113.959</v>
      </c>
      <c r="CW102" s="58">
        <v>34.316000000000003</v>
      </c>
      <c r="CX102" s="58">
        <v>79.643000000000001</v>
      </c>
      <c r="CY102" s="58">
        <v>132.76900000000001</v>
      </c>
      <c r="CZ102" s="58">
        <v>90.921999999999997</v>
      </c>
      <c r="DA102" s="58">
        <v>41.847000000000001</v>
      </c>
      <c r="DB102" s="58">
        <v>129.53399999999999</v>
      </c>
      <c r="DC102" s="58">
        <v>39.683999999999997</v>
      </c>
      <c r="DD102" s="58">
        <v>89.85</v>
      </c>
      <c r="DE102" s="58">
        <v>141.58199999999999</v>
      </c>
      <c r="DF102" s="58">
        <v>53.341999999999999</v>
      </c>
      <c r="DG102" s="58">
        <v>88.24</v>
      </c>
      <c r="DH102" s="58">
        <v>2690.0140000000001</v>
      </c>
      <c r="DI102" s="58">
        <v>1464.9349999999999</v>
      </c>
      <c r="DJ102" s="58">
        <v>1225.079</v>
      </c>
      <c r="DK102" s="58">
        <v>1680.749</v>
      </c>
      <c r="DL102" s="58">
        <v>1095.73</v>
      </c>
      <c r="DM102" s="58">
        <v>585.01900000000001</v>
      </c>
      <c r="DN102" s="58">
        <v>1009.266</v>
      </c>
      <c r="DO102" s="58">
        <v>369.20499999999998</v>
      </c>
      <c r="DP102" s="58">
        <v>640.06100000000004</v>
      </c>
      <c r="DQ102" s="58">
        <v>237.24199999999999</v>
      </c>
      <c r="DR102" s="58">
        <v>131.624</v>
      </c>
      <c r="DS102" s="58">
        <v>105.61799999999999</v>
      </c>
      <c r="DT102" s="58">
        <v>96.718000000000004</v>
      </c>
      <c r="DU102" s="58">
        <v>54.460999999999999</v>
      </c>
      <c r="DV102" s="58">
        <v>42.256999999999998</v>
      </c>
      <c r="DW102" s="58">
        <v>34.845999999999997</v>
      </c>
      <c r="DX102" s="58">
        <v>25.401</v>
      </c>
      <c r="DY102" s="58">
        <v>9.4450000000000003</v>
      </c>
      <c r="DZ102" s="58">
        <v>23.311</v>
      </c>
      <c r="EA102" s="58">
        <v>15.685</v>
      </c>
      <c r="EB102" s="58">
        <v>7.6260000000000003</v>
      </c>
      <c r="EC102" s="58">
        <v>11.535</v>
      </c>
      <c r="ED102" s="58">
        <v>9.7159999999999993</v>
      </c>
      <c r="EE102" s="58">
        <v>1.819</v>
      </c>
      <c r="EF102" s="58">
        <v>61.872</v>
      </c>
      <c r="EG102" s="58">
        <v>29.06</v>
      </c>
      <c r="EH102" s="58">
        <v>32.811999999999998</v>
      </c>
      <c r="EI102" s="58">
        <v>172.30699999999999</v>
      </c>
      <c r="EJ102" s="58">
        <v>96.938000000000002</v>
      </c>
      <c r="EK102" s="58">
        <v>75.369</v>
      </c>
      <c r="EL102" s="58">
        <v>67.61</v>
      </c>
      <c r="EM102" s="58">
        <v>51.534999999999997</v>
      </c>
      <c r="EN102" s="58">
        <v>16.074999999999999</v>
      </c>
      <c r="EO102" s="58">
        <v>104.697</v>
      </c>
      <c r="EP102" s="58">
        <v>45.404000000000003</v>
      </c>
      <c r="EQ102" s="58">
        <v>59.293999999999997</v>
      </c>
      <c r="ER102" s="58">
        <v>93.891999999999996</v>
      </c>
      <c r="ES102" s="58">
        <v>69.917000000000002</v>
      </c>
      <c r="ET102" s="58">
        <v>23.975000000000001</v>
      </c>
      <c r="EU102" s="58">
        <v>143.35</v>
      </c>
      <c r="EV102" s="58">
        <v>61.707999999999998</v>
      </c>
      <c r="EW102" s="58">
        <v>81.641999999999996</v>
      </c>
      <c r="EX102" s="58">
        <v>128.00899999999999</v>
      </c>
      <c r="EY102" s="58">
        <v>61.088999999999999</v>
      </c>
      <c r="EZ102" s="58">
        <v>66.92</v>
      </c>
      <c r="FA102" s="58">
        <v>2041.539</v>
      </c>
      <c r="FB102" s="58">
        <v>1074.1469999999999</v>
      </c>
      <c r="FC102" s="58">
        <v>967.39200000000005</v>
      </c>
      <c r="FD102" s="58">
        <v>1393.09</v>
      </c>
      <c r="FE102" s="58">
        <v>892.58100000000002</v>
      </c>
      <c r="FF102" s="58">
        <v>500.50900000000001</v>
      </c>
      <c r="FG102" s="58">
        <v>648.44899999999996</v>
      </c>
      <c r="FH102" s="58">
        <v>181.56700000000001</v>
      </c>
      <c r="FI102" s="58">
        <v>466.88200000000001</v>
      </c>
      <c r="FJ102" s="58">
        <v>186.69200000000001</v>
      </c>
      <c r="FK102" s="58">
        <v>101.71</v>
      </c>
      <c r="FL102" s="58">
        <v>84.981999999999999</v>
      </c>
      <c r="FM102" s="58">
        <v>64.421999999999997</v>
      </c>
      <c r="FN102" s="58">
        <v>37.817999999999998</v>
      </c>
      <c r="FO102" s="58">
        <v>26.603999999999999</v>
      </c>
      <c r="FP102" s="58">
        <v>28.13</v>
      </c>
      <c r="FQ102" s="58">
        <v>20.59</v>
      </c>
      <c r="FR102" s="58">
        <v>7.54</v>
      </c>
      <c r="FS102" s="58">
        <v>16.776</v>
      </c>
      <c r="FT102" s="58">
        <v>10.948</v>
      </c>
      <c r="FU102" s="58">
        <v>5.8280000000000003</v>
      </c>
      <c r="FV102" s="58">
        <v>11.353999999999999</v>
      </c>
      <c r="FW102" s="58">
        <v>9.6419999999999995</v>
      </c>
      <c r="FX102" s="58">
        <v>1.712</v>
      </c>
      <c r="FY102" s="58">
        <v>36.292000000000002</v>
      </c>
      <c r="FZ102" s="58">
        <v>17.228000000000002</v>
      </c>
      <c r="GA102" s="58">
        <v>19.064</v>
      </c>
      <c r="GB102" s="58">
        <v>146.13900000000001</v>
      </c>
      <c r="GC102" s="58">
        <v>78.585999999999999</v>
      </c>
      <c r="GD102" s="58">
        <v>67.552999999999997</v>
      </c>
      <c r="GE102" s="58">
        <v>58.959000000000003</v>
      </c>
      <c r="GF102" s="58">
        <v>44.182000000000002</v>
      </c>
      <c r="GG102" s="58">
        <v>14.776999999999999</v>
      </c>
      <c r="GH102" s="58">
        <v>87.179000000000002</v>
      </c>
      <c r="GI102" s="58">
        <v>34.402999999999999</v>
      </c>
      <c r="GJ102" s="58">
        <v>52.776000000000003</v>
      </c>
      <c r="GK102" s="58">
        <v>81.027000000000001</v>
      </c>
      <c r="GL102" s="58">
        <v>59.39</v>
      </c>
      <c r="GM102" s="58">
        <v>21.637</v>
      </c>
      <c r="GN102" s="58">
        <v>105.66500000000001</v>
      </c>
      <c r="GO102" s="58">
        <v>42.32</v>
      </c>
      <c r="GP102" s="58">
        <v>63.344999999999999</v>
      </c>
      <c r="GQ102" s="58">
        <v>103.955</v>
      </c>
      <c r="GR102" s="58">
        <v>45.350999999999999</v>
      </c>
      <c r="GS102" s="58">
        <v>58.603999999999999</v>
      </c>
      <c r="GT102" s="58">
        <v>648.47500000000002</v>
      </c>
      <c r="GU102" s="58">
        <v>390.78800000000001</v>
      </c>
      <c r="GV102" s="58">
        <v>257.68799999999999</v>
      </c>
      <c r="GW102" s="58">
        <v>287.65899999999999</v>
      </c>
      <c r="GX102" s="58">
        <v>203.149</v>
      </c>
      <c r="GY102" s="58">
        <v>84.509</v>
      </c>
      <c r="GZ102" s="58">
        <v>360.81700000000001</v>
      </c>
      <c r="HA102" s="58">
        <v>187.63800000000001</v>
      </c>
      <c r="HB102" s="58">
        <v>173.178</v>
      </c>
      <c r="HC102" s="58">
        <v>50.55</v>
      </c>
      <c r="HD102" s="58">
        <v>29.914000000000001</v>
      </c>
      <c r="HE102" s="58">
        <v>20.635000000000002</v>
      </c>
      <c r="HF102" s="58">
        <v>32.296999999999997</v>
      </c>
      <c r="HG102" s="58">
        <v>16.643000000000001</v>
      </c>
      <c r="HH102" s="58">
        <v>15.654</v>
      </c>
      <c r="HI102" s="58">
        <v>6.7169999999999996</v>
      </c>
      <c r="HJ102" s="58">
        <v>4.8109999999999999</v>
      </c>
      <c r="HK102" s="58">
        <v>1.9059999999999999</v>
      </c>
      <c r="HL102" s="58">
        <v>6.5359999999999996</v>
      </c>
      <c r="HM102" s="58">
        <v>4.7380000000000004</v>
      </c>
      <c r="HN102" s="58">
        <v>1.798</v>
      </c>
      <c r="HO102" s="58">
        <v>0.18099999999999999</v>
      </c>
      <c r="HP102" s="58">
        <v>7.2999999999999995E-2</v>
      </c>
      <c r="HQ102" s="58">
        <v>0.107</v>
      </c>
      <c r="HR102" s="58">
        <v>25.58</v>
      </c>
      <c r="HS102" s="58">
        <v>11.832000000000001</v>
      </c>
      <c r="HT102" s="58">
        <v>13.747999999999999</v>
      </c>
      <c r="HU102" s="58">
        <v>26.167999999999999</v>
      </c>
      <c r="HV102" s="58">
        <v>18.352</v>
      </c>
      <c r="HW102" s="58">
        <v>7.8159999999999998</v>
      </c>
      <c r="HX102" s="58">
        <v>8.65</v>
      </c>
      <c r="HY102" s="58">
        <v>7.3520000000000003</v>
      </c>
      <c r="HZ102" s="58">
        <v>1.298</v>
      </c>
      <c r="IA102" s="58">
        <v>17.518000000000001</v>
      </c>
      <c r="IB102" s="58">
        <v>11</v>
      </c>
      <c r="IC102" s="58">
        <v>6.5179999999999998</v>
      </c>
      <c r="ID102" s="58">
        <v>12.865</v>
      </c>
      <c r="IE102" s="58">
        <v>10.526999999999999</v>
      </c>
      <c r="IF102" s="58">
        <v>2.3380000000000001</v>
      </c>
      <c r="IG102" s="58">
        <v>37.685000000000002</v>
      </c>
      <c r="IH102" s="58">
        <v>19.387</v>
      </c>
      <c r="II102" s="58">
        <v>18.297000000000001</v>
      </c>
      <c r="IJ102" s="58">
        <v>24.053999999999998</v>
      </c>
      <c r="IK102" s="58">
        <v>15.738</v>
      </c>
      <c r="IL102" s="58">
        <v>8.3160000000000007</v>
      </c>
      <c r="IM102" s="58">
        <v>4221.9080000000004</v>
      </c>
      <c r="IN102" s="58">
        <v>2208.549</v>
      </c>
      <c r="IO102" s="58">
        <v>2013.3589999999999</v>
      </c>
      <c r="IP102" s="58">
        <v>2985.011</v>
      </c>
      <c r="IQ102" s="58">
        <v>1802.396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D1589-A3BF-4ECE-B77C-6B7FBC18A7F8}">
  <dimension ref="A1:IQ102"/>
  <sheetViews>
    <sheetView workbookViewId="0">
      <pane xSplit="1" ySplit="10" topLeftCell="B11" activePane="bottomRight" state="frozen"/>
      <selection activeCell="A12" sqref="A12"/>
      <selection pane="topRight" activeCell="A12" sqref="A12"/>
      <selection pane="bottomLeft" activeCell="A12" sqref="A12"/>
      <selection pane="bottomRight" activeCell="B11" sqref="B11"/>
    </sheetView>
  </sheetViews>
  <sheetFormatPr defaultColWidth="14.7109375" defaultRowHeight="11.25"/>
  <cols>
    <col min="1" max="16384" width="14.7109375" style="55"/>
  </cols>
  <sheetData>
    <row r="1" spans="1:251" s="1" customFormat="1" ht="99.95" customHeight="1">
      <c r="B1" s="2" t="s">
        <v>1013</v>
      </c>
      <c r="C1" s="2" t="s">
        <v>1014</v>
      </c>
      <c r="D1" s="2" t="s">
        <v>1015</v>
      </c>
      <c r="E1" s="2" t="s">
        <v>1016</v>
      </c>
      <c r="F1" s="2" t="s">
        <v>1017</v>
      </c>
      <c r="G1" s="2" t="s">
        <v>1018</v>
      </c>
      <c r="H1" s="2" t="s">
        <v>1019</v>
      </c>
      <c r="I1" s="2" t="s">
        <v>1020</v>
      </c>
      <c r="J1" s="2" t="s">
        <v>1021</v>
      </c>
      <c r="K1" s="2" t="s">
        <v>1022</v>
      </c>
      <c r="L1" s="2" t="s">
        <v>1023</v>
      </c>
      <c r="M1" s="2" t="s">
        <v>1024</v>
      </c>
      <c r="N1" s="2" t="s">
        <v>1025</v>
      </c>
      <c r="O1" s="2" t="s">
        <v>1026</v>
      </c>
      <c r="P1" s="2" t="s">
        <v>1027</v>
      </c>
      <c r="Q1" s="2" t="s">
        <v>1028</v>
      </c>
      <c r="R1" s="2" t="s">
        <v>1029</v>
      </c>
      <c r="S1" s="2" t="s">
        <v>1030</v>
      </c>
      <c r="T1" s="2" t="s">
        <v>1031</v>
      </c>
      <c r="U1" s="2" t="s">
        <v>1032</v>
      </c>
      <c r="V1" s="2" t="s">
        <v>1033</v>
      </c>
      <c r="W1" s="2" t="s">
        <v>1034</v>
      </c>
      <c r="X1" s="2" t="s">
        <v>1035</v>
      </c>
      <c r="Y1" s="2" t="s">
        <v>1036</v>
      </c>
      <c r="Z1" s="2" t="s">
        <v>1037</v>
      </c>
      <c r="AA1" s="2" t="s">
        <v>1038</v>
      </c>
      <c r="AB1" s="2" t="s">
        <v>1039</v>
      </c>
      <c r="AC1" s="2" t="s">
        <v>1040</v>
      </c>
      <c r="AD1" s="2" t="s">
        <v>1041</v>
      </c>
      <c r="AE1" s="2" t="s">
        <v>1042</v>
      </c>
      <c r="AF1" s="2" t="s">
        <v>1043</v>
      </c>
      <c r="AG1" s="2" t="s">
        <v>1044</v>
      </c>
      <c r="AH1" s="2" t="s">
        <v>1045</v>
      </c>
      <c r="AI1" s="2" t="s">
        <v>1046</v>
      </c>
      <c r="AJ1" s="2" t="s">
        <v>1047</v>
      </c>
      <c r="AK1" s="2" t="s">
        <v>1048</v>
      </c>
      <c r="AL1" s="2" t="s">
        <v>1049</v>
      </c>
      <c r="AM1" s="2" t="s">
        <v>1050</v>
      </c>
      <c r="AN1" s="2" t="s">
        <v>1051</v>
      </c>
      <c r="AO1" s="2" t="s">
        <v>1052</v>
      </c>
      <c r="AP1" s="2" t="s">
        <v>1053</v>
      </c>
      <c r="AQ1" s="2" t="s">
        <v>1054</v>
      </c>
      <c r="AR1" s="2" t="s">
        <v>1055</v>
      </c>
      <c r="AS1" s="2" t="s">
        <v>1056</v>
      </c>
      <c r="AT1" s="2" t="s">
        <v>1057</v>
      </c>
      <c r="AU1" s="2" t="s">
        <v>1058</v>
      </c>
      <c r="AV1" s="2" t="s">
        <v>1059</v>
      </c>
      <c r="AW1" s="2" t="s">
        <v>1060</v>
      </c>
      <c r="AX1" s="2" t="s">
        <v>1061</v>
      </c>
      <c r="AY1" s="2" t="s">
        <v>1062</v>
      </c>
      <c r="AZ1" s="2" t="s">
        <v>1063</v>
      </c>
      <c r="BA1" s="2" t="s">
        <v>1064</v>
      </c>
      <c r="BB1" s="2" t="s">
        <v>1065</v>
      </c>
      <c r="BC1" s="2" t="s">
        <v>1066</v>
      </c>
      <c r="BD1" s="2" t="s">
        <v>1067</v>
      </c>
      <c r="BE1" s="2" t="s">
        <v>1068</v>
      </c>
      <c r="BF1" s="2" t="s">
        <v>1069</v>
      </c>
      <c r="BG1" s="2" t="s">
        <v>1070</v>
      </c>
      <c r="BH1" s="2" t="s">
        <v>1071</v>
      </c>
      <c r="BI1" s="2" t="s">
        <v>1072</v>
      </c>
      <c r="BJ1" s="2" t="s">
        <v>1073</v>
      </c>
      <c r="BK1" s="2" t="s">
        <v>1074</v>
      </c>
      <c r="BL1" s="2" t="s">
        <v>1075</v>
      </c>
      <c r="BM1" s="2" t="s">
        <v>1076</v>
      </c>
      <c r="BN1" s="2" t="s">
        <v>1077</v>
      </c>
      <c r="BO1" s="2" t="s">
        <v>1078</v>
      </c>
      <c r="BP1" s="2" t="s">
        <v>1079</v>
      </c>
      <c r="BQ1" s="2" t="s">
        <v>1080</v>
      </c>
      <c r="BR1" s="2" t="s">
        <v>1081</v>
      </c>
      <c r="BS1" s="2" t="s">
        <v>1082</v>
      </c>
      <c r="BT1" s="2" t="s">
        <v>1083</v>
      </c>
      <c r="BU1" s="2" t="s">
        <v>1084</v>
      </c>
      <c r="BV1" s="2" t="s">
        <v>1085</v>
      </c>
      <c r="BW1" s="2" t="s">
        <v>1086</v>
      </c>
      <c r="BX1" s="2" t="s">
        <v>1087</v>
      </c>
      <c r="BY1" s="2" t="s">
        <v>1088</v>
      </c>
      <c r="BZ1" s="2" t="s">
        <v>1089</v>
      </c>
      <c r="CA1" s="2" t="s">
        <v>1090</v>
      </c>
      <c r="CB1" s="2" t="s">
        <v>1091</v>
      </c>
      <c r="CC1" s="2" t="s">
        <v>1092</v>
      </c>
      <c r="CD1" s="2" t="s">
        <v>1093</v>
      </c>
      <c r="CE1" s="2" t="s">
        <v>1094</v>
      </c>
      <c r="CF1" s="2" t="s">
        <v>1095</v>
      </c>
      <c r="CG1" s="2" t="s">
        <v>1096</v>
      </c>
      <c r="CH1" s="2" t="s">
        <v>1097</v>
      </c>
      <c r="CI1" s="2" t="s">
        <v>1098</v>
      </c>
      <c r="CJ1" s="2" t="s">
        <v>1099</v>
      </c>
      <c r="CK1" s="2" t="s">
        <v>1100</v>
      </c>
      <c r="CL1" s="2" t="s">
        <v>1101</v>
      </c>
      <c r="CM1" s="2" t="s">
        <v>1102</v>
      </c>
      <c r="CN1" s="2" t="s">
        <v>1103</v>
      </c>
      <c r="CO1" s="2" t="s">
        <v>1104</v>
      </c>
      <c r="CP1" s="2" t="s">
        <v>1105</v>
      </c>
      <c r="CQ1" s="2" t="s">
        <v>1106</v>
      </c>
      <c r="CR1" s="2" t="s">
        <v>1107</v>
      </c>
      <c r="CS1" s="2" t="s">
        <v>1108</v>
      </c>
      <c r="CT1" s="2" t="s">
        <v>1109</v>
      </c>
      <c r="CU1" s="2" t="s">
        <v>1110</v>
      </c>
      <c r="CV1" s="2" t="s">
        <v>1111</v>
      </c>
      <c r="CW1" s="2" t="s">
        <v>1112</v>
      </c>
      <c r="CX1" s="2" t="s">
        <v>1113</v>
      </c>
      <c r="CY1" s="2" t="s">
        <v>1114</v>
      </c>
      <c r="CZ1" s="2" t="s">
        <v>1115</v>
      </c>
      <c r="DA1" s="2" t="s">
        <v>1116</v>
      </c>
      <c r="DB1" s="2" t="s">
        <v>1117</v>
      </c>
      <c r="DC1" s="2" t="s">
        <v>1118</v>
      </c>
      <c r="DD1" s="2" t="s">
        <v>1119</v>
      </c>
      <c r="DE1" s="2" t="s">
        <v>1120</v>
      </c>
      <c r="DF1" s="2" t="s">
        <v>1121</v>
      </c>
      <c r="DG1" s="2" t="s">
        <v>1122</v>
      </c>
      <c r="DH1" s="2" t="s">
        <v>1123</v>
      </c>
      <c r="DI1" s="2" t="s">
        <v>1124</v>
      </c>
      <c r="DJ1" s="2" t="s">
        <v>1125</v>
      </c>
      <c r="DK1" s="2" t="s">
        <v>1126</v>
      </c>
      <c r="DL1" s="2" t="s">
        <v>1127</v>
      </c>
      <c r="DM1" s="2" t="s">
        <v>1128</v>
      </c>
      <c r="DN1" s="2" t="s">
        <v>1129</v>
      </c>
      <c r="DO1" s="2" t="s">
        <v>1130</v>
      </c>
      <c r="DP1" s="2" t="s">
        <v>1131</v>
      </c>
      <c r="DQ1" s="2" t="s">
        <v>1132</v>
      </c>
      <c r="DR1" s="2" t="s">
        <v>1133</v>
      </c>
      <c r="DS1" s="2" t="s">
        <v>1134</v>
      </c>
      <c r="DT1" s="2" t="s">
        <v>1135</v>
      </c>
      <c r="DU1" s="2" t="s">
        <v>1136</v>
      </c>
      <c r="DV1" s="2" t="s">
        <v>1137</v>
      </c>
      <c r="DW1" s="2" t="s">
        <v>1138</v>
      </c>
      <c r="DX1" s="2" t="s">
        <v>1139</v>
      </c>
      <c r="DY1" s="2" t="s">
        <v>1140</v>
      </c>
      <c r="DZ1" s="2" t="s">
        <v>1141</v>
      </c>
      <c r="EA1" s="2" t="s">
        <v>1142</v>
      </c>
      <c r="EB1" s="2" t="s">
        <v>1143</v>
      </c>
      <c r="EC1" s="2" t="s">
        <v>1144</v>
      </c>
      <c r="ED1" s="2" t="s">
        <v>1145</v>
      </c>
      <c r="EE1" s="2" t="s">
        <v>1146</v>
      </c>
      <c r="EF1" s="2" t="s">
        <v>1147</v>
      </c>
      <c r="EG1" s="2" t="s">
        <v>1148</v>
      </c>
      <c r="EH1" s="2" t="s">
        <v>1149</v>
      </c>
      <c r="EI1" s="2" t="s">
        <v>1150</v>
      </c>
      <c r="EJ1" s="2" t="s">
        <v>1151</v>
      </c>
      <c r="EK1" s="2" t="s">
        <v>1152</v>
      </c>
      <c r="EL1" s="2" t="s">
        <v>1153</v>
      </c>
      <c r="EM1" s="2" t="s">
        <v>1154</v>
      </c>
      <c r="EN1" s="2" t="s">
        <v>1155</v>
      </c>
      <c r="EO1" s="2" t="s">
        <v>1156</v>
      </c>
      <c r="EP1" s="2" t="s">
        <v>1157</v>
      </c>
      <c r="EQ1" s="2" t="s">
        <v>1158</v>
      </c>
      <c r="ER1" s="2" t="s">
        <v>1159</v>
      </c>
      <c r="ES1" s="2" t="s">
        <v>1160</v>
      </c>
      <c r="ET1" s="2" t="s">
        <v>1161</v>
      </c>
      <c r="EU1" s="2" t="s">
        <v>1162</v>
      </c>
      <c r="EV1" s="2" t="s">
        <v>1163</v>
      </c>
      <c r="EW1" s="2" t="s">
        <v>1164</v>
      </c>
      <c r="EX1" s="2" t="s">
        <v>1165</v>
      </c>
      <c r="EY1" s="2" t="s">
        <v>1166</v>
      </c>
      <c r="EZ1" s="2" t="s">
        <v>1167</v>
      </c>
      <c r="FA1" s="2" t="s">
        <v>1168</v>
      </c>
      <c r="FB1" s="2" t="s">
        <v>1169</v>
      </c>
      <c r="FC1" s="2" t="s">
        <v>1170</v>
      </c>
      <c r="FD1" s="2" t="s">
        <v>1171</v>
      </c>
      <c r="FE1" s="2" t="s">
        <v>1172</v>
      </c>
      <c r="FF1" s="2" t="s">
        <v>1173</v>
      </c>
      <c r="FG1" s="2" t="s">
        <v>1174</v>
      </c>
      <c r="FH1" s="2" t="s">
        <v>1175</v>
      </c>
      <c r="FI1" s="2" t="s">
        <v>1176</v>
      </c>
      <c r="FJ1" s="2" t="s">
        <v>1177</v>
      </c>
      <c r="FK1" s="2" t="s">
        <v>1178</v>
      </c>
      <c r="FL1" s="2" t="s">
        <v>1179</v>
      </c>
      <c r="FM1" s="2" t="s">
        <v>1180</v>
      </c>
      <c r="FN1" s="2" t="s">
        <v>1181</v>
      </c>
      <c r="FO1" s="2" t="s">
        <v>1182</v>
      </c>
      <c r="FP1" s="2" t="s">
        <v>1183</v>
      </c>
      <c r="FQ1" s="2" t="s">
        <v>1184</v>
      </c>
      <c r="FR1" s="2" t="s">
        <v>1185</v>
      </c>
      <c r="FS1" s="2" t="s">
        <v>1186</v>
      </c>
      <c r="FT1" s="2" t="s">
        <v>1187</v>
      </c>
      <c r="FU1" s="2" t="s">
        <v>1188</v>
      </c>
      <c r="FV1" s="2" t="s">
        <v>1189</v>
      </c>
      <c r="FW1" s="2" t="s">
        <v>1190</v>
      </c>
      <c r="FX1" s="2" t="s">
        <v>1191</v>
      </c>
      <c r="FY1" s="2" t="s">
        <v>1192</v>
      </c>
      <c r="FZ1" s="2" t="s">
        <v>1193</v>
      </c>
      <c r="GA1" s="2" t="s">
        <v>1194</v>
      </c>
      <c r="GB1" s="2" t="s">
        <v>1195</v>
      </c>
      <c r="GC1" s="2" t="s">
        <v>1196</v>
      </c>
      <c r="GD1" s="2" t="s">
        <v>1197</v>
      </c>
      <c r="GE1" s="2" t="s">
        <v>1198</v>
      </c>
      <c r="GF1" s="2" t="s">
        <v>1199</v>
      </c>
      <c r="GG1" s="2" t="s">
        <v>1200</v>
      </c>
      <c r="GH1" s="2" t="s">
        <v>1201</v>
      </c>
      <c r="GI1" s="2" t="s">
        <v>1202</v>
      </c>
      <c r="GJ1" s="2" t="s">
        <v>1203</v>
      </c>
      <c r="GK1" s="2" t="s">
        <v>1204</v>
      </c>
      <c r="GL1" s="2" t="s">
        <v>1205</v>
      </c>
      <c r="GM1" s="2" t="s">
        <v>1206</v>
      </c>
      <c r="GN1" s="2" t="s">
        <v>1207</v>
      </c>
      <c r="GO1" s="2" t="s">
        <v>1208</v>
      </c>
      <c r="GP1" s="2" t="s">
        <v>1209</v>
      </c>
      <c r="GQ1" s="2" t="s">
        <v>1210</v>
      </c>
      <c r="GR1" s="2" t="s">
        <v>1211</v>
      </c>
      <c r="GS1" s="2" t="s">
        <v>1212</v>
      </c>
      <c r="GT1" s="2" t="s">
        <v>1213</v>
      </c>
      <c r="GU1" s="2" t="s">
        <v>1214</v>
      </c>
      <c r="GV1" s="2" t="s">
        <v>1215</v>
      </c>
      <c r="GW1" s="2" t="s">
        <v>1216</v>
      </c>
      <c r="GX1" s="2" t="s">
        <v>1217</v>
      </c>
      <c r="GY1" s="2" t="s">
        <v>1218</v>
      </c>
      <c r="GZ1" s="2" t="s">
        <v>1219</v>
      </c>
      <c r="HA1" s="2" t="s">
        <v>1220</v>
      </c>
      <c r="HB1" s="2" t="s">
        <v>1221</v>
      </c>
      <c r="HC1" s="2" t="s">
        <v>1222</v>
      </c>
      <c r="HD1" s="2" t="s">
        <v>1223</v>
      </c>
      <c r="HE1" s="2" t="s">
        <v>1224</v>
      </c>
      <c r="HF1" s="2" t="s">
        <v>1225</v>
      </c>
      <c r="HG1" s="2" t="s">
        <v>1226</v>
      </c>
      <c r="HH1" s="2" t="s">
        <v>1227</v>
      </c>
      <c r="HI1" s="2" t="s">
        <v>1228</v>
      </c>
      <c r="HJ1" s="2" t="s">
        <v>1229</v>
      </c>
      <c r="HK1" s="2" t="s">
        <v>1230</v>
      </c>
      <c r="HL1" s="2" t="s">
        <v>1231</v>
      </c>
      <c r="HM1" s="2" t="s">
        <v>1232</v>
      </c>
      <c r="HN1" s="2" t="s">
        <v>1233</v>
      </c>
      <c r="HO1" s="2" t="s">
        <v>1234</v>
      </c>
      <c r="HP1" s="2" t="s">
        <v>1235</v>
      </c>
      <c r="HQ1" s="2" t="s">
        <v>1236</v>
      </c>
      <c r="HR1" s="2" t="s">
        <v>1237</v>
      </c>
      <c r="HS1" s="2" t="s">
        <v>1238</v>
      </c>
      <c r="HT1" s="2" t="s">
        <v>1239</v>
      </c>
      <c r="HU1" s="2" t="s">
        <v>1240</v>
      </c>
      <c r="HV1" s="2" t="s">
        <v>1241</v>
      </c>
      <c r="HW1" s="2" t="s">
        <v>1242</v>
      </c>
      <c r="HX1" s="2" t="s">
        <v>1243</v>
      </c>
      <c r="HY1" s="2" t="s">
        <v>1244</v>
      </c>
      <c r="HZ1" s="2" t="s">
        <v>1245</v>
      </c>
      <c r="IA1" s="2" t="s">
        <v>1246</v>
      </c>
      <c r="IB1" s="2" t="s">
        <v>1247</v>
      </c>
      <c r="IC1" s="2" t="s">
        <v>1248</v>
      </c>
      <c r="ID1" s="2" t="s">
        <v>1249</v>
      </c>
      <c r="IE1" s="2" t="s">
        <v>1250</v>
      </c>
      <c r="IF1" s="2" t="s">
        <v>1251</v>
      </c>
      <c r="IG1" s="2" t="s">
        <v>1252</v>
      </c>
      <c r="IH1" s="2" t="s">
        <v>1253</v>
      </c>
      <c r="II1" s="2" t="s">
        <v>1254</v>
      </c>
      <c r="IJ1" s="2" t="s">
        <v>1255</v>
      </c>
      <c r="IK1" s="2" t="s">
        <v>1256</v>
      </c>
      <c r="IL1" s="2" t="s">
        <v>1257</v>
      </c>
      <c r="IM1" s="2" t="s">
        <v>1258</v>
      </c>
      <c r="IN1" s="2" t="s">
        <v>1259</v>
      </c>
      <c r="IO1" s="2" t="s">
        <v>1260</v>
      </c>
      <c r="IP1" s="2" t="s">
        <v>1261</v>
      </c>
      <c r="IQ1" s="2" t="s">
        <v>1262</v>
      </c>
    </row>
    <row r="2" spans="1:251">
      <c r="A2" s="54" t="s">
        <v>250</v>
      </c>
      <c r="B2" s="3" t="s">
        <v>259</v>
      </c>
      <c r="C2" s="3" t="s">
        <v>259</v>
      </c>
      <c r="D2" s="3" t="s">
        <v>259</v>
      </c>
      <c r="E2" s="3" t="s">
        <v>259</v>
      </c>
      <c r="F2" s="3" t="s">
        <v>259</v>
      </c>
      <c r="G2" s="3" t="s">
        <v>259</v>
      </c>
      <c r="H2" s="3" t="s">
        <v>259</v>
      </c>
      <c r="I2" s="3" t="s">
        <v>259</v>
      </c>
      <c r="J2" s="3" t="s">
        <v>259</v>
      </c>
      <c r="K2" s="3" t="s">
        <v>259</v>
      </c>
      <c r="L2" s="3" t="s">
        <v>259</v>
      </c>
      <c r="M2" s="3" t="s">
        <v>259</v>
      </c>
      <c r="N2" s="3" t="s">
        <v>259</v>
      </c>
      <c r="O2" s="3" t="s">
        <v>259</v>
      </c>
      <c r="P2" s="3" t="s">
        <v>259</v>
      </c>
      <c r="Q2" s="3" t="s">
        <v>259</v>
      </c>
      <c r="R2" s="3" t="s">
        <v>259</v>
      </c>
      <c r="S2" s="3" t="s">
        <v>259</v>
      </c>
      <c r="T2" s="3" t="s">
        <v>259</v>
      </c>
      <c r="U2" s="3" t="s">
        <v>259</v>
      </c>
      <c r="V2" s="3" t="s">
        <v>259</v>
      </c>
      <c r="W2" s="3" t="s">
        <v>259</v>
      </c>
      <c r="X2" s="3" t="s">
        <v>259</v>
      </c>
      <c r="Y2" s="3" t="s">
        <v>259</v>
      </c>
      <c r="Z2" s="3" t="s">
        <v>259</v>
      </c>
      <c r="AA2" s="3" t="s">
        <v>259</v>
      </c>
      <c r="AB2" s="3" t="s">
        <v>259</v>
      </c>
      <c r="AC2" s="3" t="s">
        <v>259</v>
      </c>
      <c r="AD2" s="3" t="s">
        <v>259</v>
      </c>
      <c r="AE2" s="3" t="s">
        <v>259</v>
      </c>
      <c r="AF2" s="3" t="s">
        <v>259</v>
      </c>
      <c r="AG2" s="3" t="s">
        <v>259</v>
      </c>
      <c r="AH2" s="3" t="s">
        <v>259</v>
      </c>
      <c r="AI2" s="3" t="s">
        <v>259</v>
      </c>
      <c r="AJ2" s="3" t="s">
        <v>259</v>
      </c>
      <c r="AK2" s="3" t="s">
        <v>259</v>
      </c>
      <c r="AL2" s="3" t="s">
        <v>259</v>
      </c>
      <c r="AM2" s="3" t="s">
        <v>259</v>
      </c>
      <c r="AN2" s="3" t="s">
        <v>259</v>
      </c>
      <c r="AO2" s="3" t="s">
        <v>259</v>
      </c>
      <c r="AP2" s="3" t="s">
        <v>259</v>
      </c>
      <c r="AQ2" s="3" t="s">
        <v>259</v>
      </c>
      <c r="AR2" s="3" t="s">
        <v>259</v>
      </c>
      <c r="AS2" s="3" t="s">
        <v>259</v>
      </c>
      <c r="AT2" s="3" t="s">
        <v>259</v>
      </c>
      <c r="AU2" s="3" t="s">
        <v>259</v>
      </c>
      <c r="AV2" s="3" t="s">
        <v>259</v>
      </c>
      <c r="AW2" s="3" t="s">
        <v>259</v>
      </c>
      <c r="AX2" s="3" t="s">
        <v>259</v>
      </c>
      <c r="AY2" s="3" t="s">
        <v>259</v>
      </c>
      <c r="AZ2" s="3" t="s">
        <v>259</v>
      </c>
      <c r="BA2" s="3" t="s">
        <v>259</v>
      </c>
      <c r="BB2" s="3" t="s">
        <v>259</v>
      </c>
      <c r="BC2" s="3" t="s">
        <v>259</v>
      </c>
      <c r="BD2" s="3" t="s">
        <v>259</v>
      </c>
      <c r="BE2" s="3" t="s">
        <v>259</v>
      </c>
      <c r="BF2" s="3" t="s">
        <v>259</v>
      </c>
      <c r="BG2" s="3" t="s">
        <v>259</v>
      </c>
      <c r="BH2" s="3" t="s">
        <v>259</v>
      </c>
      <c r="BI2" s="3" t="s">
        <v>259</v>
      </c>
      <c r="BJ2" s="3" t="s">
        <v>259</v>
      </c>
      <c r="BK2" s="3" t="s">
        <v>259</v>
      </c>
      <c r="BL2" s="3" t="s">
        <v>259</v>
      </c>
      <c r="BM2" s="3" t="s">
        <v>259</v>
      </c>
      <c r="BN2" s="3" t="s">
        <v>259</v>
      </c>
      <c r="BO2" s="3" t="s">
        <v>259</v>
      </c>
      <c r="BP2" s="3" t="s">
        <v>259</v>
      </c>
      <c r="BQ2" s="3" t="s">
        <v>259</v>
      </c>
      <c r="BR2" s="3" t="s">
        <v>259</v>
      </c>
      <c r="BS2" s="3" t="s">
        <v>259</v>
      </c>
      <c r="BT2" s="3" t="s">
        <v>259</v>
      </c>
      <c r="BU2" s="3" t="s">
        <v>259</v>
      </c>
      <c r="BV2" s="3" t="s">
        <v>259</v>
      </c>
      <c r="BW2" s="3" t="s">
        <v>259</v>
      </c>
      <c r="BX2" s="3" t="s">
        <v>259</v>
      </c>
      <c r="BY2" s="3" t="s">
        <v>259</v>
      </c>
      <c r="BZ2" s="3" t="s">
        <v>259</v>
      </c>
      <c r="CA2" s="3" t="s">
        <v>259</v>
      </c>
      <c r="CB2" s="3" t="s">
        <v>259</v>
      </c>
      <c r="CC2" s="3" t="s">
        <v>259</v>
      </c>
      <c r="CD2" s="3" t="s">
        <v>259</v>
      </c>
      <c r="CE2" s="3" t="s">
        <v>259</v>
      </c>
      <c r="CF2" s="3" t="s">
        <v>259</v>
      </c>
      <c r="CG2" s="3" t="s">
        <v>259</v>
      </c>
      <c r="CH2" s="3" t="s">
        <v>259</v>
      </c>
      <c r="CI2" s="3" t="s">
        <v>259</v>
      </c>
      <c r="CJ2" s="3" t="s">
        <v>259</v>
      </c>
      <c r="CK2" s="3" t="s">
        <v>259</v>
      </c>
      <c r="CL2" s="3" t="s">
        <v>259</v>
      </c>
      <c r="CM2" s="3" t="s">
        <v>259</v>
      </c>
      <c r="CN2" s="3" t="s">
        <v>259</v>
      </c>
      <c r="CO2" s="3" t="s">
        <v>259</v>
      </c>
      <c r="CP2" s="3" t="s">
        <v>259</v>
      </c>
      <c r="CQ2" s="3" t="s">
        <v>259</v>
      </c>
      <c r="CR2" s="3" t="s">
        <v>259</v>
      </c>
      <c r="CS2" s="3" t="s">
        <v>259</v>
      </c>
      <c r="CT2" s="3" t="s">
        <v>259</v>
      </c>
      <c r="CU2" s="3" t="s">
        <v>259</v>
      </c>
      <c r="CV2" s="3" t="s">
        <v>259</v>
      </c>
      <c r="CW2" s="3" t="s">
        <v>259</v>
      </c>
      <c r="CX2" s="3" t="s">
        <v>259</v>
      </c>
      <c r="CY2" s="3" t="s">
        <v>259</v>
      </c>
      <c r="CZ2" s="3" t="s">
        <v>259</v>
      </c>
      <c r="DA2" s="3" t="s">
        <v>259</v>
      </c>
      <c r="DB2" s="3" t="s">
        <v>259</v>
      </c>
      <c r="DC2" s="3" t="s">
        <v>259</v>
      </c>
      <c r="DD2" s="3" t="s">
        <v>259</v>
      </c>
      <c r="DE2" s="3" t="s">
        <v>259</v>
      </c>
      <c r="DF2" s="3" t="s">
        <v>259</v>
      </c>
      <c r="DG2" s="3" t="s">
        <v>259</v>
      </c>
      <c r="DH2" s="3" t="s">
        <v>259</v>
      </c>
      <c r="DI2" s="3" t="s">
        <v>259</v>
      </c>
      <c r="DJ2" s="3" t="s">
        <v>259</v>
      </c>
      <c r="DK2" s="3" t="s">
        <v>259</v>
      </c>
      <c r="DL2" s="3" t="s">
        <v>259</v>
      </c>
      <c r="DM2" s="3" t="s">
        <v>259</v>
      </c>
      <c r="DN2" s="3" t="s">
        <v>259</v>
      </c>
      <c r="DO2" s="3" t="s">
        <v>259</v>
      </c>
      <c r="DP2" s="3" t="s">
        <v>259</v>
      </c>
      <c r="DQ2" s="3" t="s">
        <v>259</v>
      </c>
      <c r="DR2" s="3" t="s">
        <v>259</v>
      </c>
      <c r="DS2" s="3" t="s">
        <v>259</v>
      </c>
      <c r="DT2" s="3" t="s">
        <v>259</v>
      </c>
      <c r="DU2" s="3" t="s">
        <v>259</v>
      </c>
      <c r="DV2" s="3" t="s">
        <v>259</v>
      </c>
      <c r="DW2" s="3" t="s">
        <v>259</v>
      </c>
      <c r="DX2" s="3" t="s">
        <v>259</v>
      </c>
      <c r="DY2" s="3" t="s">
        <v>259</v>
      </c>
      <c r="DZ2" s="3" t="s">
        <v>259</v>
      </c>
      <c r="EA2" s="3" t="s">
        <v>259</v>
      </c>
      <c r="EB2" s="3" t="s">
        <v>259</v>
      </c>
      <c r="EC2" s="3" t="s">
        <v>259</v>
      </c>
      <c r="ED2" s="3" t="s">
        <v>259</v>
      </c>
      <c r="EE2" s="3" t="s">
        <v>259</v>
      </c>
      <c r="EF2" s="3" t="s">
        <v>259</v>
      </c>
      <c r="EG2" s="3" t="s">
        <v>259</v>
      </c>
      <c r="EH2" s="3" t="s">
        <v>259</v>
      </c>
      <c r="EI2" s="3" t="s">
        <v>259</v>
      </c>
      <c r="EJ2" s="3" t="s">
        <v>259</v>
      </c>
      <c r="EK2" s="3" t="s">
        <v>259</v>
      </c>
      <c r="EL2" s="3" t="s">
        <v>259</v>
      </c>
      <c r="EM2" s="3" t="s">
        <v>259</v>
      </c>
      <c r="EN2" s="3" t="s">
        <v>259</v>
      </c>
      <c r="EO2" s="3" t="s">
        <v>259</v>
      </c>
      <c r="EP2" s="3" t="s">
        <v>259</v>
      </c>
      <c r="EQ2" s="3" t="s">
        <v>259</v>
      </c>
      <c r="ER2" s="3" t="s">
        <v>259</v>
      </c>
      <c r="ES2" s="3" t="s">
        <v>259</v>
      </c>
      <c r="ET2" s="3" t="s">
        <v>259</v>
      </c>
      <c r="EU2" s="3" t="s">
        <v>259</v>
      </c>
      <c r="EV2" s="3" t="s">
        <v>259</v>
      </c>
      <c r="EW2" s="3" t="s">
        <v>259</v>
      </c>
      <c r="EX2" s="3" t="s">
        <v>259</v>
      </c>
      <c r="EY2" s="3" t="s">
        <v>259</v>
      </c>
      <c r="EZ2" s="3" t="s">
        <v>259</v>
      </c>
      <c r="FA2" s="3" t="s">
        <v>259</v>
      </c>
      <c r="FB2" s="3" t="s">
        <v>259</v>
      </c>
      <c r="FC2" s="3" t="s">
        <v>259</v>
      </c>
      <c r="FD2" s="3" t="s">
        <v>259</v>
      </c>
      <c r="FE2" s="3" t="s">
        <v>259</v>
      </c>
      <c r="FF2" s="3" t="s">
        <v>259</v>
      </c>
      <c r="FG2" s="3" t="s">
        <v>259</v>
      </c>
      <c r="FH2" s="3" t="s">
        <v>259</v>
      </c>
      <c r="FI2" s="3" t="s">
        <v>259</v>
      </c>
      <c r="FJ2" s="3" t="s">
        <v>259</v>
      </c>
      <c r="FK2" s="3" t="s">
        <v>259</v>
      </c>
      <c r="FL2" s="3" t="s">
        <v>259</v>
      </c>
      <c r="FM2" s="3" t="s">
        <v>259</v>
      </c>
      <c r="FN2" s="3" t="s">
        <v>259</v>
      </c>
      <c r="FO2" s="3" t="s">
        <v>259</v>
      </c>
      <c r="FP2" s="3" t="s">
        <v>259</v>
      </c>
      <c r="FQ2" s="3" t="s">
        <v>259</v>
      </c>
      <c r="FR2" s="3" t="s">
        <v>259</v>
      </c>
      <c r="FS2" s="3" t="s">
        <v>259</v>
      </c>
      <c r="FT2" s="3" t="s">
        <v>259</v>
      </c>
      <c r="FU2" s="3" t="s">
        <v>259</v>
      </c>
      <c r="FV2" s="3" t="s">
        <v>259</v>
      </c>
      <c r="FW2" s="3" t="s">
        <v>259</v>
      </c>
      <c r="FX2" s="3" t="s">
        <v>259</v>
      </c>
      <c r="FY2" s="3" t="s">
        <v>259</v>
      </c>
      <c r="FZ2" s="3" t="s">
        <v>259</v>
      </c>
      <c r="GA2" s="3" t="s">
        <v>259</v>
      </c>
      <c r="GB2" s="3" t="s">
        <v>259</v>
      </c>
      <c r="GC2" s="3" t="s">
        <v>259</v>
      </c>
      <c r="GD2" s="3" t="s">
        <v>259</v>
      </c>
      <c r="GE2" s="3" t="s">
        <v>259</v>
      </c>
      <c r="GF2" s="3" t="s">
        <v>259</v>
      </c>
      <c r="GG2" s="3" t="s">
        <v>259</v>
      </c>
      <c r="GH2" s="3" t="s">
        <v>259</v>
      </c>
      <c r="GI2" s="3" t="s">
        <v>259</v>
      </c>
      <c r="GJ2" s="3" t="s">
        <v>259</v>
      </c>
      <c r="GK2" s="3" t="s">
        <v>259</v>
      </c>
      <c r="GL2" s="3" t="s">
        <v>259</v>
      </c>
      <c r="GM2" s="3" t="s">
        <v>259</v>
      </c>
      <c r="GN2" s="3" t="s">
        <v>259</v>
      </c>
      <c r="GO2" s="3" t="s">
        <v>259</v>
      </c>
      <c r="GP2" s="3" t="s">
        <v>259</v>
      </c>
      <c r="GQ2" s="3" t="s">
        <v>259</v>
      </c>
      <c r="GR2" s="3" t="s">
        <v>259</v>
      </c>
      <c r="GS2" s="3" t="s">
        <v>259</v>
      </c>
      <c r="GT2" s="3" t="s">
        <v>259</v>
      </c>
      <c r="GU2" s="3" t="s">
        <v>259</v>
      </c>
      <c r="GV2" s="3" t="s">
        <v>259</v>
      </c>
      <c r="GW2" s="3" t="s">
        <v>259</v>
      </c>
      <c r="GX2" s="3" t="s">
        <v>259</v>
      </c>
      <c r="GY2" s="3" t="s">
        <v>259</v>
      </c>
      <c r="GZ2" s="3" t="s">
        <v>259</v>
      </c>
      <c r="HA2" s="3" t="s">
        <v>259</v>
      </c>
      <c r="HB2" s="3" t="s">
        <v>259</v>
      </c>
      <c r="HC2" s="3" t="s">
        <v>259</v>
      </c>
      <c r="HD2" s="3" t="s">
        <v>259</v>
      </c>
      <c r="HE2" s="3" t="s">
        <v>259</v>
      </c>
      <c r="HF2" s="3" t="s">
        <v>259</v>
      </c>
      <c r="HG2" s="3" t="s">
        <v>259</v>
      </c>
      <c r="HH2" s="3" t="s">
        <v>259</v>
      </c>
      <c r="HI2" s="3" t="s">
        <v>259</v>
      </c>
      <c r="HJ2" s="3" t="s">
        <v>259</v>
      </c>
      <c r="HK2" s="3" t="s">
        <v>259</v>
      </c>
      <c r="HL2" s="3" t="s">
        <v>259</v>
      </c>
      <c r="HM2" s="3" t="s">
        <v>259</v>
      </c>
      <c r="HN2" s="3" t="s">
        <v>259</v>
      </c>
      <c r="HO2" s="3" t="s">
        <v>259</v>
      </c>
      <c r="HP2" s="3" t="s">
        <v>259</v>
      </c>
      <c r="HQ2" s="3" t="s">
        <v>259</v>
      </c>
      <c r="HR2" s="3" t="s">
        <v>259</v>
      </c>
      <c r="HS2" s="3" t="s">
        <v>259</v>
      </c>
      <c r="HT2" s="3" t="s">
        <v>259</v>
      </c>
      <c r="HU2" s="3" t="s">
        <v>259</v>
      </c>
      <c r="HV2" s="3" t="s">
        <v>259</v>
      </c>
      <c r="HW2" s="3" t="s">
        <v>259</v>
      </c>
      <c r="HX2" s="3" t="s">
        <v>259</v>
      </c>
      <c r="HY2" s="3" t="s">
        <v>259</v>
      </c>
      <c r="HZ2" s="3" t="s">
        <v>259</v>
      </c>
      <c r="IA2" s="3" t="s">
        <v>259</v>
      </c>
      <c r="IB2" s="3" t="s">
        <v>259</v>
      </c>
      <c r="IC2" s="3" t="s">
        <v>259</v>
      </c>
      <c r="ID2" s="3" t="s">
        <v>259</v>
      </c>
      <c r="IE2" s="3" t="s">
        <v>259</v>
      </c>
      <c r="IF2" s="3" t="s">
        <v>259</v>
      </c>
      <c r="IG2" s="3" t="s">
        <v>259</v>
      </c>
      <c r="IH2" s="3" t="s">
        <v>259</v>
      </c>
      <c r="II2" s="3" t="s">
        <v>259</v>
      </c>
      <c r="IJ2" s="3" t="s">
        <v>259</v>
      </c>
      <c r="IK2" s="3" t="s">
        <v>259</v>
      </c>
      <c r="IL2" s="3" t="s">
        <v>259</v>
      </c>
      <c r="IM2" s="3" t="s">
        <v>259</v>
      </c>
      <c r="IN2" s="3" t="s">
        <v>259</v>
      </c>
      <c r="IO2" s="3" t="s">
        <v>259</v>
      </c>
      <c r="IP2" s="3" t="s">
        <v>259</v>
      </c>
      <c r="IQ2" s="3" t="s">
        <v>259</v>
      </c>
    </row>
    <row r="3" spans="1:251">
      <c r="A3" s="54" t="s">
        <v>251</v>
      </c>
      <c r="B3" s="4" t="s">
        <v>260</v>
      </c>
      <c r="C3" s="4" t="s">
        <v>260</v>
      </c>
      <c r="D3" s="4" t="s">
        <v>260</v>
      </c>
      <c r="E3" s="4" t="s">
        <v>260</v>
      </c>
      <c r="F3" s="4" t="s">
        <v>260</v>
      </c>
      <c r="G3" s="4" t="s">
        <v>260</v>
      </c>
      <c r="H3" s="4" t="s">
        <v>260</v>
      </c>
      <c r="I3" s="4" t="s">
        <v>260</v>
      </c>
      <c r="J3" s="4" t="s">
        <v>260</v>
      </c>
      <c r="K3" s="4" t="s">
        <v>260</v>
      </c>
      <c r="L3" s="4" t="s">
        <v>260</v>
      </c>
      <c r="M3" s="4" t="s">
        <v>260</v>
      </c>
      <c r="N3" s="4" t="s">
        <v>260</v>
      </c>
      <c r="O3" s="4" t="s">
        <v>260</v>
      </c>
      <c r="P3" s="4" t="s">
        <v>260</v>
      </c>
      <c r="Q3" s="4" t="s">
        <v>260</v>
      </c>
      <c r="R3" s="4" t="s">
        <v>260</v>
      </c>
      <c r="S3" s="4" t="s">
        <v>260</v>
      </c>
      <c r="T3" s="4" t="s">
        <v>260</v>
      </c>
      <c r="U3" s="4" t="s">
        <v>260</v>
      </c>
      <c r="V3" s="4" t="s">
        <v>260</v>
      </c>
      <c r="W3" s="4" t="s">
        <v>260</v>
      </c>
      <c r="X3" s="4" t="s">
        <v>260</v>
      </c>
      <c r="Y3" s="4" t="s">
        <v>260</v>
      </c>
      <c r="Z3" s="4" t="s">
        <v>260</v>
      </c>
      <c r="AA3" s="4" t="s">
        <v>260</v>
      </c>
      <c r="AB3" s="4" t="s">
        <v>260</v>
      </c>
      <c r="AC3" s="4" t="s">
        <v>260</v>
      </c>
      <c r="AD3" s="4" t="s">
        <v>260</v>
      </c>
      <c r="AE3" s="4" t="s">
        <v>260</v>
      </c>
      <c r="AF3" s="4" t="s">
        <v>260</v>
      </c>
      <c r="AG3" s="4" t="s">
        <v>260</v>
      </c>
      <c r="AH3" s="4" t="s">
        <v>260</v>
      </c>
      <c r="AI3" s="4" t="s">
        <v>260</v>
      </c>
      <c r="AJ3" s="4" t="s">
        <v>260</v>
      </c>
      <c r="AK3" s="4" t="s">
        <v>260</v>
      </c>
      <c r="AL3" s="4" t="s">
        <v>260</v>
      </c>
      <c r="AM3" s="4" t="s">
        <v>260</v>
      </c>
      <c r="AN3" s="4" t="s">
        <v>260</v>
      </c>
      <c r="AO3" s="4" t="s">
        <v>260</v>
      </c>
      <c r="AP3" s="4" t="s">
        <v>260</v>
      </c>
      <c r="AQ3" s="4" t="s">
        <v>260</v>
      </c>
      <c r="AR3" s="4" t="s">
        <v>260</v>
      </c>
      <c r="AS3" s="4" t="s">
        <v>260</v>
      </c>
      <c r="AT3" s="4" t="s">
        <v>260</v>
      </c>
      <c r="AU3" s="4" t="s">
        <v>260</v>
      </c>
      <c r="AV3" s="4" t="s">
        <v>260</v>
      </c>
      <c r="AW3" s="4" t="s">
        <v>260</v>
      </c>
      <c r="AX3" s="4" t="s">
        <v>260</v>
      </c>
      <c r="AY3" s="4" t="s">
        <v>260</v>
      </c>
      <c r="AZ3" s="4" t="s">
        <v>260</v>
      </c>
      <c r="BA3" s="4" t="s">
        <v>260</v>
      </c>
      <c r="BB3" s="4" t="s">
        <v>260</v>
      </c>
      <c r="BC3" s="4" t="s">
        <v>260</v>
      </c>
      <c r="BD3" s="4" t="s">
        <v>260</v>
      </c>
      <c r="BE3" s="4" t="s">
        <v>260</v>
      </c>
      <c r="BF3" s="4" t="s">
        <v>260</v>
      </c>
      <c r="BG3" s="4" t="s">
        <v>260</v>
      </c>
      <c r="BH3" s="4" t="s">
        <v>260</v>
      </c>
      <c r="BI3" s="4" t="s">
        <v>260</v>
      </c>
      <c r="BJ3" s="4" t="s">
        <v>260</v>
      </c>
      <c r="BK3" s="4" t="s">
        <v>260</v>
      </c>
      <c r="BL3" s="4" t="s">
        <v>260</v>
      </c>
      <c r="BM3" s="4" t="s">
        <v>260</v>
      </c>
      <c r="BN3" s="4" t="s">
        <v>260</v>
      </c>
      <c r="BO3" s="4" t="s">
        <v>260</v>
      </c>
      <c r="BP3" s="4" t="s">
        <v>260</v>
      </c>
      <c r="BQ3" s="4" t="s">
        <v>260</v>
      </c>
      <c r="BR3" s="4" t="s">
        <v>260</v>
      </c>
      <c r="BS3" s="4" t="s">
        <v>260</v>
      </c>
      <c r="BT3" s="4" t="s">
        <v>260</v>
      </c>
      <c r="BU3" s="4" t="s">
        <v>260</v>
      </c>
      <c r="BV3" s="4" t="s">
        <v>260</v>
      </c>
      <c r="BW3" s="4" t="s">
        <v>260</v>
      </c>
      <c r="BX3" s="4" t="s">
        <v>260</v>
      </c>
      <c r="BY3" s="4" t="s">
        <v>260</v>
      </c>
      <c r="BZ3" s="4" t="s">
        <v>260</v>
      </c>
      <c r="CA3" s="4" t="s">
        <v>260</v>
      </c>
      <c r="CB3" s="4" t="s">
        <v>260</v>
      </c>
      <c r="CC3" s="4" t="s">
        <v>260</v>
      </c>
      <c r="CD3" s="4" t="s">
        <v>260</v>
      </c>
      <c r="CE3" s="4" t="s">
        <v>260</v>
      </c>
      <c r="CF3" s="4" t="s">
        <v>260</v>
      </c>
      <c r="CG3" s="4" t="s">
        <v>260</v>
      </c>
      <c r="CH3" s="4" t="s">
        <v>260</v>
      </c>
      <c r="CI3" s="4" t="s">
        <v>260</v>
      </c>
      <c r="CJ3" s="4" t="s">
        <v>260</v>
      </c>
      <c r="CK3" s="4" t="s">
        <v>260</v>
      </c>
      <c r="CL3" s="4" t="s">
        <v>260</v>
      </c>
      <c r="CM3" s="4" t="s">
        <v>260</v>
      </c>
      <c r="CN3" s="4" t="s">
        <v>260</v>
      </c>
      <c r="CO3" s="4" t="s">
        <v>260</v>
      </c>
      <c r="CP3" s="4" t="s">
        <v>260</v>
      </c>
      <c r="CQ3" s="4" t="s">
        <v>260</v>
      </c>
      <c r="CR3" s="4" t="s">
        <v>260</v>
      </c>
      <c r="CS3" s="4" t="s">
        <v>260</v>
      </c>
      <c r="CT3" s="4" t="s">
        <v>260</v>
      </c>
      <c r="CU3" s="4" t="s">
        <v>260</v>
      </c>
      <c r="CV3" s="4" t="s">
        <v>260</v>
      </c>
      <c r="CW3" s="4" t="s">
        <v>260</v>
      </c>
      <c r="CX3" s="4" t="s">
        <v>260</v>
      </c>
      <c r="CY3" s="4" t="s">
        <v>260</v>
      </c>
      <c r="CZ3" s="4" t="s">
        <v>260</v>
      </c>
      <c r="DA3" s="4" t="s">
        <v>260</v>
      </c>
      <c r="DB3" s="4" t="s">
        <v>260</v>
      </c>
      <c r="DC3" s="4" t="s">
        <v>260</v>
      </c>
      <c r="DD3" s="4" t="s">
        <v>260</v>
      </c>
      <c r="DE3" s="4" t="s">
        <v>260</v>
      </c>
      <c r="DF3" s="4" t="s">
        <v>260</v>
      </c>
      <c r="DG3" s="4" t="s">
        <v>260</v>
      </c>
      <c r="DH3" s="4" t="s">
        <v>260</v>
      </c>
      <c r="DI3" s="4" t="s">
        <v>260</v>
      </c>
      <c r="DJ3" s="4" t="s">
        <v>260</v>
      </c>
      <c r="DK3" s="4" t="s">
        <v>260</v>
      </c>
      <c r="DL3" s="4" t="s">
        <v>260</v>
      </c>
      <c r="DM3" s="4" t="s">
        <v>260</v>
      </c>
      <c r="DN3" s="4" t="s">
        <v>260</v>
      </c>
      <c r="DO3" s="4" t="s">
        <v>260</v>
      </c>
      <c r="DP3" s="4" t="s">
        <v>260</v>
      </c>
      <c r="DQ3" s="4" t="s">
        <v>260</v>
      </c>
      <c r="DR3" s="4" t="s">
        <v>260</v>
      </c>
      <c r="DS3" s="4" t="s">
        <v>260</v>
      </c>
      <c r="DT3" s="4" t="s">
        <v>260</v>
      </c>
      <c r="DU3" s="4" t="s">
        <v>260</v>
      </c>
      <c r="DV3" s="4" t="s">
        <v>260</v>
      </c>
      <c r="DW3" s="4" t="s">
        <v>260</v>
      </c>
      <c r="DX3" s="4" t="s">
        <v>260</v>
      </c>
      <c r="DY3" s="4" t="s">
        <v>260</v>
      </c>
      <c r="DZ3" s="4" t="s">
        <v>260</v>
      </c>
      <c r="EA3" s="4" t="s">
        <v>260</v>
      </c>
      <c r="EB3" s="4" t="s">
        <v>260</v>
      </c>
      <c r="EC3" s="4" t="s">
        <v>260</v>
      </c>
      <c r="ED3" s="4" t="s">
        <v>260</v>
      </c>
      <c r="EE3" s="4" t="s">
        <v>260</v>
      </c>
      <c r="EF3" s="4" t="s">
        <v>260</v>
      </c>
      <c r="EG3" s="4" t="s">
        <v>260</v>
      </c>
      <c r="EH3" s="4" t="s">
        <v>260</v>
      </c>
      <c r="EI3" s="4" t="s">
        <v>260</v>
      </c>
      <c r="EJ3" s="4" t="s">
        <v>260</v>
      </c>
      <c r="EK3" s="4" t="s">
        <v>260</v>
      </c>
      <c r="EL3" s="4" t="s">
        <v>260</v>
      </c>
      <c r="EM3" s="4" t="s">
        <v>260</v>
      </c>
      <c r="EN3" s="4" t="s">
        <v>260</v>
      </c>
      <c r="EO3" s="4" t="s">
        <v>260</v>
      </c>
      <c r="EP3" s="4" t="s">
        <v>260</v>
      </c>
      <c r="EQ3" s="4" t="s">
        <v>260</v>
      </c>
      <c r="ER3" s="4" t="s">
        <v>260</v>
      </c>
      <c r="ES3" s="4" t="s">
        <v>260</v>
      </c>
      <c r="ET3" s="4" t="s">
        <v>260</v>
      </c>
      <c r="EU3" s="4" t="s">
        <v>260</v>
      </c>
      <c r="EV3" s="4" t="s">
        <v>260</v>
      </c>
      <c r="EW3" s="4" t="s">
        <v>260</v>
      </c>
      <c r="EX3" s="4" t="s">
        <v>260</v>
      </c>
      <c r="EY3" s="4" t="s">
        <v>260</v>
      </c>
      <c r="EZ3" s="4" t="s">
        <v>260</v>
      </c>
      <c r="FA3" s="4" t="s">
        <v>260</v>
      </c>
      <c r="FB3" s="4" t="s">
        <v>260</v>
      </c>
      <c r="FC3" s="4" t="s">
        <v>260</v>
      </c>
      <c r="FD3" s="4" t="s">
        <v>260</v>
      </c>
      <c r="FE3" s="4" t="s">
        <v>260</v>
      </c>
      <c r="FF3" s="4" t="s">
        <v>260</v>
      </c>
      <c r="FG3" s="4" t="s">
        <v>260</v>
      </c>
      <c r="FH3" s="4" t="s">
        <v>260</v>
      </c>
      <c r="FI3" s="4" t="s">
        <v>260</v>
      </c>
      <c r="FJ3" s="4" t="s">
        <v>260</v>
      </c>
      <c r="FK3" s="4" t="s">
        <v>260</v>
      </c>
      <c r="FL3" s="4" t="s">
        <v>260</v>
      </c>
      <c r="FM3" s="4" t="s">
        <v>260</v>
      </c>
      <c r="FN3" s="4" t="s">
        <v>260</v>
      </c>
      <c r="FO3" s="4" t="s">
        <v>260</v>
      </c>
      <c r="FP3" s="4" t="s">
        <v>260</v>
      </c>
      <c r="FQ3" s="4" t="s">
        <v>260</v>
      </c>
      <c r="FR3" s="4" t="s">
        <v>260</v>
      </c>
      <c r="FS3" s="4" t="s">
        <v>260</v>
      </c>
      <c r="FT3" s="4" t="s">
        <v>260</v>
      </c>
      <c r="FU3" s="4" t="s">
        <v>260</v>
      </c>
      <c r="FV3" s="4" t="s">
        <v>260</v>
      </c>
      <c r="FW3" s="4" t="s">
        <v>260</v>
      </c>
      <c r="FX3" s="4" t="s">
        <v>260</v>
      </c>
      <c r="FY3" s="4" t="s">
        <v>260</v>
      </c>
      <c r="FZ3" s="4" t="s">
        <v>260</v>
      </c>
      <c r="GA3" s="4" t="s">
        <v>260</v>
      </c>
      <c r="GB3" s="4" t="s">
        <v>260</v>
      </c>
      <c r="GC3" s="4" t="s">
        <v>260</v>
      </c>
      <c r="GD3" s="4" t="s">
        <v>260</v>
      </c>
      <c r="GE3" s="4" t="s">
        <v>260</v>
      </c>
      <c r="GF3" s="4" t="s">
        <v>260</v>
      </c>
      <c r="GG3" s="4" t="s">
        <v>260</v>
      </c>
      <c r="GH3" s="4" t="s">
        <v>260</v>
      </c>
      <c r="GI3" s="4" t="s">
        <v>260</v>
      </c>
      <c r="GJ3" s="4" t="s">
        <v>260</v>
      </c>
      <c r="GK3" s="4" t="s">
        <v>260</v>
      </c>
      <c r="GL3" s="4" t="s">
        <v>260</v>
      </c>
      <c r="GM3" s="4" t="s">
        <v>260</v>
      </c>
      <c r="GN3" s="4" t="s">
        <v>260</v>
      </c>
      <c r="GO3" s="4" t="s">
        <v>260</v>
      </c>
      <c r="GP3" s="4" t="s">
        <v>260</v>
      </c>
      <c r="GQ3" s="4" t="s">
        <v>260</v>
      </c>
      <c r="GR3" s="4" t="s">
        <v>260</v>
      </c>
      <c r="GS3" s="4" t="s">
        <v>260</v>
      </c>
      <c r="GT3" s="4" t="s">
        <v>260</v>
      </c>
      <c r="GU3" s="4" t="s">
        <v>260</v>
      </c>
      <c r="GV3" s="4" t="s">
        <v>260</v>
      </c>
      <c r="GW3" s="4" t="s">
        <v>260</v>
      </c>
      <c r="GX3" s="4" t="s">
        <v>260</v>
      </c>
      <c r="GY3" s="4" t="s">
        <v>260</v>
      </c>
      <c r="GZ3" s="4" t="s">
        <v>260</v>
      </c>
      <c r="HA3" s="4" t="s">
        <v>260</v>
      </c>
      <c r="HB3" s="4" t="s">
        <v>260</v>
      </c>
      <c r="HC3" s="4" t="s">
        <v>260</v>
      </c>
      <c r="HD3" s="4" t="s">
        <v>260</v>
      </c>
      <c r="HE3" s="4" t="s">
        <v>260</v>
      </c>
      <c r="HF3" s="4" t="s">
        <v>260</v>
      </c>
      <c r="HG3" s="4" t="s">
        <v>260</v>
      </c>
      <c r="HH3" s="4" t="s">
        <v>260</v>
      </c>
      <c r="HI3" s="4" t="s">
        <v>260</v>
      </c>
      <c r="HJ3" s="4" t="s">
        <v>260</v>
      </c>
      <c r="HK3" s="4" t="s">
        <v>260</v>
      </c>
      <c r="HL3" s="4" t="s">
        <v>260</v>
      </c>
      <c r="HM3" s="4" t="s">
        <v>260</v>
      </c>
      <c r="HN3" s="4" t="s">
        <v>260</v>
      </c>
      <c r="HO3" s="4" t="s">
        <v>260</v>
      </c>
      <c r="HP3" s="4" t="s">
        <v>260</v>
      </c>
      <c r="HQ3" s="4" t="s">
        <v>260</v>
      </c>
      <c r="HR3" s="4" t="s">
        <v>260</v>
      </c>
      <c r="HS3" s="4" t="s">
        <v>260</v>
      </c>
      <c r="HT3" s="4" t="s">
        <v>260</v>
      </c>
      <c r="HU3" s="4" t="s">
        <v>260</v>
      </c>
      <c r="HV3" s="4" t="s">
        <v>260</v>
      </c>
      <c r="HW3" s="4" t="s">
        <v>260</v>
      </c>
      <c r="HX3" s="4" t="s">
        <v>260</v>
      </c>
      <c r="HY3" s="4" t="s">
        <v>260</v>
      </c>
      <c r="HZ3" s="4" t="s">
        <v>260</v>
      </c>
      <c r="IA3" s="4" t="s">
        <v>260</v>
      </c>
      <c r="IB3" s="4" t="s">
        <v>260</v>
      </c>
      <c r="IC3" s="4" t="s">
        <v>260</v>
      </c>
      <c r="ID3" s="4" t="s">
        <v>260</v>
      </c>
      <c r="IE3" s="4" t="s">
        <v>260</v>
      </c>
      <c r="IF3" s="4" t="s">
        <v>260</v>
      </c>
      <c r="IG3" s="4" t="s">
        <v>260</v>
      </c>
      <c r="IH3" s="4" t="s">
        <v>260</v>
      </c>
      <c r="II3" s="4" t="s">
        <v>260</v>
      </c>
      <c r="IJ3" s="4" t="s">
        <v>260</v>
      </c>
      <c r="IK3" s="4" t="s">
        <v>260</v>
      </c>
      <c r="IL3" s="4" t="s">
        <v>260</v>
      </c>
      <c r="IM3" s="4" t="s">
        <v>260</v>
      </c>
      <c r="IN3" s="4" t="s">
        <v>260</v>
      </c>
      <c r="IO3" s="4" t="s">
        <v>260</v>
      </c>
      <c r="IP3" s="4" t="s">
        <v>260</v>
      </c>
      <c r="IQ3" s="4" t="s">
        <v>260</v>
      </c>
    </row>
    <row r="4" spans="1:251">
      <c r="A4" s="54" t="s">
        <v>252</v>
      </c>
      <c r="B4" s="4" t="s">
        <v>261</v>
      </c>
      <c r="C4" s="4" t="s">
        <v>261</v>
      </c>
      <c r="D4" s="4" t="s">
        <v>261</v>
      </c>
      <c r="E4" s="4" t="s">
        <v>261</v>
      </c>
      <c r="F4" s="4" t="s">
        <v>261</v>
      </c>
      <c r="G4" s="4" t="s">
        <v>261</v>
      </c>
      <c r="H4" s="4" t="s">
        <v>261</v>
      </c>
      <c r="I4" s="4" t="s">
        <v>261</v>
      </c>
      <c r="J4" s="4" t="s">
        <v>261</v>
      </c>
      <c r="K4" s="4" t="s">
        <v>261</v>
      </c>
      <c r="L4" s="4" t="s">
        <v>261</v>
      </c>
      <c r="M4" s="4" t="s">
        <v>261</v>
      </c>
      <c r="N4" s="4" t="s">
        <v>261</v>
      </c>
      <c r="O4" s="4" t="s">
        <v>261</v>
      </c>
      <c r="P4" s="4" t="s">
        <v>261</v>
      </c>
      <c r="Q4" s="4" t="s">
        <v>261</v>
      </c>
      <c r="R4" s="4" t="s">
        <v>261</v>
      </c>
      <c r="S4" s="4" t="s">
        <v>261</v>
      </c>
      <c r="T4" s="4" t="s">
        <v>261</v>
      </c>
      <c r="U4" s="4" t="s">
        <v>261</v>
      </c>
      <c r="V4" s="4" t="s">
        <v>261</v>
      </c>
      <c r="W4" s="4" t="s">
        <v>261</v>
      </c>
      <c r="X4" s="4" t="s">
        <v>261</v>
      </c>
      <c r="Y4" s="4" t="s">
        <v>261</v>
      </c>
      <c r="Z4" s="4" t="s">
        <v>261</v>
      </c>
      <c r="AA4" s="4" t="s">
        <v>261</v>
      </c>
      <c r="AB4" s="4" t="s">
        <v>261</v>
      </c>
      <c r="AC4" s="4" t="s">
        <v>261</v>
      </c>
      <c r="AD4" s="4" t="s">
        <v>261</v>
      </c>
      <c r="AE4" s="4" t="s">
        <v>261</v>
      </c>
      <c r="AF4" s="4" t="s">
        <v>261</v>
      </c>
      <c r="AG4" s="4" t="s">
        <v>261</v>
      </c>
      <c r="AH4" s="4" t="s">
        <v>261</v>
      </c>
      <c r="AI4" s="4" t="s">
        <v>261</v>
      </c>
      <c r="AJ4" s="4" t="s">
        <v>261</v>
      </c>
      <c r="AK4" s="4" t="s">
        <v>261</v>
      </c>
      <c r="AL4" s="4" t="s">
        <v>261</v>
      </c>
      <c r="AM4" s="4" t="s">
        <v>261</v>
      </c>
      <c r="AN4" s="4" t="s">
        <v>261</v>
      </c>
      <c r="AO4" s="4" t="s">
        <v>261</v>
      </c>
      <c r="AP4" s="4" t="s">
        <v>261</v>
      </c>
      <c r="AQ4" s="4" t="s">
        <v>261</v>
      </c>
      <c r="AR4" s="4" t="s">
        <v>261</v>
      </c>
      <c r="AS4" s="4" t="s">
        <v>261</v>
      </c>
      <c r="AT4" s="4" t="s">
        <v>261</v>
      </c>
      <c r="AU4" s="4" t="s">
        <v>261</v>
      </c>
      <c r="AV4" s="4" t="s">
        <v>261</v>
      </c>
      <c r="AW4" s="4" t="s">
        <v>261</v>
      </c>
      <c r="AX4" s="4" t="s">
        <v>261</v>
      </c>
      <c r="AY4" s="4" t="s">
        <v>261</v>
      </c>
      <c r="AZ4" s="4" t="s">
        <v>261</v>
      </c>
      <c r="BA4" s="4" t="s">
        <v>261</v>
      </c>
      <c r="BB4" s="4" t="s">
        <v>261</v>
      </c>
      <c r="BC4" s="4" t="s">
        <v>261</v>
      </c>
      <c r="BD4" s="4" t="s">
        <v>261</v>
      </c>
      <c r="BE4" s="4" t="s">
        <v>261</v>
      </c>
      <c r="BF4" s="4" t="s">
        <v>261</v>
      </c>
      <c r="BG4" s="4" t="s">
        <v>261</v>
      </c>
      <c r="BH4" s="4" t="s">
        <v>261</v>
      </c>
      <c r="BI4" s="4" t="s">
        <v>261</v>
      </c>
      <c r="BJ4" s="4" t="s">
        <v>261</v>
      </c>
      <c r="BK4" s="4" t="s">
        <v>261</v>
      </c>
      <c r="BL4" s="4" t="s">
        <v>261</v>
      </c>
      <c r="BM4" s="4" t="s">
        <v>261</v>
      </c>
      <c r="BN4" s="4" t="s">
        <v>261</v>
      </c>
      <c r="BO4" s="4" t="s">
        <v>261</v>
      </c>
      <c r="BP4" s="4" t="s">
        <v>261</v>
      </c>
      <c r="BQ4" s="4" t="s">
        <v>261</v>
      </c>
      <c r="BR4" s="4" t="s">
        <v>261</v>
      </c>
      <c r="BS4" s="4" t="s">
        <v>261</v>
      </c>
      <c r="BT4" s="4" t="s">
        <v>261</v>
      </c>
      <c r="BU4" s="4" t="s">
        <v>261</v>
      </c>
      <c r="BV4" s="4" t="s">
        <v>261</v>
      </c>
      <c r="BW4" s="4" t="s">
        <v>261</v>
      </c>
      <c r="BX4" s="4" t="s">
        <v>261</v>
      </c>
      <c r="BY4" s="4" t="s">
        <v>261</v>
      </c>
      <c r="BZ4" s="4" t="s">
        <v>261</v>
      </c>
      <c r="CA4" s="4" t="s">
        <v>261</v>
      </c>
      <c r="CB4" s="4" t="s">
        <v>261</v>
      </c>
      <c r="CC4" s="4" t="s">
        <v>261</v>
      </c>
      <c r="CD4" s="4" t="s">
        <v>261</v>
      </c>
      <c r="CE4" s="4" t="s">
        <v>261</v>
      </c>
      <c r="CF4" s="4" t="s">
        <v>261</v>
      </c>
      <c r="CG4" s="4" t="s">
        <v>261</v>
      </c>
      <c r="CH4" s="4" t="s">
        <v>261</v>
      </c>
      <c r="CI4" s="4" t="s">
        <v>261</v>
      </c>
      <c r="CJ4" s="4" t="s">
        <v>261</v>
      </c>
      <c r="CK4" s="4" t="s">
        <v>261</v>
      </c>
      <c r="CL4" s="4" t="s">
        <v>261</v>
      </c>
      <c r="CM4" s="4" t="s">
        <v>261</v>
      </c>
      <c r="CN4" s="4" t="s">
        <v>261</v>
      </c>
      <c r="CO4" s="4" t="s">
        <v>261</v>
      </c>
      <c r="CP4" s="4" t="s">
        <v>261</v>
      </c>
      <c r="CQ4" s="4" t="s">
        <v>261</v>
      </c>
      <c r="CR4" s="4" t="s">
        <v>261</v>
      </c>
      <c r="CS4" s="4" t="s">
        <v>261</v>
      </c>
      <c r="CT4" s="4" t="s">
        <v>261</v>
      </c>
      <c r="CU4" s="4" t="s">
        <v>261</v>
      </c>
      <c r="CV4" s="4" t="s">
        <v>261</v>
      </c>
      <c r="CW4" s="4" t="s">
        <v>261</v>
      </c>
      <c r="CX4" s="4" t="s">
        <v>261</v>
      </c>
      <c r="CY4" s="4" t="s">
        <v>261</v>
      </c>
      <c r="CZ4" s="4" t="s">
        <v>261</v>
      </c>
      <c r="DA4" s="4" t="s">
        <v>261</v>
      </c>
      <c r="DB4" s="4" t="s">
        <v>261</v>
      </c>
      <c r="DC4" s="4" t="s">
        <v>261</v>
      </c>
      <c r="DD4" s="4" t="s">
        <v>261</v>
      </c>
      <c r="DE4" s="4" t="s">
        <v>261</v>
      </c>
      <c r="DF4" s="4" t="s">
        <v>261</v>
      </c>
      <c r="DG4" s="4" t="s">
        <v>261</v>
      </c>
      <c r="DH4" s="4" t="s">
        <v>261</v>
      </c>
      <c r="DI4" s="4" t="s">
        <v>261</v>
      </c>
      <c r="DJ4" s="4" t="s">
        <v>261</v>
      </c>
      <c r="DK4" s="4" t="s">
        <v>261</v>
      </c>
      <c r="DL4" s="4" t="s">
        <v>261</v>
      </c>
      <c r="DM4" s="4" t="s">
        <v>261</v>
      </c>
      <c r="DN4" s="4" t="s">
        <v>261</v>
      </c>
      <c r="DO4" s="4" t="s">
        <v>261</v>
      </c>
      <c r="DP4" s="4" t="s">
        <v>261</v>
      </c>
      <c r="DQ4" s="4" t="s">
        <v>261</v>
      </c>
      <c r="DR4" s="4" t="s">
        <v>261</v>
      </c>
      <c r="DS4" s="4" t="s">
        <v>261</v>
      </c>
      <c r="DT4" s="4" t="s">
        <v>261</v>
      </c>
      <c r="DU4" s="4" t="s">
        <v>261</v>
      </c>
      <c r="DV4" s="4" t="s">
        <v>261</v>
      </c>
      <c r="DW4" s="4" t="s">
        <v>261</v>
      </c>
      <c r="DX4" s="4" t="s">
        <v>261</v>
      </c>
      <c r="DY4" s="4" t="s">
        <v>261</v>
      </c>
      <c r="DZ4" s="4" t="s">
        <v>261</v>
      </c>
      <c r="EA4" s="4" t="s">
        <v>261</v>
      </c>
      <c r="EB4" s="4" t="s">
        <v>261</v>
      </c>
      <c r="EC4" s="4" t="s">
        <v>261</v>
      </c>
      <c r="ED4" s="4" t="s">
        <v>261</v>
      </c>
      <c r="EE4" s="4" t="s">
        <v>261</v>
      </c>
      <c r="EF4" s="4" t="s">
        <v>261</v>
      </c>
      <c r="EG4" s="4" t="s">
        <v>261</v>
      </c>
      <c r="EH4" s="4" t="s">
        <v>261</v>
      </c>
      <c r="EI4" s="4" t="s">
        <v>261</v>
      </c>
      <c r="EJ4" s="4" t="s">
        <v>261</v>
      </c>
      <c r="EK4" s="4" t="s">
        <v>261</v>
      </c>
      <c r="EL4" s="4" t="s">
        <v>261</v>
      </c>
      <c r="EM4" s="4" t="s">
        <v>261</v>
      </c>
      <c r="EN4" s="4" t="s">
        <v>261</v>
      </c>
      <c r="EO4" s="4" t="s">
        <v>261</v>
      </c>
      <c r="EP4" s="4" t="s">
        <v>261</v>
      </c>
      <c r="EQ4" s="4" t="s">
        <v>261</v>
      </c>
      <c r="ER4" s="4" t="s">
        <v>261</v>
      </c>
      <c r="ES4" s="4" t="s">
        <v>261</v>
      </c>
      <c r="ET4" s="4" t="s">
        <v>261</v>
      </c>
      <c r="EU4" s="4" t="s">
        <v>261</v>
      </c>
      <c r="EV4" s="4" t="s">
        <v>261</v>
      </c>
      <c r="EW4" s="4" t="s">
        <v>261</v>
      </c>
      <c r="EX4" s="4" t="s">
        <v>261</v>
      </c>
      <c r="EY4" s="4" t="s">
        <v>261</v>
      </c>
      <c r="EZ4" s="4" t="s">
        <v>261</v>
      </c>
      <c r="FA4" s="4" t="s">
        <v>261</v>
      </c>
      <c r="FB4" s="4" t="s">
        <v>261</v>
      </c>
      <c r="FC4" s="4" t="s">
        <v>261</v>
      </c>
      <c r="FD4" s="4" t="s">
        <v>261</v>
      </c>
      <c r="FE4" s="4" t="s">
        <v>261</v>
      </c>
      <c r="FF4" s="4" t="s">
        <v>261</v>
      </c>
      <c r="FG4" s="4" t="s">
        <v>261</v>
      </c>
      <c r="FH4" s="4" t="s">
        <v>261</v>
      </c>
      <c r="FI4" s="4" t="s">
        <v>261</v>
      </c>
      <c r="FJ4" s="4" t="s">
        <v>261</v>
      </c>
      <c r="FK4" s="4" t="s">
        <v>261</v>
      </c>
      <c r="FL4" s="4" t="s">
        <v>261</v>
      </c>
      <c r="FM4" s="4" t="s">
        <v>261</v>
      </c>
      <c r="FN4" s="4" t="s">
        <v>261</v>
      </c>
      <c r="FO4" s="4" t="s">
        <v>261</v>
      </c>
      <c r="FP4" s="4" t="s">
        <v>261</v>
      </c>
      <c r="FQ4" s="4" t="s">
        <v>261</v>
      </c>
      <c r="FR4" s="4" t="s">
        <v>261</v>
      </c>
      <c r="FS4" s="4" t="s">
        <v>261</v>
      </c>
      <c r="FT4" s="4" t="s">
        <v>261</v>
      </c>
      <c r="FU4" s="4" t="s">
        <v>261</v>
      </c>
      <c r="FV4" s="4" t="s">
        <v>261</v>
      </c>
      <c r="FW4" s="4" t="s">
        <v>261</v>
      </c>
      <c r="FX4" s="4" t="s">
        <v>261</v>
      </c>
      <c r="FY4" s="4" t="s">
        <v>261</v>
      </c>
      <c r="FZ4" s="4" t="s">
        <v>261</v>
      </c>
      <c r="GA4" s="4" t="s">
        <v>261</v>
      </c>
      <c r="GB4" s="4" t="s">
        <v>261</v>
      </c>
      <c r="GC4" s="4" t="s">
        <v>261</v>
      </c>
      <c r="GD4" s="4" t="s">
        <v>261</v>
      </c>
      <c r="GE4" s="4" t="s">
        <v>261</v>
      </c>
      <c r="GF4" s="4" t="s">
        <v>261</v>
      </c>
      <c r="GG4" s="4" t="s">
        <v>261</v>
      </c>
      <c r="GH4" s="4" t="s">
        <v>261</v>
      </c>
      <c r="GI4" s="4" t="s">
        <v>261</v>
      </c>
      <c r="GJ4" s="4" t="s">
        <v>261</v>
      </c>
      <c r="GK4" s="4" t="s">
        <v>261</v>
      </c>
      <c r="GL4" s="4" t="s">
        <v>261</v>
      </c>
      <c r="GM4" s="4" t="s">
        <v>261</v>
      </c>
      <c r="GN4" s="4" t="s">
        <v>261</v>
      </c>
      <c r="GO4" s="4" t="s">
        <v>261</v>
      </c>
      <c r="GP4" s="4" t="s">
        <v>261</v>
      </c>
      <c r="GQ4" s="4" t="s">
        <v>261</v>
      </c>
      <c r="GR4" s="4" t="s">
        <v>261</v>
      </c>
      <c r="GS4" s="4" t="s">
        <v>261</v>
      </c>
      <c r="GT4" s="4" t="s">
        <v>261</v>
      </c>
      <c r="GU4" s="4" t="s">
        <v>261</v>
      </c>
      <c r="GV4" s="4" t="s">
        <v>261</v>
      </c>
      <c r="GW4" s="4" t="s">
        <v>261</v>
      </c>
      <c r="GX4" s="4" t="s">
        <v>261</v>
      </c>
      <c r="GY4" s="4" t="s">
        <v>261</v>
      </c>
      <c r="GZ4" s="4" t="s">
        <v>261</v>
      </c>
      <c r="HA4" s="4" t="s">
        <v>261</v>
      </c>
      <c r="HB4" s="4" t="s">
        <v>261</v>
      </c>
      <c r="HC4" s="4" t="s">
        <v>261</v>
      </c>
      <c r="HD4" s="4" t="s">
        <v>261</v>
      </c>
      <c r="HE4" s="4" t="s">
        <v>261</v>
      </c>
      <c r="HF4" s="4" t="s">
        <v>261</v>
      </c>
      <c r="HG4" s="4" t="s">
        <v>261</v>
      </c>
      <c r="HH4" s="4" t="s">
        <v>261</v>
      </c>
      <c r="HI4" s="4" t="s">
        <v>261</v>
      </c>
      <c r="HJ4" s="4" t="s">
        <v>261</v>
      </c>
      <c r="HK4" s="4" t="s">
        <v>261</v>
      </c>
      <c r="HL4" s="4" t="s">
        <v>261</v>
      </c>
      <c r="HM4" s="4" t="s">
        <v>261</v>
      </c>
      <c r="HN4" s="4" t="s">
        <v>261</v>
      </c>
      <c r="HO4" s="4" t="s">
        <v>261</v>
      </c>
      <c r="HP4" s="4" t="s">
        <v>261</v>
      </c>
      <c r="HQ4" s="4" t="s">
        <v>261</v>
      </c>
      <c r="HR4" s="4" t="s">
        <v>261</v>
      </c>
      <c r="HS4" s="4" t="s">
        <v>261</v>
      </c>
      <c r="HT4" s="4" t="s">
        <v>261</v>
      </c>
      <c r="HU4" s="4" t="s">
        <v>261</v>
      </c>
      <c r="HV4" s="4" t="s">
        <v>261</v>
      </c>
      <c r="HW4" s="4" t="s">
        <v>261</v>
      </c>
      <c r="HX4" s="4" t="s">
        <v>261</v>
      </c>
      <c r="HY4" s="4" t="s">
        <v>261</v>
      </c>
      <c r="HZ4" s="4" t="s">
        <v>261</v>
      </c>
      <c r="IA4" s="4" t="s">
        <v>261</v>
      </c>
      <c r="IB4" s="4" t="s">
        <v>261</v>
      </c>
      <c r="IC4" s="4" t="s">
        <v>261</v>
      </c>
      <c r="ID4" s="4" t="s">
        <v>261</v>
      </c>
      <c r="IE4" s="4" t="s">
        <v>261</v>
      </c>
      <c r="IF4" s="4" t="s">
        <v>261</v>
      </c>
      <c r="IG4" s="4" t="s">
        <v>261</v>
      </c>
      <c r="IH4" s="4" t="s">
        <v>261</v>
      </c>
      <c r="II4" s="4" t="s">
        <v>261</v>
      </c>
      <c r="IJ4" s="4" t="s">
        <v>261</v>
      </c>
      <c r="IK4" s="4" t="s">
        <v>261</v>
      </c>
      <c r="IL4" s="4" t="s">
        <v>261</v>
      </c>
      <c r="IM4" s="4" t="s">
        <v>261</v>
      </c>
      <c r="IN4" s="4" t="s">
        <v>261</v>
      </c>
      <c r="IO4" s="4" t="s">
        <v>261</v>
      </c>
      <c r="IP4" s="4" t="s">
        <v>261</v>
      </c>
      <c r="IQ4" s="4" t="s">
        <v>261</v>
      </c>
    </row>
    <row r="5" spans="1:251">
      <c r="A5" s="54" t="s">
        <v>253</v>
      </c>
      <c r="B5" s="4" t="s">
        <v>262</v>
      </c>
      <c r="C5" s="4" t="s">
        <v>262</v>
      </c>
      <c r="D5" s="4" t="s">
        <v>262</v>
      </c>
      <c r="E5" s="4" t="s">
        <v>262</v>
      </c>
      <c r="F5" s="4" t="s">
        <v>262</v>
      </c>
      <c r="G5" s="4" t="s">
        <v>262</v>
      </c>
      <c r="H5" s="4" t="s">
        <v>262</v>
      </c>
      <c r="I5" s="4" t="s">
        <v>262</v>
      </c>
      <c r="J5" s="4" t="s">
        <v>262</v>
      </c>
      <c r="K5" s="4" t="s">
        <v>262</v>
      </c>
      <c r="L5" s="4" t="s">
        <v>262</v>
      </c>
      <c r="M5" s="4" t="s">
        <v>262</v>
      </c>
      <c r="N5" s="4" t="s">
        <v>262</v>
      </c>
      <c r="O5" s="4" t="s">
        <v>262</v>
      </c>
      <c r="P5" s="4" t="s">
        <v>262</v>
      </c>
      <c r="Q5" s="4" t="s">
        <v>262</v>
      </c>
      <c r="R5" s="4" t="s">
        <v>262</v>
      </c>
      <c r="S5" s="4" t="s">
        <v>262</v>
      </c>
      <c r="T5" s="4" t="s">
        <v>262</v>
      </c>
      <c r="U5" s="4" t="s">
        <v>262</v>
      </c>
      <c r="V5" s="4" t="s">
        <v>262</v>
      </c>
      <c r="W5" s="4" t="s">
        <v>262</v>
      </c>
      <c r="X5" s="4" t="s">
        <v>262</v>
      </c>
      <c r="Y5" s="4" t="s">
        <v>262</v>
      </c>
      <c r="Z5" s="4" t="s">
        <v>262</v>
      </c>
      <c r="AA5" s="4" t="s">
        <v>262</v>
      </c>
      <c r="AB5" s="4" t="s">
        <v>262</v>
      </c>
      <c r="AC5" s="4" t="s">
        <v>262</v>
      </c>
      <c r="AD5" s="4" t="s">
        <v>262</v>
      </c>
      <c r="AE5" s="4" t="s">
        <v>262</v>
      </c>
      <c r="AF5" s="4" t="s">
        <v>262</v>
      </c>
      <c r="AG5" s="4" t="s">
        <v>262</v>
      </c>
      <c r="AH5" s="4" t="s">
        <v>262</v>
      </c>
      <c r="AI5" s="4" t="s">
        <v>262</v>
      </c>
      <c r="AJ5" s="4" t="s">
        <v>262</v>
      </c>
      <c r="AK5" s="4" t="s">
        <v>262</v>
      </c>
      <c r="AL5" s="4" t="s">
        <v>262</v>
      </c>
      <c r="AM5" s="4" t="s">
        <v>262</v>
      </c>
      <c r="AN5" s="4" t="s">
        <v>262</v>
      </c>
      <c r="AO5" s="4" t="s">
        <v>262</v>
      </c>
      <c r="AP5" s="4" t="s">
        <v>262</v>
      </c>
      <c r="AQ5" s="4" t="s">
        <v>262</v>
      </c>
      <c r="AR5" s="4" t="s">
        <v>262</v>
      </c>
      <c r="AS5" s="4" t="s">
        <v>262</v>
      </c>
      <c r="AT5" s="4" t="s">
        <v>262</v>
      </c>
      <c r="AU5" s="4" t="s">
        <v>262</v>
      </c>
      <c r="AV5" s="4" t="s">
        <v>262</v>
      </c>
      <c r="AW5" s="4" t="s">
        <v>262</v>
      </c>
      <c r="AX5" s="4" t="s">
        <v>262</v>
      </c>
      <c r="AY5" s="4" t="s">
        <v>262</v>
      </c>
      <c r="AZ5" s="4" t="s">
        <v>262</v>
      </c>
      <c r="BA5" s="4" t="s">
        <v>262</v>
      </c>
      <c r="BB5" s="4" t="s">
        <v>262</v>
      </c>
      <c r="BC5" s="4" t="s">
        <v>262</v>
      </c>
      <c r="BD5" s="4" t="s">
        <v>262</v>
      </c>
      <c r="BE5" s="4" t="s">
        <v>262</v>
      </c>
      <c r="BF5" s="4" t="s">
        <v>262</v>
      </c>
      <c r="BG5" s="4" t="s">
        <v>262</v>
      </c>
      <c r="BH5" s="4" t="s">
        <v>262</v>
      </c>
      <c r="BI5" s="4" t="s">
        <v>262</v>
      </c>
      <c r="BJ5" s="4" t="s">
        <v>262</v>
      </c>
      <c r="BK5" s="4" t="s">
        <v>262</v>
      </c>
      <c r="BL5" s="4" t="s">
        <v>262</v>
      </c>
      <c r="BM5" s="4" t="s">
        <v>262</v>
      </c>
      <c r="BN5" s="4" t="s">
        <v>262</v>
      </c>
      <c r="BO5" s="4" t="s">
        <v>262</v>
      </c>
      <c r="BP5" s="4" t="s">
        <v>262</v>
      </c>
      <c r="BQ5" s="4" t="s">
        <v>262</v>
      </c>
      <c r="BR5" s="4" t="s">
        <v>262</v>
      </c>
      <c r="BS5" s="4" t="s">
        <v>262</v>
      </c>
      <c r="BT5" s="4" t="s">
        <v>262</v>
      </c>
      <c r="BU5" s="4" t="s">
        <v>262</v>
      </c>
      <c r="BV5" s="4" t="s">
        <v>262</v>
      </c>
      <c r="BW5" s="4" t="s">
        <v>262</v>
      </c>
      <c r="BX5" s="4" t="s">
        <v>262</v>
      </c>
      <c r="BY5" s="4" t="s">
        <v>262</v>
      </c>
      <c r="BZ5" s="4" t="s">
        <v>262</v>
      </c>
      <c r="CA5" s="4" t="s">
        <v>262</v>
      </c>
      <c r="CB5" s="4" t="s">
        <v>262</v>
      </c>
      <c r="CC5" s="4" t="s">
        <v>262</v>
      </c>
      <c r="CD5" s="4" t="s">
        <v>262</v>
      </c>
      <c r="CE5" s="4" t="s">
        <v>262</v>
      </c>
      <c r="CF5" s="4" t="s">
        <v>262</v>
      </c>
      <c r="CG5" s="4" t="s">
        <v>262</v>
      </c>
      <c r="CH5" s="4" t="s">
        <v>262</v>
      </c>
      <c r="CI5" s="4" t="s">
        <v>262</v>
      </c>
      <c r="CJ5" s="4" t="s">
        <v>262</v>
      </c>
      <c r="CK5" s="4" t="s">
        <v>262</v>
      </c>
      <c r="CL5" s="4" t="s">
        <v>262</v>
      </c>
      <c r="CM5" s="4" t="s">
        <v>262</v>
      </c>
      <c r="CN5" s="4" t="s">
        <v>262</v>
      </c>
      <c r="CO5" s="4" t="s">
        <v>262</v>
      </c>
      <c r="CP5" s="4" t="s">
        <v>262</v>
      </c>
      <c r="CQ5" s="4" t="s">
        <v>262</v>
      </c>
      <c r="CR5" s="4" t="s">
        <v>262</v>
      </c>
      <c r="CS5" s="4" t="s">
        <v>262</v>
      </c>
      <c r="CT5" s="4" t="s">
        <v>262</v>
      </c>
      <c r="CU5" s="4" t="s">
        <v>262</v>
      </c>
      <c r="CV5" s="4" t="s">
        <v>262</v>
      </c>
      <c r="CW5" s="4" t="s">
        <v>262</v>
      </c>
      <c r="CX5" s="4" t="s">
        <v>262</v>
      </c>
      <c r="CY5" s="4" t="s">
        <v>262</v>
      </c>
      <c r="CZ5" s="4" t="s">
        <v>262</v>
      </c>
      <c r="DA5" s="4" t="s">
        <v>262</v>
      </c>
      <c r="DB5" s="4" t="s">
        <v>262</v>
      </c>
      <c r="DC5" s="4" t="s">
        <v>262</v>
      </c>
      <c r="DD5" s="4" t="s">
        <v>262</v>
      </c>
      <c r="DE5" s="4" t="s">
        <v>262</v>
      </c>
      <c r="DF5" s="4" t="s">
        <v>262</v>
      </c>
      <c r="DG5" s="4" t="s">
        <v>262</v>
      </c>
      <c r="DH5" s="4" t="s">
        <v>262</v>
      </c>
      <c r="DI5" s="4" t="s">
        <v>262</v>
      </c>
      <c r="DJ5" s="4" t="s">
        <v>262</v>
      </c>
      <c r="DK5" s="4" t="s">
        <v>262</v>
      </c>
      <c r="DL5" s="4" t="s">
        <v>262</v>
      </c>
      <c r="DM5" s="4" t="s">
        <v>262</v>
      </c>
      <c r="DN5" s="4" t="s">
        <v>262</v>
      </c>
      <c r="DO5" s="4" t="s">
        <v>262</v>
      </c>
      <c r="DP5" s="4" t="s">
        <v>262</v>
      </c>
      <c r="DQ5" s="4" t="s">
        <v>262</v>
      </c>
      <c r="DR5" s="4" t="s">
        <v>262</v>
      </c>
      <c r="DS5" s="4" t="s">
        <v>262</v>
      </c>
      <c r="DT5" s="4" t="s">
        <v>262</v>
      </c>
      <c r="DU5" s="4" t="s">
        <v>262</v>
      </c>
      <c r="DV5" s="4" t="s">
        <v>262</v>
      </c>
      <c r="DW5" s="4" t="s">
        <v>262</v>
      </c>
      <c r="DX5" s="4" t="s">
        <v>262</v>
      </c>
      <c r="DY5" s="4" t="s">
        <v>262</v>
      </c>
      <c r="DZ5" s="4" t="s">
        <v>262</v>
      </c>
      <c r="EA5" s="4" t="s">
        <v>262</v>
      </c>
      <c r="EB5" s="4" t="s">
        <v>262</v>
      </c>
      <c r="EC5" s="4" t="s">
        <v>262</v>
      </c>
      <c r="ED5" s="4" t="s">
        <v>262</v>
      </c>
      <c r="EE5" s="4" t="s">
        <v>262</v>
      </c>
      <c r="EF5" s="4" t="s">
        <v>262</v>
      </c>
      <c r="EG5" s="4" t="s">
        <v>262</v>
      </c>
      <c r="EH5" s="4" t="s">
        <v>262</v>
      </c>
      <c r="EI5" s="4" t="s">
        <v>262</v>
      </c>
      <c r="EJ5" s="4" t="s">
        <v>262</v>
      </c>
      <c r="EK5" s="4" t="s">
        <v>262</v>
      </c>
      <c r="EL5" s="4" t="s">
        <v>262</v>
      </c>
      <c r="EM5" s="4" t="s">
        <v>262</v>
      </c>
      <c r="EN5" s="4" t="s">
        <v>262</v>
      </c>
      <c r="EO5" s="4" t="s">
        <v>262</v>
      </c>
      <c r="EP5" s="4" t="s">
        <v>262</v>
      </c>
      <c r="EQ5" s="4" t="s">
        <v>262</v>
      </c>
      <c r="ER5" s="4" t="s">
        <v>262</v>
      </c>
      <c r="ES5" s="4" t="s">
        <v>262</v>
      </c>
      <c r="ET5" s="4" t="s">
        <v>262</v>
      </c>
      <c r="EU5" s="4" t="s">
        <v>262</v>
      </c>
      <c r="EV5" s="4" t="s">
        <v>262</v>
      </c>
      <c r="EW5" s="4" t="s">
        <v>262</v>
      </c>
      <c r="EX5" s="4" t="s">
        <v>262</v>
      </c>
      <c r="EY5" s="4" t="s">
        <v>262</v>
      </c>
      <c r="EZ5" s="4" t="s">
        <v>262</v>
      </c>
      <c r="FA5" s="4" t="s">
        <v>262</v>
      </c>
      <c r="FB5" s="4" t="s">
        <v>262</v>
      </c>
      <c r="FC5" s="4" t="s">
        <v>262</v>
      </c>
      <c r="FD5" s="4" t="s">
        <v>262</v>
      </c>
      <c r="FE5" s="4" t="s">
        <v>262</v>
      </c>
      <c r="FF5" s="4" t="s">
        <v>262</v>
      </c>
      <c r="FG5" s="4" t="s">
        <v>262</v>
      </c>
      <c r="FH5" s="4" t="s">
        <v>262</v>
      </c>
      <c r="FI5" s="4" t="s">
        <v>262</v>
      </c>
      <c r="FJ5" s="4" t="s">
        <v>262</v>
      </c>
      <c r="FK5" s="4" t="s">
        <v>262</v>
      </c>
      <c r="FL5" s="4" t="s">
        <v>262</v>
      </c>
      <c r="FM5" s="4" t="s">
        <v>262</v>
      </c>
      <c r="FN5" s="4" t="s">
        <v>262</v>
      </c>
      <c r="FO5" s="4" t="s">
        <v>262</v>
      </c>
      <c r="FP5" s="4" t="s">
        <v>262</v>
      </c>
      <c r="FQ5" s="4" t="s">
        <v>262</v>
      </c>
      <c r="FR5" s="4" t="s">
        <v>262</v>
      </c>
      <c r="FS5" s="4" t="s">
        <v>262</v>
      </c>
      <c r="FT5" s="4" t="s">
        <v>262</v>
      </c>
      <c r="FU5" s="4" t="s">
        <v>262</v>
      </c>
      <c r="FV5" s="4" t="s">
        <v>262</v>
      </c>
      <c r="FW5" s="4" t="s">
        <v>262</v>
      </c>
      <c r="FX5" s="4" t="s">
        <v>262</v>
      </c>
      <c r="FY5" s="4" t="s">
        <v>262</v>
      </c>
      <c r="FZ5" s="4" t="s">
        <v>262</v>
      </c>
      <c r="GA5" s="4" t="s">
        <v>262</v>
      </c>
      <c r="GB5" s="4" t="s">
        <v>262</v>
      </c>
      <c r="GC5" s="4" t="s">
        <v>262</v>
      </c>
      <c r="GD5" s="4" t="s">
        <v>262</v>
      </c>
      <c r="GE5" s="4" t="s">
        <v>262</v>
      </c>
      <c r="GF5" s="4" t="s">
        <v>262</v>
      </c>
      <c r="GG5" s="4" t="s">
        <v>262</v>
      </c>
      <c r="GH5" s="4" t="s">
        <v>262</v>
      </c>
      <c r="GI5" s="4" t="s">
        <v>262</v>
      </c>
      <c r="GJ5" s="4" t="s">
        <v>262</v>
      </c>
      <c r="GK5" s="4" t="s">
        <v>262</v>
      </c>
      <c r="GL5" s="4" t="s">
        <v>262</v>
      </c>
      <c r="GM5" s="4" t="s">
        <v>262</v>
      </c>
      <c r="GN5" s="4" t="s">
        <v>262</v>
      </c>
      <c r="GO5" s="4" t="s">
        <v>262</v>
      </c>
      <c r="GP5" s="4" t="s">
        <v>262</v>
      </c>
      <c r="GQ5" s="4" t="s">
        <v>262</v>
      </c>
      <c r="GR5" s="4" t="s">
        <v>262</v>
      </c>
      <c r="GS5" s="4" t="s">
        <v>262</v>
      </c>
      <c r="GT5" s="4" t="s">
        <v>262</v>
      </c>
      <c r="GU5" s="4" t="s">
        <v>262</v>
      </c>
      <c r="GV5" s="4" t="s">
        <v>262</v>
      </c>
      <c r="GW5" s="4" t="s">
        <v>262</v>
      </c>
      <c r="GX5" s="4" t="s">
        <v>262</v>
      </c>
      <c r="GY5" s="4" t="s">
        <v>262</v>
      </c>
      <c r="GZ5" s="4" t="s">
        <v>262</v>
      </c>
      <c r="HA5" s="4" t="s">
        <v>262</v>
      </c>
      <c r="HB5" s="4" t="s">
        <v>262</v>
      </c>
      <c r="HC5" s="4" t="s">
        <v>262</v>
      </c>
      <c r="HD5" s="4" t="s">
        <v>262</v>
      </c>
      <c r="HE5" s="4" t="s">
        <v>262</v>
      </c>
      <c r="HF5" s="4" t="s">
        <v>262</v>
      </c>
      <c r="HG5" s="4" t="s">
        <v>262</v>
      </c>
      <c r="HH5" s="4" t="s">
        <v>262</v>
      </c>
      <c r="HI5" s="4" t="s">
        <v>262</v>
      </c>
      <c r="HJ5" s="4" t="s">
        <v>262</v>
      </c>
      <c r="HK5" s="4" t="s">
        <v>262</v>
      </c>
      <c r="HL5" s="4" t="s">
        <v>262</v>
      </c>
      <c r="HM5" s="4" t="s">
        <v>262</v>
      </c>
      <c r="HN5" s="4" t="s">
        <v>262</v>
      </c>
      <c r="HO5" s="4" t="s">
        <v>262</v>
      </c>
      <c r="HP5" s="4" t="s">
        <v>262</v>
      </c>
      <c r="HQ5" s="4" t="s">
        <v>262</v>
      </c>
      <c r="HR5" s="4" t="s">
        <v>262</v>
      </c>
      <c r="HS5" s="4" t="s">
        <v>262</v>
      </c>
      <c r="HT5" s="4" t="s">
        <v>262</v>
      </c>
      <c r="HU5" s="4" t="s">
        <v>262</v>
      </c>
      <c r="HV5" s="4" t="s">
        <v>262</v>
      </c>
      <c r="HW5" s="4" t="s">
        <v>262</v>
      </c>
      <c r="HX5" s="4" t="s">
        <v>262</v>
      </c>
      <c r="HY5" s="4" t="s">
        <v>262</v>
      </c>
      <c r="HZ5" s="4" t="s">
        <v>262</v>
      </c>
      <c r="IA5" s="4" t="s">
        <v>262</v>
      </c>
      <c r="IB5" s="4" t="s">
        <v>262</v>
      </c>
      <c r="IC5" s="4" t="s">
        <v>262</v>
      </c>
      <c r="ID5" s="4" t="s">
        <v>262</v>
      </c>
      <c r="IE5" s="4" t="s">
        <v>262</v>
      </c>
      <c r="IF5" s="4" t="s">
        <v>262</v>
      </c>
      <c r="IG5" s="4" t="s">
        <v>262</v>
      </c>
      <c r="IH5" s="4" t="s">
        <v>262</v>
      </c>
      <c r="II5" s="4" t="s">
        <v>262</v>
      </c>
      <c r="IJ5" s="4" t="s">
        <v>262</v>
      </c>
      <c r="IK5" s="4" t="s">
        <v>262</v>
      </c>
      <c r="IL5" s="4" t="s">
        <v>262</v>
      </c>
      <c r="IM5" s="4" t="s">
        <v>262</v>
      </c>
      <c r="IN5" s="4" t="s">
        <v>262</v>
      </c>
      <c r="IO5" s="4" t="s">
        <v>262</v>
      </c>
      <c r="IP5" s="4" t="s">
        <v>262</v>
      </c>
      <c r="IQ5" s="4" t="s">
        <v>262</v>
      </c>
    </row>
    <row r="6" spans="1:251">
      <c r="A6" s="54" t="s">
        <v>254</v>
      </c>
      <c r="B6" s="55">
        <v>1</v>
      </c>
      <c r="C6" s="55">
        <v>1</v>
      </c>
      <c r="D6" s="55">
        <v>1</v>
      </c>
      <c r="E6" s="55">
        <v>1</v>
      </c>
      <c r="F6" s="55">
        <v>1</v>
      </c>
      <c r="G6" s="55">
        <v>1</v>
      </c>
      <c r="H6" s="55">
        <v>1</v>
      </c>
      <c r="I6" s="55">
        <v>1</v>
      </c>
      <c r="J6" s="55">
        <v>1</v>
      </c>
      <c r="K6" s="55">
        <v>1</v>
      </c>
      <c r="L6" s="55">
        <v>1</v>
      </c>
      <c r="M6" s="55">
        <v>1</v>
      </c>
      <c r="N6" s="55">
        <v>1</v>
      </c>
      <c r="O6" s="55">
        <v>1</v>
      </c>
      <c r="P6" s="55">
        <v>1</v>
      </c>
      <c r="Q6" s="55">
        <v>1</v>
      </c>
      <c r="R6" s="55">
        <v>1</v>
      </c>
      <c r="S6" s="55">
        <v>1</v>
      </c>
      <c r="T6" s="55">
        <v>1</v>
      </c>
      <c r="U6" s="55">
        <v>1</v>
      </c>
      <c r="V6" s="55">
        <v>1</v>
      </c>
      <c r="W6" s="55">
        <v>1</v>
      </c>
      <c r="X6" s="55">
        <v>1</v>
      </c>
      <c r="Y6" s="55">
        <v>1</v>
      </c>
      <c r="Z6" s="55">
        <v>1</v>
      </c>
      <c r="AA6" s="55">
        <v>1</v>
      </c>
      <c r="AB6" s="55">
        <v>1</v>
      </c>
      <c r="AC6" s="55">
        <v>1</v>
      </c>
      <c r="AD6" s="55">
        <v>1</v>
      </c>
      <c r="AE6" s="55">
        <v>1</v>
      </c>
      <c r="AF6" s="55">
        <v>1</v>
      </c>
      <c r="AG6" s="55">
        <v>1</v>
      </c>
      <c r="AH6" s="55">
        <v>1</v>
      </c>
      <c r="AI6" s="55">
        <v>1</v>
      </c>
      <c r="AJ6" s="55">
        <v>1</v>
      </c>
      <c r="AK6" s="55">
        <v>1</v>
      </c>
      <c r="AL6" s="55">
        <v>1</v>
      </c>
      <c r="AM6" s="55">
        <v>1</v>
      </c>
      <c r="AN6" s="55">
        <v>1</v>
      </c>
      <c r="AO6" s="55">
        <v>1</v>
      </c>
      <c r="AP6" s="55">
        <v>1</v>
      </c>
      <c r="AQ6" s="55">
        <v>1</v>
      </c>
      <c r="AR6" s="55">
        <v>1</v>
      </c>
      <c r="AS6" s="55">
        <v>1</v>
      </c>
      <c r="AT6" s="55">
        <v>1</v>
      </c>
      <c r="AU6" s="55">
        <v>1</v>
      </c>
      <c r="AV6" s="55">
        <v>1</v>
      </c>
      <c r="AW6" s="55">
        <v>1</v>
      </c>
      <c r="AX6" s="55">
        <v>1</v>
      </c>
      <c r="AY6" s="55">
        <v>1</v>
      </c>
      <c r="AZ6" s="55">
        <v>1</v>
      </c>
      <c r="BA6" s="55">
        <v>1</v>
      </c>
      <c r="BB6" s="55">
        <v>1</v>
      </c>
      <c r="BC6" s="55">
        <v>1</v>
      </c>
      <c r="BD6" s="55">
        <v>1</v>
      </c>
      <c r="BE6" s="55">
        <v>1</v>
      </c>
      <c r="BF6" s="55">
        <v>1</v>
      </c>
      <c r="BG6" s="55">
        <v>1</v>
      </c>
      <c r="BH6" s="55">
        <v>1</v>
      </c>
      <c r="BI6" s="55">
        <v>1</v>
      </c>
      <c r="BJ6" s="55">
        <v>1</v>
      </c>
      <c r="BK6" s="55">
        <v>1</v>
      </c>
      <c r="BL6" s="55">
        <v>1</v>
      </c>
      <c r="BM6" s="55">
        <v>1</v>
      </c>
      <c r="BN6" s="55">
        <v>1</v>
      </c>
      <c r="BO6" s="55">
        <v>1</v>
      </c>
      <c r="BP6" s="55">
        <v>1</v>
      </c>
      <c r="BQ6" s="55">
        <v>1</v>
      </c>
      <c r="BR6" s="55">
        <v>1</v>
      </c>
      <c r="BS6" s="55">
        <v>1</v>
      </c>
      <c r="BT6" s="55">
        <v>1</v>
      </c>
      <c r="BU6" s="55">
        <v>1</v>
      </c>
      <c r="BV6" s="55">
        <v>1</v>
      </c>
      <c r="BW6" s="55">
        <v>1</v>
      </c>
      <c r="BX6" s="55">
        <v>1</v>
      </c>
      <c r="BY6" s="55">
        <v>1</v>
      </c>
      <c r="BZ6" s="55">
        <v>1</v>
      </c>
      <c r="CA6" s="55">
        <v>1</v>
      </c>
      <c r="CB6" s="55">
        <v>1</v>
      </c>
      <c r="CC6" s="55">
        <v>1</v>
      </c>
      <c r="CD6" s="55">
        <v>1</v>
      </c>
      <c r="CE6" s="55">
        <v>1</v>
      </c>
      <c r="CF6" s="55">
        <v>1</v>
      </c>
      <c r="CG6" s="55">
        <v>1</v>
      </c>
      <c r="CH6" s="55">
        <v>1</v>
      </c>
      <c r="CI6" s="55">
        <v>1</v>
      </c>
      <c r="CJ6" s="55">
        <v>1</v>
      </c>
      <c r="CK6" s="55">
        <v>1</v>
      </c>
      <c r="CL6" s="55">
        <v>1</v>
      </c>
      <c r="CM6" s="55">
        <v>1</v>
      </c>
      <c r="CN6" s="55">
        <v>1</v>
      </c>
      <c r="CO6" s="55">
        <v>1</v>
      </c>
      <c r="CP6" s="55">
        <v>1</v>
      </c>
      <c r="CQ6" s="55">
        <v>1</v>
      </c>
      <c r="CR6" s="55">
        <v>1</v>
      </c>
      <c r="CS6" s="55">
        <v>1</v>
      </c>
      <c r="CT6" s="55">
        <v>1</v>
      </c>
      <c r="CU6" s="55">
        <v>1</v>
      </c>
      <c r="CV6" s="55">
        <v>1</v>
      </c>
      <c r="CW6" s="55">
        <v>1</v>
      </c>
      <c r="CX6" s="55">
        <v>1</v>
      </c>
      <c r="CY6" s="55">
        <v>1</v>
      </c>
      <c r="CZ6" s="55">
        <v>1</v>
      </c>
      <c r="DA6" s="55">
        <v>1</v>
      </c>
      <c r="DB6" s="55">
        <v>1</v>
      </c>
      <c r="DC6" s="55">
        <v>1</v>
      </c>
      <c r="DD6" s="55">
        <v>1</v>
      </c>
      <c r="DE6" s="55">
        <v>1</v>
      </c>
      <c r="DF6" s="55">
        <v>1</v>
      </c>
      <c r="DG6" s="55">
        <v>1</v>
      </c>
      <c r="DH6" s="55">
        <v>1</v>
      </c>
      <c r="DI6" s="55">
        <v>1</v>
      </c>
      <c r="DJ6" s="55">
        <v>1</v>
      </c>
      <c r="DK6" s="55">
        <v>1</v>
      </c>
      <c r="DL6" s="55">
        <v>1</v>
      </c>
      <c r="DM6" s="55">
        <v>1</v>
      </c>
      <c r="DN6" s="55">
        <v>1</v>
      </c>
      <c r="DO6" s="55">
        <v>1</v>
      </c>
      <c r="DP6" s="55">
        <v>1</v>
      </c>
      <c r="DQ6" s="55">
        <v>1</v>
      </c>
      <c r="DR6" s="55">
        <v>1</v>
      </c>
      <c r="DS6" s="55">
        <v>1</v>
      </c>
      <c r="DT6" s="55">
        <v>1</v>
      </c>
      <c r="DU6" s="55">
        <v>1</v>
      </c>
      <c r="DV6" s="55">
        <v>1</v>
      </c>
      <c r="DW6" s="55">
        <v>1</v>
      </c>
      <c r="DX6" s="55">
        <v>1</v>
      </c>
      <c r="DY6" s="55">
        <v>1</v>
      </c>
      <c r="DZ6" s="55">
        <v>1</v>
      </c>
      <c r="EA6" s="55">
        <v>1</v>
      </c>
      <c r="EB6" s="55">
        <v>1</v>
      </c>
      <c r="EC6" s="55">
        <v>1</v>
      </c>
      <c r="ED6" s="55">
        <v>1</v>
      </c>
      <c r="EE6" s="55">
        <v>1</v>
      </c>
      <c r="EF6" s="55">
        <v>1</v>
      </c>
      <c r="EG6" s="55">
        <v>1</v>
      </c>
      <c r="EH6" s="55">
        <v>1</v>
      </c>
      <c r="EI6" s="55">
        <v>1</v>
      </c>
      <c r="EJ6" s="55">
        <v>1</v>
      </c>
      <c r="EK6" s="55">
        <v>1</v>
      </c>
      <c r="EL6" s="55">
        <v>1</v>
      </c>
      <c r="EM6" s="55">
        <v>1</v>
      </c>
      <c r="EN6" s="55">
        <v>1</v>
      </c>
      <c r="EO6" s="55">
        <v>1</v>
      </c>
      <c r="EP6" s="55">
        <v>1</v>
      </c>
      <c r="EQ6" s="55">
        <v>1</v>
      </c>
      <c r="ER6" s="55">
        <v>1</v>
      </c>
      <c r="ES6" s="55">
        <v>1</v>
      </c>
      <c r="ET6" s="55">
        <v>1</v>
      </c>
      <c r="EU6" s="55">
        <v>1</v>
      </c>
      <c r="EV6" s="55">
        <v>1</v>
      </c>
      <c r="EW6" s="55">
        <v>1</v>
      </c>
      <c r="EX6" s="55">
        <v>1</v>
      </c>
      <c r="EY6" s="55">
        <v>1</v>
      </c>
      <c r="EZ6" s="55">
        <v>1</v>
      </c>
      <c r="FA6" s="55">
        <v>1</v>
      </c>
      <c r="FB6" s="55">
        <v>1</v>
      </c>
      <c r="FC6" s="55">
        <v>1</v>
      </c>
      <c r="FD6" s="55">
        <v>1</v>
      </c>
      <c r="FE6" s="55">
        <v>1</v>
      </c>
      <c r="FF6" s="55">
        <v>1</v>
      </c>
      <c r="FG6" s="55">
        <v>1</v>
      </c>
      <c r="FH6" s="55">
        <v>1</v>
      </c>
      <c r="FI6" s="55">
        <v>1</v>
      </c>
      <c r="FJ6" s="55">
        <v>1</v>
      </c>
      <c r="FK6" s="55">
        <v>1</v>
      </c>
      <c r="FL6" s="55">
        <v>1</v>
      </c>
      <c r="FM6" s="55">
        <v>1</v>
      </c>
      <c r="FN6" s="55">
        <v>1</v>
      </c>
      <c r="FO6" s="55">
        <v>1</v>
      </c>
      <c r="FP6" s="55">
        <v>1</v>
      </c>
      <c r="FQ6" s="55">
        <v>1</v>
      </c>
      <c r="FR6" s="55">
        <v>1</v>
      </c>
      <c r="FS6" s="55">
        <v>1</v>
      </c>
      <c r="FT6" s="55">
        <v>1</v>
      </c>
      <c r="FU6" s="55">
        <v>1</v>
      </c>
      <c r="FV6" s="55">
        <v>1</v>
      </c>
      <c r="FW6" s="55">
        <v>1</v>
      </c>
      <c r="FX6" s="55">
        <v>1</v>
      </c>
      <c r="FY6" s="55">
        <v>1</v>
      </c>
      <c r="FZ6" s="55">
        <v>1</v>
      </c>
      <c r="GA6" s="55">
        <v>1</v>
      </c>
      <c r="GB6" s="55">
        <v>1</v>
      </c>
      <c r="GC6" s="55">
        <v>1</v>
      </c>
      <c r="GD6" s="55">
        <v>1</v>
      </c>
      <c r="GE6" s="55">
        <v>1</v>
      </c>
      <c r="GF6" s="55">
        <v>1</v>
      </c>
      <c r="GG6" s="55">
        <v>1</v>
      </c>
      <c r="GH6" s="55">
        <v>1</v>
      </c>
      <c r="GI6" s="55">
        <v>1</v>
      </c>
      <c r="GJ6" s="55">
        <v>1</v>
      </c>
      <c r="GK6" s="55">
        <v>1</v>
      </c>
      <c r="GL6" s="55">
        <v>1</v>
      </c>
      <c r="GM6" s="55">
        <v>1</v>
      </c>
      <c r="GN6" s="55">
        <v>1</v>
      </c>
      <c r="GO6" s="55">
        <v>1</v>
      </c>
      <c r="GP6" s="55">
        <v>1</v>
      </c>
      <c r="GQ6" s="55">
        <v>1</v>
      </c>
      <c r="GR6" s="55">
        <v>1</v>
      </c>
      <c r="GS6" s="55">
        <v>1</v>
      </c>
      <c r="GT6" s="55">
        <v>1</v>
      </c>
      <c r="GU6" s="55">
        <v>1</v>
      </c>
      <c r="GV6" s="55">
        <v>1</v>
      </c>
      <c r="GW6" s="55">
        <v>1</v>
      </c>
      <c r="GX6" s="55">
        <v>1</v>
      </c>
      <c r="GY6" s="55">
        <v>1</v>
      </c>
      <c r="GZ6" s="55">
        <v>1</v>
      </c>
      <c r="HA6" s="55">
        <v>1</v>
      </c>
      <c r="HB6" s="55">
        <v>1</v>
      </c>
      <c r="HC6" s="55">
        <v>1</v>
      </c>
      <c r="HD6" s="55">
        <v>1</v>
      </c>
      <c r="HE6" s="55">
        <v>1</v>
      </c>
      <c r="HF6" s="55">
        <v>1</v>
      </c>
      <c r="HG6" s="55">
        <v>1</v>
      </c>
      <c r="HH6" s="55">
        <v>1</v>
      </c>
      <c r="HI6" s="55">
        <v>1</v>
      </c>
      <c r="HJ6" s="55">
        <v>1</v>
      </c>
      <c r="HK6" s="55">
        <v>1</v>
      </c>
      <c r="HL6" s="55">
        <v>1</v>
      </c>
      <c r="HM6" s="55">
        <v>1</v>
      </c>
      <c r="HN6" s="55">
        <v>1</v>
      </c>
      <c r="HO6" s="55">
        <v>1</v>
      </c>
      <c r="HP6" s="55">
        <v>1</v>
      </c>
      <c r="HQ6" s="55">
        <v>1</v>
      </c>
      <c r="HR6" s="55">
        <v>1</v>
      </c>
      <c r="HS6" s="55">
        <v>1</v>
      </c>
      <c r="HT6" s="55">
        <v>1</v>
      </c>
      <c r="HU6" s="55">
        <v>1</v>
      </c>
      <c r="HV6" s="55">
        <v>1</v>
      </c>
      <c r="HW6" s="55">
        <v>1</v>
      </c>
      <c r="HX6" s="55">
        <v>1</v>
      </c>
      <c r="HY6" s="55">
        <v>1</v>
      </c>
      <c r="HZ6" s="55">
        <v>1</v>
      </c>
      <c r="IA6" s="55">
        <v>1</v>
      </c>
      <c r="IB6" s="55">
        <v>1</v>
      </c>
      <c r="IC6" s="55">
        <v>1</v>
      </c>
      <c r="ID6" s="55">
        <v>1</v>
      </c>
      <c r="IE6" s="55">
        <v>1</v>
      </c>
      <c r="IF6" s="55">
        <v>1</v>
      </c>
      <c r="IG6" s="55">
        <v>1</v>
      </c>
      <c r="IH6" s="55">
        <v>1</v>
      </c>
      <c r="II6" s="55">
        <v>1</v>
      </c>
      <c r="IJ6" s="55">
        <v>1</v>
      </c>
      <c r="IK6" s="55">
        <v>1</v>
      </c>
      <c r="IL6" s="55">
        <v>1</v>
      </c>
      <c r="IM6" s="55">
        <v>1</v>
      </c>
      <c r="IN6" s="55">
        <v>1</v>
      </c>
      <c r="IO6" s="55">
        <v>1</v>
      </c>
      <c r="IP6" s="55">
        <v>1</v>
      </c>
      <c r="IQ6" s="55">
        <v>1</v>
      </c>
    </row>
    <row r="7" spans="1:251" s="57" customFormat="1">
      <c r="A7" s="56" t="s">
        <v>255</v>
      </c>
      <c r="B7" s="57">
        <v>41821</v>
      </c>
      <c r="C7" s="57">
        <v>41821</v>
      </c>
      <c r="D7" s="57">
        <v>41821</v>
      </c>
      <c r="E7" s="57">
        <v>41821</v>
      </c>
      <c r="F7" s="57">
        <v>41821</v>
      </c>
      <c r="G7" s="57">
        <v>41821</v>
      </c>
      <c r="H7" s="57">
        <v>41821</v>
      </c>
      <c r="I7" s="57">
        <v>41821</v>
      </c>
      <c r="J7" s="57">
        <v>41821</v>
      </c>
      <c r="K7" s="57">
        <v>41821</v>
      </c>
      <c r="L7" s="57">
        <v>41821</v>
      </c>
      <c r="M7" s="57">
        <v>41821</v>
      </c>
      <c r="N7" s="57">
        <v>41821</v>
      </c>
      <c r="O7" s="57">
        <v>41821</v>
      </c>
      <c r="P7" s="57">
        <v>41821</v>
      </c>
      <c r="Q7" s="57">
        <v>41821</v>
      </c>
      <c r="R7" s="57">
        <v>41821</v>
      </c>
      <c r="S7" s="57">
        <v>41821</v>
      </c>
      <c r="T7" s="57">
        <v>41821</v>
      </c>
      <c r="U7" s="57">
        <v>41821</v>
      </c>
      <c r="V7" s="57">
        <v>41821</v>
      </c>
      <c r="W7" s="57">
        <v>41821</v>
      </c>
      <c r="X7" s="57">
        <v>41821</v>
      </c>
      <c r="Y7" s="57">
        <v>41821</v>
      </c>
      <c r="Z7" s="57">
        <v>41821</v>
      </c>
      <c r="AA7" s="57">
        <v>41821</v>
      </c>
      <c r="AB7" s="57">
        <v>41821</v>
      </c>
      <c r="AC7" s="57">
        <v>41821</v>
      </c>
      <c r="AD7" s="57">
        <v>41821</v>
      </c>
      <c r="AE7" s="57">
        <v>41821</v>
      </c>
      <c r="AF7" s="57">
        <v>41821</v>
      </c>
      <c r="AG7" s="57">
        <v>41821</v>
      </c>
      <c r="AH7" s="57">
        <v>41821</v>
      </c>
      <c r="AI7" s="57">
        <v>41821</v>
      </c>
      <c r="AJ7" s="57">
        <v>41821</v>
      </c>
      <c r="AK7" s="57">
        <v>41821</v>
      </c>
      <c r="AL7" s="57">
        <v>41821</v>
      </c>
      <c r="AM7" s="57">
        <v>41821</v>
      </c>
      <c r="AN7" s="57">
        <v>41821</v>
      </c>
      <c r="AO7" s="57">
        <v>41821</v>
      </c>
      <c r="AP7" s="57">
        <v>41821</v>
      </c>
      <c r="AQ7" s="57">
        <v>41821</v>
      </c>
      <c r="AR7" s="57">
        <v>41821</v>
      </c>
      <c r="AS7" s="57">
        <v>41821</v>
      </c>
      <c r="AT7" s="57">
        <v>41821</v>
      </c>
      <c r="AU7" s="57">
        <v>41821</v>
      </c>
      <c r="AV7" s="57">
        <v>41821</v>
      </c>
      <c r="AW7" s="57">
        <v>41821</v>
      </c>
      <c r="AX7" s="57">
        <v>41821</v>
      </c>
      <c r="AY7" s="57">
        <v>41821</v>
      </c>
      <c r="AZ7" s="57">
        <v>41821</v>
      </c>
      <c r="BA7" s="57">
        <v>41821</v>
      </c>
      <c r="BB7" s="57">
        <v>41821</v>
      </c>
      <c r="BC7" s="57">
        <v>41821</v>
      </c>
      <c r="BD7" s="57">
        <v>41821</v>
      </c>
      <c r="BE7" s="57">
        <v>41821</v>
      </c>
      <c r="BF7" s="57">
        <v>41821</v>
      </c>
      <c r="BG7" s="57">
        <v>41821</v>
      </c>
      <c r="BH7" s="57">
        <v>41821</v>
      </c>
      <c r="BI7" s="57">
        <v>41821</v>
      </c>
      <c r="BJ7" s="57">
        <v>41821</v>
      </c>
      <c r="BK7" s="57">
        <v>41821</v>
      </c>
      <c r="BL7" s="57">
        <v>41821</v>
      </c>
      <c r="BM7" s="57">
        <v>41821</v>
      </c>
      <c r="BN7" s="57">
        <v>41821</v>
      </c>
      <c r="BO7" s="57">
        <v>41821</v>
      </c>
      <c r="BP7" s="57">
        <v>41821</v>
      </c>
      <c r="BQ7" s="57">
        <v>41821</v>
      </c>
      <c r="BR7" s="57">
        <v>41821</v>
      </c>
      <c r="BS7" s="57">
        <v>41821</v>
      </c>
      <c r="BT7" s="57">
        <v>41821</v>
      </c>
      <c r="BU7" s="57">
        <v>41821</v>
      </c>
      <c r="BV7" s="57">
        <v>41821</v>
      </c>
      <c r="BW7" s="57">
        <v>41821</v>
      </c>
      <c r="BX7" s="57">
        <v>41821</v>
      </c>
      <c r="BY7" s="57">
        <v>41821</v>
      </c>
      <c r="BZ7" s="57">
        <v>41821</v>
      </c>
      <c r="CA7" s="57">
        <v>41821</v>
      </c>
      <c r="CB7" s="57">
        <v>41821</v>
      </c>
      <c r="CC7" s="57">
        <v>41821</v>
      </c>
      <c r="CD7" s="57">
        <v>41821</v>
      </c>
      <c r="CE7" s="57">
        <v>41821</v>
      </c>
      <c r="CF7" s="57">
        <v>41821</v>
      </c>
      <c r="CG7" s="57">
        <v>41821</v>
      </c>
      <c r="CH7" s="57">
        <v>41821</v>
      </c>
      <c r="CI7" s="57">
        <v>41821</v>
      </c>
      <c r="CJ7" s="57">
        <v>41821</v>
      </c>
      <c r="CK7" s="57">
        <v>41821</v>
      </c>
      <c r="CL7" s="57">
        <v>41821</v>
      </c>
      <c r="CM7" s="57">
        <v>41821</v>
      </c>
      <c r="CN7" s="57">
        <v>41821</v>
      </c>
      <c r="CO7" s="57">
        <v>41821</v>
      </c>
      <c r="CP7" s="57">
        <v>41821</v>
      </c>
      <c r="CQ7" s="57">
        <v>41821</v>
      </c>
      <c r="CR7" s="57">
        <v>41821</v>
      </c>
      <c r="CS7" s="57">
        <v>41821</v>
      </c>
      <c r="CT7" s="57">
        <v>41821</v>
      </c>
      <c r="CU7" s="57">
        <v>41821</v>
      </c>
      <c r="CV7" s="57">
        <v>41821</v>
      </c>
      <c r="CW7" s="57">
        <v>41821</v>
      </c>
      <c r="CX7" s="57">
        <v>41821</v>
      </c>
      <c r="CY7" s="57">
        <v>41821</v>
      </c>
      <c r="CZ7" s="57">
        <v>41821</v>
      </c>
      <c r="DA7" s="57">
        <v>41821</v>
      </c>
      <c r="DB7" s="57">
        <v>41821</v>
      </c>
      <c r="DC7" s="57">
        <v>41821</v>
      </c>
      <c r="DD7" s="57">
        <v>41821</v>
      </c>
      <c r="DE7" s="57">
        <v>41821</v>
      </c>
      <c r="DF7" s="57">
        <v>41821</v>
      </c>
      <c r="DG7" s="57">
        <v>41821</v>
      </c>
      <c r="DH7" s="57">
        <v>41821</v>
      </c>
      <c r="DI7" s="57">
        <v>41821</v>
      </c>
      <c r="DJ7" s="57">
        <v>41821</v>
      </c>
      <c r="DK7" s="57">
        <v>41821</v>
      </c>
      <c r="DL7" s="57">
        <v>41821</v>
      </c>
      <c r="DM7" s="57">
        <v>41821</v>
      </c>
      <c r="DN7" s="57">
        <v>41821</v>
      </c>
      <c r="DO7" s="57">
        <v>41821</v>
      </c>
      <c r="DP7" s="57">
        <v>41821</v>
      </c>
      <c r="DQ7" s="57">
        <v>41821</v>
      </c>
      <c r="DR7" s="57">
        <v>41821</v>
      </c>
      <c r="DS7" s="57">
        <v>41821</v>
      </c>
      <c r="DT7" s="57">
        <v>41821</v>
      </c>
      <c r="DU7" s="57">
        <v>41821</v>
      </c>
      <c r="DV7" s="57">
        <v>41821</v>
      </c>
      <c r="DW7" s="57">
        <v>41821</v>
      </c>
      <c r="DX7" s="57">
        <v>41821</v>
      </c>
      <c r="DY7" s="57">
        <v>41821</v>
      </c>
      <c r="DZ7" s="57">
        <v>41821</v>
      </c>
      <c r="EA7" s="57">
        <v>41821</v>
      </c>
      <c r="EB7" s="57">
        <v>41821</v>
      </c>
      <c r="EC7" s="57">
        <v>41821</v>
      </c>
      <c r="ED7" s="57">
        <v>41821</v>
      </c>
      <c r="EE7" s="57">
        <v>41821</v>
      </c>
      <c r="EF7" s="57">
        <v>41821</v>
      </c>
      <c r="EG7" s="57">
        <v>41821</v>
      </c>
      <c r="EH7" s="57">
        <v>41821</v>
      </c>
      <c r="EI7" s="57">
        <v>41821</v>
      </c>
      <c r="EJ7" s="57">
        <v>41821</v>
      </c>
      <c r="EK7" s="57">
        <v>41821</v>
      </c>
      <c r="EL7" s="57">
        <v>41821</v>
      </c>
      <c r="EM7" s="57">
        <v>41821</v>
      </c>
      <c r="EN7" s="57">
        <v>41821</v>
      </c>
      <c r="EO7" s="57">
        <v>41821</v>
      </c>
      <c r="EP7" s="57">
        <v>41821</v>
      </c>
      <c r="EQ7" s="57">
        <v>41821</v>
      </c>
      <c r="ER7" s="57">
        <v>41821</v>
      </c>
      <c r="ES7" s="57">
        <v>41821</v>
      </c>
      <c r="ET7" s="57">
        <v>41821</v>
      </c>
      <c r="EU7" s="57">
        <v>41821</v>
      </c>
      <c r="EV7" s="57">
        <v>41821</v>
      </c>
      <c r="EW7" s="57">
        <v>41821</v>
      </c>
      <c r="EX7" s="57">
        <v>41821</v>
      </c>
      <c r="EY7" s="57">
        <v>41821</v>
      </c>
      <c r="EZ7" s="57">
        <v>41821</v>
      </c>
      <c r="FA7" s="57">
        <v>41821</v>
      </c>
      <c r="FB7" s="57">
        <v>41821</v>
      </c>
      <c r="FC7" s="57">
        <v>41821</v>
      </c>
      <c r="FD7" s="57">
        <v>41821</v>
      </c>
      <c r="FE7" s="57">
        <v>41821</v>
      </c>
      <c r="FF7" s="57">
        <v>41821</v>
      </c>
      <c r="FG7" s="57">
        <v>41821</v>
      </c>
      <c r="FH7" s="57">
        <v>41821</v>
      </c>
      <c r="FI7" s="57">
        <v>41821</v>
      </c>
      <c r="FJ7" s="57">
        <v>41821</v>
      </c>
      <c r="FK7" s="57">
        <v>41821</v>
      </c>
      <c r="FL7" s="57">
        <v>41821</v>
      </c>
      <c r="FM7" s="57">
        <v>41821</v>
      </c>
      <c r="FN7" s="57">
        <v>41821</v>
      </c>
      <c r="FO7" s="57">
        <v>41821</v>
      </c>
      <c r="FP7" s="57">
        <v>41821</v>
      </c>
      <c r="FQ7" s="57">
        <v>41821</v>
      </c>
      <c r="FR7" s="57">
        <v>41821</v>
      </c>
      <c r="FS7" s="57">
        <v>41821</v>
      </c>
      <c r="FT7" s="57">
        <v>41821</v>
      </c>
      <c r="FU7" s="57">
        <v>41821</v>
      </c>
      <c r="FV7" s="57">
        <v>41821</v>
      </c>
      <c r="FW7" s="57">
        <v>41821</v>
      </c>
      <c r="FX7" s="57">
        <v>41821</v>
      </c>
      <c r="FY7" s="57">
        <v>41821</v>
      </c>
      <c r="FZ7" s="57">
        <v>41821</v>
      </c>
      <c r="GA7" s="57">
        <v>41821</v>
      </c>
      <c r="GB7" s="57">
        <v>41821</v>
      </c>
      <c r="GC7" s="57">
        <v>41821</v>
      </c>
      <c r="GD7" s="57">
        <v>41821</v>
      </c>
      <c r="GE7" s="57">
        <v>41821</v>
      </c>
      <c r="GF7" s="57">
        <v>41821</v>
      </c>
      <c r="GG7" s="57">
        <v>41821</v>
      </c>
      <c r="GH7" s="57">
        <v>41821</v>
      </c>
      <c r="GI7" s="57">
        <v>41821</v>
      </c>
      <c r="GJ7" s="57">
        <v>41821</v>
      </c>
      <c r="GK7" s="57">
        <v>41821</v>
      </c>
      <c r="GL7" s="57">
        <v>41821</v>
      </c>
      <c r="GM7" s="57">
        <v>41821</v>
      </c>
      <c r="GN7" s="57">
        <v>41821</v>
      </c>
      <c r="GO7" s="57">
        <v>41821</v>
      </c>
      <c r="GP7" s="57">
        <v>41821</v>
      </c>
      <c r="GQ7" s="57">
        <v>41821</v>
      </c>
      <c r="GR7" s="57">
        <v>41821</v>
      </c>
      <c r="GS7" s="57">
        <v>41821</v>
      </c>
      <c r="GT7" s="57">
        <v>41821</v>
      </c>
      <c r="GU7" s="57">
        <v>41821</v>
      </c>
      <c r="GV7" s="57">
        <v>41821</v>
      </c>
      <c r="GW7" s="57">
        <v>41821</v>
      </c>
      <c r="GX7" s="57">
        <v>41821</v>
      </c>
      <c r="GY7" s="57">
        <v>41821</v>
      </c>
      <c r="GZ7" s="57">
        <v>41821</v>
      </c>
      <c r="HA7" s="57">
        <v>41821</v>
      </c>
      <c r="HB7" s="57">
        <v>41821</v>
      </c>
      <c r="HC7" s="57">
        <v>41821</v>
      </c>
      <c r="HD7" s="57">
        <v>41821</v>
      </c>
      <c r="HE7" s="57">
        <v>41821</v>
      </c>
      <c r="HF7" s="57">
        <v>41821</v>
      </c>
      <c r="HG7" s="57">
        <v>41821</v>
      </c>
      <c r="HH7" s="57">
        <v>41821</v>
      </c>
      <c r="HI7" s="57">
        <v>41821</v>
      </c>
      <c r="HJ7" s="57">
        <v>41821</v>
      </c>
      <c r="HK7" s="57">
        <v>41821</v>
      </c>
      <c r="HL7" s="57">
        <v>41821</v>
      </c>
      <c r="HM7" s="57">
        <v>41821</v>
      </c>
      <c r="HN7" s="57">
        <v>41821</v>
      </c>
      <c r="HO7" s="57">
        <v>41821</v>
      </c>
      <c r="HP7" s="57">
        <v>41821</v>
      </c>
      <c r="HQ7" s="57">
        <v>41821</v>
      </c>
      <c r="HR7" s="57">
        <v>41821</v>
      </c>
      <c r="HS7" s="57">
        <v>41821</v>
      </c>
      <c r="HT7" s="57">
        <v>41821</v>
      </c>
      <c r="HU7" s="57">
        <v>41821</v>
      </c>
      <c r="HV7" s="57">
        <v>41821</v>
      </c>
      <c r="HW7" s="57">
        <v>41821</v>
      </c>
      <c r="HX7" s="57">
        <v>41821</v>
      </c>
      <c r="HY7" s="57">
        <v>41821</v>
      </c>
      <c r="HZ7" s="57">
        <v>41821</v>
      </c>
      <c r="IA7" s="57">
        <v>41821</v>
      </c>
      <c r="IB7" s="57">
        <v>41821</v>
      </c>
      <c r="IC7" s="57">
        <v>41821</v>
      </c>
      <c r="ID7" s="57">
        <v>41821</v>
      </c>
      <c r="IE7" s="57">
        <v>41821</v>
      </c>
      <c r="IF7" s="57">
        <v>41821</v>
      </c>
      <c r="IG7" s="57">
        <v>41821</v>
      </c>
      <c r="IH7" s="57">
        <v>41821</v>
      </c>
      <c r="II7" s="57">
        <v>41821</v>
      </c>
      <c r="IJ7" s="57">
        <v>41821</v>
      </c>
      <c r="IK7" s="57">
        <v>41821</v>
      </c>
      <c r="IL7" s="57">
        <v>41821</v>
      </c>
      <c r="IM7" s="57">
        <v>41821</v>
      </c>
      <c r="IN7" s="57">
        <v>41821</v>
      </c>
      <c r="IO7" s="57">
        <v>41821</v>
      </c>
      <c r="IP7" s="57">
        <v>41821</v>
      </c>
      <c r="IQ7" s="57">
        <v>41821</v>
      </c>
    </row>
    <row r="8" spans="1:251" s="57" customFormat="1">
      <c r="A8" s="56" t="s">
        <v>256</v>
      </c>
      <c r="B8" s="57">
        <v>44593</v>
      </c>
      <c r="C8" s="57">
        <v>44593</v>
      </c>
      <c r="D8" s="57">
        <v>44593</v>
      </c>
      <c r="E8" s="57">
        <v>44593</v>
      </c>
      <c r="F8" s="57">
        <v>44593</v>
      </c>
      <c r="G8" s="57">
        <v>44593</v>
      </c>
      <c r="H8" s="57">
        <v>44593</v>
      </c>
      <c r="I8" s="57">
        <v>44593</v>
      </c>
      <c r="J8" s="57">
        <v>44593</v>
      </c>
      <c r="K8" s="57">
        <v>44593</v>
      </c>
      <c r="L8" s="57">
        <v>44593</v>
      </c>
      <c r="M8" s="57">
        <v>44593</v>
      </c>
      <c r="N8" s="57">
        <v>44593</v>
      </c>
      <c r="O8" s="57">
        <v>44593</v>
      </c>
      <c r="P8" s="57">
        <v>44593</v>
      </c>
      <c r="Q8" s="57">
        <v>44593</v>
      </c>
      <c r="R8" s="57">
        <v>44593</v>
      </c>
      <c r="S8" s="57">
        <v>44593</v>
      </c>
      <c r="T8" s="57">
        <v>44593</v>
      </c>
      <c r="U8" s="57">
        <v>44593</v>
      </c>
      <c r="V8" s="57">
        <v>44593</v>
      </c>
      <c r="W8" s="57">
        <v>44593</v>
      </c>
      <c r="X8" s="57">
        <v>44593</v>
      </c>
      <c r="Y8" s="57">
        <v>44593</v>
      </c>
      <c r="Z8" s="57">
        <v>44593</v>
      </c>
      <c r="AA8" s="57">
        <v>44593</v>
      </c>
      <c r="AB8" s="57">
        <v>44593</v>
      </c>
      <c r="AC8" s="57">
        <v>44593</v>
      </c>
      <c r="AD8" s="57">
        <v>44593</v>
      </c>
      <c r="AE8" s="57">
        <v>44593</v>
      </c>
      <c r="AF8" s="57">
        <v>44593</v>
      </c>
      <c r="AG8" s="57">
        <v>44593</v>
      </c>
      <c r="AH8" s="57">
        <v>44593</v>
      </c>
      <c r="AI8" s="57">
        <v>44593</v>
      </c>
      <c r="AJ8" s="57">
        <v>44593</v>
      </c>
      <c r="AK8" s="57">
        <v>44593</v>
      </c>
      <c r="AL8" s="57">
        <v>44593</v>
      </c>
      <c r="AM8" s="57">
        <v>44593</v>
      </c>
      <c r="AN8" s="57">
        <v>44593</v>
      </c>
      <c r="AO8" s="57">
        <v>44593</v>
      </c>
      <c r="AP8" s="57">
        <v>44593</v>
      </c>
      <c r="AQ8" s="57">
        <v>44593</v>
      </c>
      <c r="AR8" s="57">
        <v>44593</v>
      </c>
      <c r="AS8" s="57">
        <v>44593</v>
      </c>
      <c r="AT8" s="57">
        <v>44593</v>
      </c>
      <c r="AU8" s="57">
        <v>44593</v>
      </c>
      <c r="AV8" s="57">
        <v>44593</v>
      </c>
      <c r="AW8" s="57">
        <v>44593</v>
      </c>
      <c r="AX8" s="57">
        <v>44593</v>
      </c>
      <c r="AY8" s="57">
        <v>44593</v>
      </c>
      <c r="AZ8" s="57">
        <v>44593</v>
      </c>
      <c r="BA8" s="57">
        <v>44593</v>
      </c>
      <c r="BB8" s="57">
        <v>44593</v>
      </c>
      <c r="BC8" s="57">
        <v>44593</v>
      </c>
      <c r="BD8" s="57">
        <v>44593</v>
      </c>
      <c r="BE8" s="57">
        <v>44593</v>
      </c>
      <c r="BF8" s="57">
        <v>44593</v>
      </c>
      <c r="BG8" s="57">
        <v>44593</v>
      </c>
      <c r="BH8" s="57">
        <v>44593</v>
      </c>
      <c r="BI8" s="57">
        <v>44593</v>
      </c>
      <c r="BJ8" s="57">
        <v>44593</v>
      </c>
      <c r="BK8" s="57">
        <v>44593</v>
      </c>
      <c r="BL8" s="57">
        <v>44593</v>
      </c>
      <c r="BM8" s="57">
        <v>44593</v>
      </c>
      <c r="BN8" s="57">
        <v>44593</v>
      </c>
      <c r="BO8" s="57">
        <v>44593</v>
      </c>
      <c r="BP8" s="57">
        <v>44593</v>
      </c>
      <c r="BQ8" s="57">
        <v>44593</v>
      </c>
      <c r="BR8" s="57">
        <v>44593</v>
      </c>
      <c r="BS8" s="57">
        <v>44593</v>
      </c>
      <c r="BT8" s="57">
        <v>44593</v>
      </c>
      <c r="BU8" s="57">
        <v>44593</v>
      </c>
      <c r="BV8" s="57">
        <v>44593</v>
      </c>
      <c r="BW8" s="57">
        <v>44593</v>
      </c>
      <c r="BX8" s="57">
        <v>44593</v>
      </c>
      <c r="BY8" s="57">
        <v>44593</v>
      </c>
      <c r="BZ8" s="57">
        <v>44593</v>
      </c>
      <c r="CA8" s="57">
        <v>44593</v>
      </c>
      <c r="CB8" s="57">
        <v>44593</v>
      </c>
      <c r="CC8" s="57">
        <v>44593</v>
      </c>
      <c r="CD8" s="57">
        <v>44593</v>
      </c>
      <c r="CE8" s="57">
        <v>44593</v>
      </c>
      <c r="CF8" s="57">
        <v>44593</v>
      </c>
      <c r="CG8" s="57">
        <v>44593</v>
      </c>
      <c r="CH8" s="57">
        <v>44593</v>
      </c>
      <c r="CI8" s="57">
        <v>44593</v>
      </c>
      <c r="CJ8" s="57">
        <v>44593</v>
      </c>
      <c r="CK8" s="57">
        <v>44593</v>
      </c>
      <c r="CL8" s="57">
        <v>44593</v>
      </c>
      <c r="CM8" s="57">
        <v>44593</v>
      </c>
      <c r="CN8" s="57">
        <v>44593</v>
      </c>
      <c r="CO8" s="57">
        <v>44593</v>
      </c>
      <c r="CP8" s="57">
        <v>44593</v>
      </c>
      <c r="CQ8" s="57">
        <v>44593</v>
      </c>
      <c r="CR8" s="57">
        <v>44593</v>
      </c>
      <c r="CS8" s="57">
        <v>44593</v>
      </c>
      <c r="CT8" s="57">
        <v>44593</v>
      </c>
      <c r="CU8" s="57">
        <v>44593</v>
      </c>
      <c r="CV8" s="57">
        <v>44593</v>
      </c>
      <c r="CW8" s="57">
        <v>44593</v>
      </c>
      <c r="CX8" s="57">
        <v>44593</v>
      </c>
      <c r="CY8" s="57">
        <v>44593</v>
      </c>
      <c r="CZ8" s="57">
        <v>44593</v>
      </c>
      <c r="DA8" s="57">
        <v>44593</v>
      </c>
      <c r="DB8" s="57">
        <v>44593</v>
      </c>
      <c r="DC8" s="57">
        <v>44593</v>
      </c>
      <c r="DD8" s="57">
        <v>44593</v>
      </c>
      <c r="DE8" s="57">
        <v>44593</v>
      </c>
      <c r="DF8" s="57">
        <v>44593</v>
      </c>
      <c r="DG8" s="57">
        <v>44593</v>
      </c>
      <c r="DH8" s="57">
        <v>44593</v>
      </c>
      <c r="DI8" s="57">
        <v>44593</v>
      </c>
      <c r="DJ8" s="57">
        <v>44593</v>
      </c>
      <c r="DK8" s="57">
        <v>44593</v>
      </c>
      <c r="DL8" s="57">
        <v>44593</v>
      </c>
      <c r="DM8" s="57">
        <v>44593</v>
      </c>
      <c r="DN8" s="57">
        <v>44593</v>
      </c>
      <c r="DO8" s="57">
        <v>44593</v>
      </c>
      <c r="DP8" s="57">
        <v>44593</v>
      </c>
      <c r="DQ8" s="57">
        <v>44593</v>
      </c>
      <c r="DR8" s="57">
        <v>44593</v>
      </c>
      <c r="DS8" s="57">
        <v>44593</v>
      </c>
      <c r="DT8" s="57">
        <v>44593</v>
      </c>
      <c r="DU8" s="57">
        <v>44593</v>
      </c>
      <c r="DV8" s="57">
        <v>44593</v>
      </c>
      <c r="DW8" s="57">
        <v>44593</v>
      </c>
      <c r="DX8" s="57">
        <v>44593</v>
      </c>
      <c r="DY8" s="57">
        <v>44593</v>
      </c>
      <c r="DZ8" s="57">
        <v>44593</v>
      </c>
      <c r="EA8" s="57">
        <v>44593</v>
      </c>
      <c r="EB8" s="57">
        <v>44593</v>
      </c>
      <c r="EC8" s="57">
        <v>44593</v>
      </c>
      <c r="ED8" s="57">
        <v>44593</v>
      </c>
      <c r="EE8" s="57">
        <v>44593</v>
      </c>
      <c r="EF8" s="57">
        <v>44593</v>
      </c>
      <c r="EG8" s="57">
        <v>44593</v>
      </c>
      <c r="EH8" s="57">
        <v>44593</v>
      </c>
      <c r="EI8" s="57">
        <v>44593</v>
      </c>
      <c r="EJ8" s="57">
        <v>44593</v>
      </c>
      <c r="EK8" s="57">
        <v>44593</v>
      </c>
      <c r="EL8" s="57">
        <v>44593</v>
      </c>
      <c r="EM8" s="57">
        <v>44593</v>
      </c>
      <c r="EN8" s="57">
        <v>44593</v>
      </c>
      <c r="EO8" s="57">
        <v>44593</v>
      </c>
      <c r="EP8" s="57">
        <v>44593</v>
      </c>
      <c r="EQ8" s="57">
        <v>44593</v>
      </c>
      <c r="ER8" s="57">
        <v>44593</v>
      </c>
      <c r="ES8" s="57">
        <v>44593</v>
      </c>
      <c r="ET8" s="57">
        <v>44593</v>
      </c>
      <c r="EU8" s="57">
        <v>44593</v>
      </c>
      <c r="EV8" s="57">
        <v>44593</v>
      </c>
      <c r="EW8" s="57">
        <v>44593</v>
      </c>
      <c r="EX8" s="57">
        <v>44593</v>
      </c>
      <c r="EY8" s="57">
        <v>44593</v>
      </c>
      <c r="EZ8" s="57">
        <v>44593</v>
      </c>
      <c r="FA8" s="57">
        <v>44593</v>
      </c>
      <c r="FB8" s="57">
        <v>44593</v>
      </c>
      <c r="FC8" s="57">
        <v>44593</v>
      </c>
      <c r="FD8" s="57">
        <v>44593</v>
      </c>
      <c r="FE8" s="57">
        <v>44593</v>
      </c>
      <c r="FF8" s="57">
        <v>44593</v>
      </c>
      <c r="FG8" s="57">
        <v>44593</v>
      </c>
      <c r="FH8" s="57">
        <v>44593</v>
      </c>
      <c r="FI8" s="57">
        <v>44593</v>
      </c>
      <c r="FJ8" s="57">
        <v>44593</v>
      </c>
      <c r="FK8" s="57">
        <v>44593</v>
      </c>
      <c r="FL8" s="57">
        <v>44593</v>
      </c>
      <c r="FM8" s="57">
        <v>44593</v>
      </c>
      <c r="FN8" s="57">
        <v>44593</v>
      </c>
      <c r="FO8" s="57">
        <v>44593</v>
      </c>
      <c r="FP8" s="57">
        <v>44593</v>
      </c>
      <c r="FQ8" s="57">
        <v>44593</v>
      </c>
      <c r="FR8" s="57">
        <v>44593</v>
      </c>
      <c r="FS8" s="57">
        <v>44593</v>
      </c>
      <c r="FT8" s="57">
        <v>44593</v>
      </c>
      <c r="FU8" s="57">
        <v>44593</v>
      </c>
      <c r="FV8" s="57">
        <v>44593</v>
      </c>
      <c r="FW8" s="57">
        <v>44593</v>
      </c>
      <c r="FX8" s="57">
        <v>44593</v>
      </c>
      <c r="FY8" s="57">
        <v>44593</v>
      </c>
      <c r="FZ8" s="57">
        <v>44593</v>
      </c>
      <c r="GA8" s="57">
        <v>44593</v>
      </c>
      <c r="GB8" s="57">
        <v>44593</v>
      </c>
      <c r="GC8" s="57">
        <v>44593</v>
      </c>
      <c r="GD8" s="57">
        <v>44593</v>
      </c>
      <c r="GE8" s="57">
        <v>44593</v>
      </c>
      <c r="GF8" s="57">
        <v>44593</v>
      </c>
      <c r="GG8" s="57">
        <v>44593</v>
      </c>
      <c r="GH8" s="57">
        <v>44593</v>
      </c>
      <c r="GI8" s="57">
        <v>44593</v>
      </c>
      <c r="GJ8" s="57">
        <v>44593</v>
      </c>
      <c r="GK8" s="57">
        <v>44593</v>
      </c>
      <c r="GL8" s="57">
        <v>44593</v>
      </c>
      <c r="GM8" s="57">
        <v>44593</v>
      </c>
      <c r="GN8" s="57">
        <v>44593</v>
      </c>
      <c r="GO8" s="57">
        <v>44593</v>
      </c>
      <c r="GP8" s="57">
        <v>44593</v>
      </c>
      <c r="GQ8" s="57">
        <v>44593</v>
      </c>
      <c r="GR8" s="57">
        <v>44593</v>
      </c>
      <c r="GS8" s="57">
        <v>44593</v>
      </c>
      <c r="GT8" s="57">
        <v>44593</v>
      </c>
      <c r="GU8" s="57">
        <v>44593</v>
      </c>
      <c r="GV8" s="57">
        <v>44593</v>
      </c>
      <c r="GW8" s="57">
        <v>44593</v>
      </c>
      <c r="GX8" s="57">
        <v>44593</v>
      </c>
      <c r="GY8" s="57">
        <v>44593</v>
      </c>
      <c r="GZ8" s="57">
        <v>44593</v>
      </c>
      <c r="HA8" s="57">
        <v>44593</v>
      </c>
      <c r="HB8" s="57">
        <v>44593</v>
      </c>
      <c r="HC8" s="57">
        <v>44593</v>
      </c>
      <c r="HD8" s="57">
        <v>44593</v>
      </c>
      <c r="HE8" s="57">
        <v>44593</v>
      </c>
      <c r="HF8" s="57">
        <v>44593</v>
      </c>
      <c r="HG8" s="57">
        <v>44593</v>
      </c>
      <c r="HH8" s="57">
        <v>44593</v>
      </c>
      <c r="HI8" s="57">
        <v>44593</v>
      </c>
      <c r="HJ8" s="57">
        <v>44593</v>
      </c>
      <c r="HK8" s="57">
        <v>44593</v>
      </c>
      <c r="HL8" s="57">
        <v>44593</v>
      </c>
      <c r="HM8" s="57">
        <v>44593</v>
      </c>
      <c r="HN8" s="57">
        <v>44593</v>
      </c>
      <c r="HO8" s="57">
        <v>44593</v>
      </c>
      <c r="HP8" s="57">
        <v>44593</v>
      </c>
      <c r="HQ8" s="57">
        <v>44593</v>
      </c>
      <c r="HR8" s="57">
        <v>44593</v>
      </c>
      <c r="HS8" s="57">
        <v>44593</v>
      </c>
      <c r="HT8" s="57">
        <v>44593</v>
      </c>
      <c r="HU8" s="57">
        <v>44593</v>
      </c>
      <c r="HV8" s="57">
        <v>44593</v>
      </c>
      <c r="HW8" s="57">
        <v>44593</v>
      </c>
      <c r="HX8" s="57">
        <v>44593</v>
      </c>
      <c r="HY8" s="57">
        <v>44593</v>
      </c>
      <c r="HZ8" s="57">
        <v>44593</v>
      </c>
      <c r="IA8" s="57">
        <v>44593</v>
      </c>
      <c r="IB8" s="57">
        <v>44593</v>
      </c>
      <c r="IC8" s="57">
        <v>44593</v>
      </c>
      <c r="ID8" s="57">
        <v>44593</v>
      </c>
      <c r="IE8" s="57">
        <v>44593</v>
      </c>
      <c r="IF8" s="57">
        <v>44593</v>
      </c>
      <c r="IG8" s="57">
        <v>44593</v>
      </c>
      <c r="IH8" s="57">
        <v>44593</v>
      </c>
      <c r="II8" s="57">
        <v>44593</v>
      </c>
      <c r="IJ8" s="57">
        <v>44593</v>
      </c>
      <c r="IK8" s="57">
        <v>44593</v>
      </c>
      <c r="IL8" s="57">
        <v>44593</v>
      </c>
      <c r="IM8" s="57">
        <v>44593</v>
      </c>
      <c r="IN8" s="57">
        <v>44593</v>
      </c>
      <c r="IO8" s="57">
        <v>44593</v>
      </c>
      <c r="IP8" s="57">
        <v>44593</v>
      </c>
      <c r="IQ8" s="57">
        <v>44593</v>
      </c>
    </row>
    <row r="9" spans="1:251">
      <c r="A9" s="54" t="s">
        <v>257</v>
      </c>
      <c r="B9" s="55">
        <v>92</v>
      </c>
      <c r="C9" s="55">
        <v>92</v>
      </c>
      <c r="D9" s="55">
        <v>92</v>
      </c>
      <c r="E9" s="55">
        <v>92</v>
      </c>
      <c r="F9" s="55">
        <v>92</v>
      </c>
      <c r="G9" s="55">
        <v>92</v>
      </c>
      <c r="H9" s="55">
        <v>92</v>
      </c>
      <c r="I9" s="55">
        <v>92</v>
      </c>
      <c r="J9" s="55">
        <v>92</v>
      </c>
      <c r="K9" s="55">
        <v>92</v>
      </c>
      <c r="L9" s="55">
        <v>92</v>
      </c>
      <c r="M9" s="55">
        <v>92</v>
      </c>
      <c r="N9" s="55">
        <v>92</v>
      </c>
      <c r="O9" s="55">
        <v>92</v>
      </c>
      <c r="P9" s="55">
        <v>92</v>
      </c>
      <c r="Q9" s="55">
        <v>92</v>
      </c>
      <c r="R9" s="55">
        <v>92</v>
      </c>
      <c r="S9" s="55">
        <v>92</v>
      </c>
      <c r="T9" s="55">
        <v>92</v>
      </c>
      <c r="U9" s="55">
        <v>92</v>
      </c>
      <c r="V9" s="55">
        <v>92</v>
      </c>
      <c r="W9" s="55">
        <v>92</v>
      </c>
      <c r="X9" s="55">
        <v>92</v>
      </c>
      <c r="Y9" s="55">
        <v>92</v>
      </c>
      <c r="Z9" s="55">
        <v>92</v>
      </c>
      <c r="AA9" s="55">
        <v>92</v>
      </c>
      <c r="AB9" s="55">
        <v>92</v>
      </c>
      <c r="AC9" s="55">
        <v>92</v>
      </c>
      <c r="AD9" s="55">
        <v>92</v>
      </c>
      <c r="AE9" s="55">
        <v>92</v>
      </c>
      <c r="AF9" s="55">
        <v>92</v>
      </c>
      <c r="AG9" s="55">
        <v>92</v>
      </c>
      <c r="AH9" s="55">
        <v>92</v>
      </c>
      <c r="AI9" s="55">
        <v>92</v>
      </c>
      <c r="AJ9" s="55">
        <v>92</v>
      </c>
      <c r="AK9" s="55">
        <v>92</v>
      </c>
      <c r="AL9" s="55">
        <v>92</v>
      </c>
      <c r="AM9" s="55">
        <v>92</v>
      </c>
      <c r="AN9" s="55">
        <v>92</v>
      </c>
      <c r="AO9" s="55">
        <v>92</v>
      </c>
      <c r="AP9" s="55">
        <v>92</v>
      </c>
      <c r="AQ9" s="55">
        <v>92</v>
      </c>
      <c r="AR9" s="55">
        <v>92</v>
      </c>
      <c r="AS9" s="55">
        <v>92</v>
      </c>
      <c r="AT9" s="55">
        <v>92</v>
      </c>
      <c r="AU9" s="55">
        <v>92</v>
      </c>
      <c r="AV9" s="55">
        <v>92</v>
      </c>
      <c r="AW9" s="55">
        <v>92</v>
      </c>
      <c r="AX9" s="55">
        <v>92</v>
      </c>
      <c r="AY9" s="55">
        <v>92</v>
      </c>
      <c r="AZ9" s="55">
        <v>92</v>
      </c>
      <c r="BA9" s="55">
        <v>92</v>
      </c>
      <c r="BB9" s="55">
        <v>92</v>
      </c>
      <c r="BC9" s="55">
        <v>92</v>
      </c>
      <c r="BD9" s="55">
        <v>92</v>
      </c>
      <c r="BE9" s="55">
        <v>92</v>
      </c>
      <c r="BF9" s="55">
        <v>92</v>
      </c>
      <c r="BG9" s="55">
        <v>92</v>
      </c>
      <c r="BH9" s="55">
        <v>92</v>
      </c>
      <c r="BI9" s="55">
        <v>92</v>
      </c>
      <c r="BJ9" s="55">
        <v>92</v>
      </c>
      <c r="BK9" s="55">
        <v>92</v>
      </c>
      <c r="BL9" s="55">
        <v>92</v>
      </c>
      <c r="BM9" s="55">
        <v>92</v>
      </c>
      <c r="BN9" s="55">
        <v>92</v>
      </c>
      <c r="BO9" s="55">
        <v>92</v>
      </c>
      <c r="BP9" s="55">
        <v>92</v>
      </c>
      <c r="BQ9" s="55">
        <v>92</v>
      </c>
      <c r="BR9" s="55">
        <v>92</v>
      </c>
      <c r="BS9" s="55">
        <v>92</v>
      </c>
      <c r="BT9" s="55">
        <v>92</v>
      </c>
      <c r="BU9" s="55">
        <v>92</v>
      </c>
      <c r="BV9" s="55">
        <v>92</v>
      </c>
      <c r="BW9" s="55">
        <v>92</v>
      </c>
      <c r="BX9" s="55">
        <v>92</v>
      </c>
      <c r="BY9" s="55">
        <v>92</v>
      </c>
      <c r="BZ9" s="55">
        <v>92</v>
      </c>
      <c r="CA9" s="55">
        <v>92</v>
      </c>
      <c r="CB9" s="55">
        <v>92</v>
      </c>
      <c r="CC9" s="55">
        <v>92</v>
      </c>
      <c r="CD9" s="55">
        <v>92</v>
      </c>
      <c r="CE9" s="55">
        <v>92</v>
      </c>
      <c r="CF9" s="55">
        <v>92</v>
      </c>
      <c r="CG9" s="55">
        <v>92</v>
      </c>
      <c r="CH9" s="55">
        <v>92</v>
      </c>
      <c r="CI9" s="55">
        <v>92</v>
      </c>
      <c r="CJ9" s="55">
        <v>92</v>
      </c>
      <c r="CK9" s="55">
        <v>92</v>
      </c>
      <c r="CL9" s="55">
        <v>92</v>
      </c>
      <c r="CM9" s="55">
        <v>92</v>
      </c>
      <c r="CN9" s="55">
        <v>92</v>
      </c>
      <c r="CO9" s="55">
        <v>92</v>
      </c>
      <c r="CP9" s="55">
        <v>92</v>
      </c>
      <c r="CQ9" s="55">
        <v>92</v>
      </c>
      <c r="CR9" s="55">
        <v>92</v>
      </c>
      <c r="CS9" s="55">
        <v>92</v>
      </c>
      <c r="CT9" s="55">
        <v>92</v>
      </c>
      <c r="CU9" s="55">
        <v>92</v>
      </c>
      <c r="CV9" s="55">
        <v>92</v>
      </c>
      <c r="CW9" s="55">
        <v>92</v>
      </c>
      <c r="CX9" s="55">
        <v>92</v>
      </c>
      <c r="CY9" s="55">
        <v>92</v>
      </c>
      <c r="CZ9" s="55">
        <v>92</v>
      </c>
      <c r="DA9" s="55">
        <v>92</v>
      </c>
      <c r="DB9" s="55">
        <v>92</v>
      </c>
      <c r="DC9" s="55">
        <v>92</v>
      </c>
      <c r="DD9" s="55">
        <v>92</v>
      </c>
      <c r="DE9" s="55">
        <v>92</v>
      </c>
      <c r="DF9" s="55">
        <v>92</v>
      </c>
      <c r="DG9" s="55">
        <v>92</v>
      </c>
      <c r="DH9" s="55">
        <v>92</v>
      </c>
      <c r="DI9" s="55">
        <v>92</v>
      </c>
      <c r="DJ9" s="55">
        <v>92</v>
      </c>
      <c r="DK9" s="55">
        <v>92</v>
      </c>
      <c r="DL9" s="55">
        <v>92</v>
      </c>
      <c r="DM9" s="55">
        <v>92</v>
      </c>
      <c r="DN9" s="55">
        <v>92</v>
      </c>
      <c r="DO9" s="55">
        <v>92</v>
      </c>
      <c r="DP9" s="55">
        <v>92</v>
      </c>
      <c r="DQ9" s="55">
        <v>92</v>
      </c>
      <c r="DR9" s="55">
        <v>92</v>
      </c>
      <c r="DS9" s="55">
        <v>92</v>
      </c>
      <c r="DT9" s="55">
        <v>92</v>
      </c>
      <c r="DU9" s="55">
        <v>92</v>
      </c>
      <c r="DV9" s="55">
        <v>92</v>
      </c>
      <c r="DW9" s="55">
        <v>92</v>
      </c>
      <c r="DX9" s="55">
        <v>92</v>
      </c>
      <c r="DY9" s="55">
        <v>92</v>
      </c>
      <c r="DZ9" s="55">
        <v>92</v>
      </c>
      <c r="EA9" s="55">
        <v>92</v>
      </c>
      <c r="EB9" s="55">
        <v>92</v>
      </c>
      <c r="EC9" s="55">
        <v>92</v>
      </c>
      <c r="ED9" s="55">
        <v>92</v>
      </c>
      <c r="EE9" s="55">
        <v>92</v>
      </c>
      <c r="EF9" s="55">
        <v>92</v>
      </c>
      <c r="EG9" s="55">
        <v>92</v>
      </c>
      <c r="EH9" s="55">
        <v>92</v>
      </c>
      <c r="EI9" s="55">
        <v>92</v>
      </c>
      <c r="EJ9" s="55">
        <v>92</v>
      </c>
      <c r="EK9" s="55">
        <v>92</v>
      </c>
      <c r="EL9" s="55">
        <v>92</v>
      </c>
      <c r="EM9" s="55">
        <v>92</v>
      </c>
      <c r="EN9" s="55">
        <v>92</v>
      </c>
      <c r="EO9" s="55">
        <v>92</v>
      </c>
      <c r="EP9" s="55">
        <v>92</v>
      </c>
      <c r="EQ9" s="55">
        <v>92</v>
      </c>
      <c r="ER9" s="55">
        <v>92</v>
      </c>
      <c r="ES9" s="55">
        <v>92</v>
      </c>
      <c r="ET9" s="55">
        <v>92</v>
      </c>
      <c r="EU9" s="55">
        <v>92</v>
      </c>
      <c r="EV9" s="55">
        <v>92</v>
      </c>
      <c r="EW9" s="55">
        <v>92</v>
      </c>
      <c r="EX9" s="55">
        <v>92</v>
      </c>
      <c r="EY9" s="55">
        <v>92</v>
      </c>
      <c r="EZ9" s="55">
        <v>92</v>
      </c>
      <c r="FA9" s="55">
        <v>92</v>
      </c>
      <c r="FB9" s="55">
        <v>92</v>
      </c>
      <c r="FC9" s="55">
        <v>92</v>
      </c>
      <c r="FD9" s="55">
        <v>92</v>
      </c>
      <c r="FE9" s="55">
        <v>92</v>
      </c>
      <c r="FF9" s="55">
        <v>92</v>
      </c>
      <c r="FG9" s="55">
        <v>92</v>
      </c>
      <c r="FH9" s="55">
        <v>92</v>
      </c>
      <c r="FI9" s="55">
        <v>92</v>
      </c>
      <c r="FJ9" s="55">
        <v>92</v>
      </c>
      <c r="FK9" s="55">
        <v>92</v>
      </c>
      <c r="FL9" s="55">
        <v>92</v>
      </c>
      <c r="FM9" s="55">
        <v>92</v>
      </c>
      <c r="FN9" s="55">
        <v>92</v>
      </c>
      <c r="FO9" s="55">
        <v>92</v>
      </c>
      <c r="FP9" s="55">
        <v>92</v>
      </c>
      <c r="FQ9" s="55">
        <v>92</v>
      </c>
      <c r="FR9" s="55">
        <v>92</v>
      </c>
      <c r="FS9" s="55">
        <v>92</v>
      </c>
      <c r="FT9" s="55">
        <v>92</v>
      </c>
      <c r="FU9" s="55">
        <v>92</v>
      </c>
      <c r="FV9" s="55">
        <v>92</v>
      </c>
      <c r="FW9" s="55">
        <v>92</v>
      </c>
      <c r="FX9" s="55">
        <v>92</v>
      </c>
      <c r="FY9" s="55">
        <v>92</v>
      </c>
      <c r="FZ9" s="55">
        <v>92</v>
      </c>
      <c r="GA9" s="55">
        <v>92</v>
      </c>
      <c r="GB9" s="55">
        <v>92</v>
      </c>
      <c r="GC9" s="55">
        <v>92</v>
      </c>
      <c r="GD9" s="55">
        <v>92</v>
      </c>
      <c r="GE9" s="55">
        <v>92</v>
      </c>
      <c r="GF9" s="55">
        <v>92</v>
      </c>
      <c r="GG9" s="55">
        <v>92</v>
      </c>
      <c r="GH9" s="55">
        <v>92</v>
      </c>
      <c r="GI9" s="55">
        <v>92</v>
      </c>
      <c r="GJ9" s="55">
        <v>92</v>
      </c>
      <c r="GK9" s="55">
        <v>92</v>
      </c>
      <c r="GL9" s="55">
        <v>92</v>
      </c>
      <c r="GM9" s="55">
        <v>92</v>
      </c>
      <c r="GN9" s="55">
        <v>92</v>
      </c>
      <c r="GO9" s="55">
        <v>92</v>
      </c>
      <c r="GP9" s="55">
        <v>92</v>
      </c>
      <c r="GQ9" s="55">
        <v>92</v>
      </c>
      <c r="GR9" s="55">
        <v>92</v>
      </c>
      <c r="GS9" s="55">
        <v>92</v>
      </c>
      <c r="GT9" s="55">
        <v>92</v>
      </c>
      <c r="GU9" s="55">
        <v>92</v>
      </c>
      <c r="GV9" s="55">
        <v>92</v>
      </c>
      <c r="GW9" s="55">
        <v>92</v>
      </c>
      <c r="GX9" s="55">
        <v>92</v>
      </c>
      <c r="GY9" s="55">
        <v>92</v>
      </c>
      <c r="GZ9" s="55">
        <v>92</v>
      </c>
      <c r="HA9" s="55">
        <v>92</v>
      </c>
      <c r="HB9" s="55">
        <v>92</v>
      </c>
      <c r="HC9" s="55">
        <v>92</v>
      </c>
      <c r="HD9" s="55">
        <v>92</v>
      </c>
      <c r="HE9" s="55">
        <v>92</v>
      </c>
      <c r="HF9" s="55">
        <v>92</v>
      </c>
      <c r="HG9" s="55">
        <v>92</v>
      </c>
      <c r="HH9" s="55">
        <v>92</v>
      </c>
      <c r="HI9" s="55">
        <v>92</v>
      </c>
      <c r="HJ9" s="55">
        <v>92</v>
      </c>
      <c r="HK9" s="55">
        <v>92</v>
      </c>
      <c r="HL9" s="55">
        <v>92</v>
      </c>
      <c r="HM9" s="55">
        <v>92</v>
      </c>
      <c r="HN9" s="55">
        <v>92</v>
      </c>
      <c r="HO9" s="55">
        <v>92</v>
      </c>
      <c r="HP9" s="55">
        <v>92</v>
      </c>
      <c r="HQ9" s="55">
        <v>92</v>
      </c>
      <c r="HR9" s="55">
        <v>92</v>
      </c>
      <c r="HS9" s="55">
        <v>92</v>
      </c>
      <c r="HT9" s="55">
        <v>92</v>
      </c>
      <c r="HU9" s="55">
        <v>92</v>
      </c>
      <c r="HV9" s="55">
        <v>92</v>
      </c>
      <c r="HW9" s="55">
        <v>92</v>
      </c>
      <c r="HX9" s="55">
        <v>92</v>
      </c>
      <c r="HY9" s="55">
        <v>92</v>
      </c>
      <c r="HZ9" s="55">
        <v>92</v>
      </c>
      <c r="IA9" s="55">
        <v>92</v>
      </c>
      <c r="IB9" s="55">
        <v>92</v>
      </c>
      <c r="IC9" s="55">
        <v>92</v>
      </c>
      <c r="ID9" s="55">
        <v>92</v>
      </c>
      <c r="IE9" s="55">
        <v>92</v>
      </c>
      <c r="IF9" s="55">
        <v>92</v>
      </c>
      <c r="IG9" s="55">
        <v>92</v>
      </c>
      <c r="IH9" s="55">
        <v>92</v>
      </c>
      <c r="II9" s="55">
        <v>92</v>
      </c>
      <c r="IJ9" s="55">
        <v>92</v>
      </c>
      <c r="IK9" s="55">
        <v>92</v>
      </c>
      <c r="IL9" s="55">
        <v>92</v>
      </c>
      <c r="IM9" s="55">
        <v>92</v>
      </c>
      <c r="IN9" s="55">
        <v>92</v>
      </c>
      <c r="IO9" s="55">
        <v>92</v>
      </c>
      <c r="IP9" s="55">
        <v>92</v>
      </c>
      <c r="IQ9" s="55">
        <v>92</v>
      </c>
    </row>
    <row r="10" spans="1:251">
      <c r="A10" s="54" t="s">
        <v>258</v>
      </c>
      <c r="B10" s="4" t="s">
        <v>1263</v>
      </c>
      <c r="C10" s="4" t="s">
        <v>1264</v>
      </c>
      <c r="D10" s="4" t="s">
        <v>1265</v>
      </c>
      <c r="E10" s="4" t="s">
        <v>1266</v>
      </c>
      <c r="F10" s="4" t="s">
        <v>1267</v>
      </c>
      <c r="G10" s="4" t="s">
        <v>1268</v>
      </c>
      <c r="H10" s="4" t="s">
        <v>1269</v>
      </c>
      <c r="I10" s="4" t="s">
        <v>1270</v>
      </c>
      <c r="J10" s="4" t="s">
        <v>1271</v>
      </c>
      <c r="K10" s="4" t="s">
        <v>1272</v>
      </c>
      <c r="L10" s="4" t="s">
        <v>1273</v>
      </c>
      <c r="M10" s="4" t="s">
        <v>1274</v>
      </c>
      <c r="N10" s="4" t="s">
        <v>1275</v>
      </c>
      <c r="O10" s="4" t="s">
        <v>1276</v>
      </c>
      <c r="P10" s="4" t="s">
        <v>1277</v>
      </c>
      <c r="Q10" s="4" t="s">
        <v>1278</v>
      </c>
      <c r="R10" s="4" t="s">
        <v>1279</v>
      </c>
      <c r="S10" s="4" t="s">
        <v>1280</v>
      </c>
      <c r="T10" s="4" t="s">
        <v>1281</v>
      </c>
      <c r="U10" s="4" t="s">
        <v>1282</v>
      </c>
      <c r="V10" s="4" t="s">
        <v>1283</v>
      </c>
      <c r="W10" s="4" t="s">
        <v>1284</v>
      </c>
      <c r="X10" s="4" t="s">
        <v>1285</v>
      </c>
      <c r="Y10" s="4" t="s">
        <v>1286</v>
      </c>
      <c r="Z10" s="4" t="s">
        <v>1287</v>
      </c>
      <c r="AA10" s="4" t="s">
        <v>1288</v>
      </c>
      <c r="AB10" s="4" t="s">
        <v>1289</v>
      </c>
      <c r="AC10" s="4" t="s">
        <v>1290</v>
      </c>
      <c r="AD10" s="4" t="s">
        <v>1291</v>
      </c>
      <c r="AE10" s="4" t="s">
        <v>1292</v>
      </c>
      <c r="AF10" s="4" t="s">
        <v>1293</v>
      </c>
      <c r="AG10" s="4" t="s">
        <v>1294</v>
      </c>
      <c r="AH10" s="4" t="s">
        <v>1295</v>
      </c>
      <c r="AI10" s="4" t="s">
        <v>1296</v>
      </c>
      <c r="AJ10" s="4" t="s">
        <v>1297</v>
      </c>
      <c r="AK10" s="4" t="s">
        <v>1298</v>
      </c>
      <c r="AL10" s="4" t="s">
        <v>1299</v>
      </c>
      <c r="AM10" s="4" t="s">
        <v>1300</v>
      </c>
      <c r="AN10" s="4" t="s">
        <v>1301</v>
      </c>
      <c r="AO10" s="4" t="s">
        <v>1302</v>
      </c>
      <c r="AP10" s="4" t="s">
        <v>1303</v>
      </c>
      <c r="AQ10" s="4" t="s">
        <v>1304</v>
      </c>
      <c r="AR10" s="4" t="s">
        <v>1305</v>
      </c>
      <c r="AS10" s="4" t="s">
        <v>1306</v>
      </c>
      <c r="AT10" s="4" t="s">
        <v>1307</v>
      </c>
      <c r="AU10" s="4" t="s">
        <v>1308</v>
      </c>
      <c r="AV10" s="4" t="s">
        <v>1309</v>
      </c>
      <c r="AW10" s="4" t="s">
        <v>1310</v>
      </c>
      <c r="AX10" s="4" t="s">
        <v>1311</v>
      </c>
      <c r="AY10" s="4" t="s">
        <v>1312</v>
      </c>
      <c r="AZ10" s="4" t="s">
        <v>1313</v>
      </c>
      <c r="BA10" s="4" t="s">
        <v>1314</v>
      </c>
      <c r="BB10" s="4" t="s">
        <v>1315</v>
      </c>
      <c r="BC10" s="4" t="s">
        <v>1316</v>
      </c>
      <c r="BD10" s="4" t="s">
        <v>1317</v>
      </c>
      <c r="BE10" s="4" t="s">
        <v>1318</v>
      </c>
      <c r="BF10" s="4" t="s">
        <v>1319</v>
      </c>
      <c r="BG10" s="4" t="s">
        <v>1320</v>
      </c>
      <c r="BH10" s="4" t="s">
        <v>1321</v>
      </c>
      <c r="BI10" s="4" t="s">
        <v>1322</v>
      </c>
      <c r="BJ10" s="4" t="s">
        <v>1323</v>
      </c>
      <c r="BK10" s="4" t="s">
        <v>1324</v>
      </c>
      <c r="BL10" s="4" t="s">
        <v>1325</v>
      </c>
      <c r="BM10" s="4" t="s">
        <v>1326</v>
      </c>
      <c r="BN10" s="4" t="s">
        <v>1327</v>
      </c>
      <c r="BO10" s="4" t="s">
        <v>1328</v>
      </c>
      <c r="BP10" s="4" t="s">
        <v>1329</v>
      </c>
      <c r="BQ10" s="4" t="s">
        <v>1330</v>
      </c>
      <c r="BR10" s="4" t="s">
        <v>1331</v>
      </c>
      <c r="BS10" s="4" t="s">
        <v>1332</v>
      </c>
      <c r="BT10" s="4" t="s">
        <v>1333</v>
      </c>
      <c r="BU10" s="4" t="s">
        <v>1334</v>
      </c>
      <c r="BV10" s="4" t="s">
        <v>1335</v>
      </c>
      <c r="BW10" s="4" t="s">
        <v>1336</v>
      </c>
      <c r="BX10" s="4" t="s">
        <v>1337</v>
      </c>
      <c r="BY10" s="4" t="s">
        <v>1338</v>
      </c>
      <c r="BZ10" s="4" t="s">
        <v>1339</v>
      </c>
      <c r="CA10" s="4" t="s">
        <v>1340</v>
      </c>
      <c r="CB10" s="4" t="s">
        <v>1341</v>
      </c>
      <c r="CC10" s="4" t="s">
        <v>1342</v>
      </c>
      <c r="CD10" s="4" t="s">
        <v>1343</v>
      </c>
      <c r="CE10" s="4" t="s">
        <v>1344</v>
      </c>
      <c r="CF10" s="4" t="s">
        <v>1345</v>
      </c>
      <c r="CG10" s="4" t="s">
        <v>1346</v>
      </c>
      <c r="CH10" s="4" t="s">
        <v>1347</v>
      </c>
      <c r="CI10" s="4" t="s">
        <v>1348</v>
      </c>
      <c r="CJ10" s="4" t="s">
        <v>1349</v>
      </c>
      <c r="CK10" s="4" t="s">
        <v>1350</v>
      </c>
      <c r="CL10" s="4" t="s">
        <v>1351</v>
      </c>
      <c r="CM10" s="4" t="s">
        <v>1352</v>
      </c>
      <c r="CN10" s="4" t="s">
        <v>1353</v>
      </c>
      <c r="CO10" s="4" t="s">
        <v>1354</v>
      </c>
      <c r="CP10" s="4" t="s">
        <v>1355</v>
      </c>
      <c r="CQ10" s="4" t="s">
        <v>1356</v>
      </c>
      <c r="CR10" s="4" t="s">
        <v>1357</v>
      </c>
      <c r="CS10" s="4" t="s">
        <v>1358</v>
      </c>
      <c r="CT10" s="4" t="s">
        <v>1359</v>
      </c>
      <c r="CU10" s="4" t="s">
        <v>1360</v>
      </c>
      <c r="CV10" s="4" t="s">
        <v>1361</v>
      </c>
      <c r="CW10" s="4" t="s">
        <v>1362</v>
      </c>
      <c r="CX10" s="4" t="s">
        <v>1363</v>
      </c>
      <c r="CY10" s="4" t="s">
        <v>1364</v>
      </c>
      <c r="CZ10" s="4" t="s">
        <v>1365</v>
      </c>
      <c r="DA10" s="4" t="s">
        <v>1366</v>
      </c>
      <c r="DB10" s="4" t="s">
        <v>1367</v>
      </c>
      <c r="DC10" s="4" t="s">
        <v>1368</v>
      </c>
      <c r="DD10" s="4" t="s">
        <v>1369</v>
      </c>
      <c r="DE10" s="4" t="s">
        <v>1370</v>
      </c>
      <c r="DF10" s="4" t="s">
        <v>1371</v>
      </c>
      <c r="DG10" s="4" t="s">
        <v>1372</v>
      </c>
      <c r="DH10" s="4" t="s">
        <v>1373</v>
      </c>
      <c r="DI10" s="4" t="s">
        <v>1374</v>
      </c>
      <c r="DJ10" s="4" t="s">
        <v>1375</v>
      </c>
      <c r="DK10" s="4" t="s">
        <v>1376</v>
      </c>
      <c r="DL10" s="4" t="s">
        <v>1377</v>
      </c>
      <c r="DM10" s="4" t="s">
        <v>1378</v>
      </c>
      <c r="DN10" s="4" t="s">
        <v>1379</v>
      </c>
      <c r="DO10" s="4" t="s">
        <v>1380</v>
      </c>
      <c r="DP10" s="4" t="s">
        <v>1381</v>
      </c>
      <c r="DQ10" s="4" t="s">
        <v>1382</v>
      </c>
      <c r="DR10" s="4" t="s">
        <v>1383</v>
      </c>
      <c r="DS10" s="4" t="s">
        <v>1384</v>
      </c>
      <c r="DT10" s="4" t="s">
        <v>1385</v>
      </c>
      <c r="DU10" s="4" t="s">
        <v>1386</v>
      </c>
      <c r="DV10" s="4" t="s">
        <v>1387</v>
      </c>
      <c r="DW10" s="4" t="s">
        <v>1388</v>
      </c>
      <c r="DX10" s="4" t="s">
        <v>1389</v>
      </c>
      <c r="DY10" s="4" t="s">
        <v>1390</v>
      </c>
      <c r="DZ10" s="4" t="s">
        <v>1391</v>
      </c>
      <c r="EA10" s="4" t="s">
        <v>1392</v>
      </c>
      <c r="EB10" s="4" t="s">
        <v>1393</v>
      </c>
      <c r="EC10" s="4" t="s">
        <v>1394</v>
      </c>
      <c r="ED10" s="4" t="s">
        <v>1395</v>
      </c>
      <c r="EE10" s="4" t="s">
        <v>1396</v>
      </c>
      <c r="EF10" s="4" t="s">
        <v>1397</v>
      </c>
      <c r="EG10" s="4" t="s">
        <v>1398</v>
      </c>
      <c r="EH10" s="4" t="s">
        <v>1399</v>
      </c>
      <c r="EI10" s="4" t="s">
        <v>1400</v>
      </c>
      <c r="EJ10" s="4" t="s">
        <v>1401</v>
      </c>
      <c r="EK10" s="4" t="s">
        <v>1402</v>
      </c>
      <c r="EL10" s="4" t="s">
        <v>1403</v>
      </c>
      <c r="EM10" s="4" t="s">
        <v>1404</v>
      </c>
      <c r="EN10" s="4" t="s">
        <v>1405</v>
      </c>
      <c r="EO10" s="4" t="s">
        <v>1406</v>
      </c>
      <c r="EP10" s="4" t="s">
        <v>1407</v>
      </c>
      <c r="EQ10" s="4" t="s">
        <v>1408</v>
      </c>
      <c r="ER10" s="4" t="s">
        <v>1409</v>
      </c>
      <c r="ES10" s="4" t="s">
        <v>1410</v>
      </c>
      <c r="ET10" s="4" t="s">
        <v>1411</v>
      </c>
      <c r="EU10" s="4" t="s">
        <v>1412</v>
      </c>
      <c r="EV10" s="4" t="s">
        <v>1413</v>
      </c>
      <c r="EW10" s="4" t="s">
        <v>1414</v>
      </c>
      <c r="EX10" s="4" t="s">
        <v>1415</v>
      </c>
      <c r="EY10" s="4" t="s">
        <v>1416</v>
      </c>
      <c r="EZ10" s="4" t="s">
        <v>1417</v>
      </c>
      <c r="FA10" s="4" t="s">
        <v>1418</v>
      </c>
      <c r="FB10" s="4" t="s">
        <v>1419</v>
      </c>
      <c r="FC10" s="4" t="s">
        <v>1420</v>
      </c>
      <c r="FD10" s="4" t="s">
        <v>1421</v>
      </c>
      <c r="FE10" s="4" t="s">
        <v>1422</v>
      </c>
      <c r="FF10" s="4" t="s">
        <v>1423</v>
      </c>
      <c r="FG10" s="4" t="s">
        <v>1424</v>
      </c>
      <c r="FH10" s="4" t="s">
        <v>1425</v>
      </c>
      <c r="FI10" s="4" t="s">
        <v>1426</v>
      </c>
      <c r="FJ10" s="4" t="s">
        <v>1427</v>
      </c>
      <c r="FK10" s="4" t="s">
        <v>1428</v>
      </c>
      <c r="FL10" s="4" t="s">
        <v>1429</v>
      </c>
      <c r="FM10" s="4" t="s">
        <v>1430</v>
      </c>
      <c r="FN10" s="4" t="s">
        <v>1431</v>
      </c>
      <c r="FO10" s="4" t="s">
        <v>1432</v>
      </c>
      <c r="FP10" s="4" t="s">
        <v>1433</v>
      </c>
      <c r="FQ10" s="4" t="s">
        <v>1434</v>
      </c>
      <c r="FR10" s="4" t="s">
        <v>1435</v>
      </c>
      <c r="FS10" s="4" t="s">
        <v>1436</v>
      </c>
      <c r="FT10" s="4" t="s">
        <v>1437</v>
      </c>
      <c r="FU10" s="4" t="s">
        <v>1438</v>
      </c>
      <c r="FV10" s="4" t="s">
        <v>1439</v>
      </c>
      <c r="FW10" s="4" t="s">
        <v>1440</v>
      </c>
      <c r="FX10" s="4" t="s">
        <v>1441</v>
      </c>
      <c r="FY10" s="4" t="s">
        <v>1442</v>
      </c>
      <c r="FZ10" s="4" t="s">
        <v>1443</v>
      </c>
      <c r="GA10" s="4" t="s">
        <v>1444</v>
      </c>
      <c r="GB10" s="4" t="s">
        <v>1445</v>
      </c>
      <c r="GC10" s="4" t="s">
        <v>1446</v>
      </c>
      <c r="GD10" s="4" t="s">
        <v>1447</v>
      </c>
      <c r="GE10" s="4" t="s">
        <v>1448</v>
      </c>
      <c r="GF10" s="4" t="s">
        <v>1449</v>
      </c>
      <c r="GG10" s="4" t="s">
        <v>1450</v>
      </c>
      <c r="GH10" s="4" t="s">
        <v>1451</v>
      </c>
      <c r="GI10" s="4" t="s">
        <v>1452</v>
      </c>
      <c r="GJ10" s="4" t="s">
        <v>1453</v>
      </c>
      <c r="GK10" s="4" t="s">
        <v>1454</v>
      </c>
      <c r="GL10" s="4" t="s">
        <v>1455</v>
      </c>
      <c r="GM10" s="4" t="s">
        <v>1456</v>
      </c>
      <c r="GN10" s="4" t="s">
        <v>1457</v>
      </c>
      <c r="GO10" s="4" t="s">
        <v>1458</v>
      </c>
      <c r="GP10" s="4" t="s">
        <v>1459</v>
      </c>
      <c r="GQ10" s="4" t="s">
        <v>1460</v>
      </c>
      <c r="GR10" s="4" t="s">
        <v>1461</v>
      </c>
      <c r="GS10" s="4" t="s">
        <v>1462</v>
      </c>
      <c r="GT10" s="4" t="s">
        <v>1463</v>
      </c>
      <c r="GU10" s="4" t="s">
        <v>1464</v>
      </c>
      <c r="GV10" s="4" t="s">
        <v>1465</v>
      </c>
      <c r="GW10" s="4" t="s">
        <v>1466</v>
      </c>
      <c r="GX10" s="4" t="s">
        <v>1467</v>
      </c>
      <c r="GY10" s="4" t="s">
        <v>1468</v>
      </c>
      <c r="GZ10" s="4" t="s">
        <v>1469</v>
      </c>
      <c r="HA10" s="4" t="s">
        <v>1470</v>
      </c>
      <c r="HB10" s="4" t="s">
        <v>1471</v>
      </c>
      <c r="HC10" s="4" t="s">
        <v>1472</v>
      </c>
      <c r="HD10" s="4" t="s">
        <v>1473</v>
      </c>
      <c r="HE10" s="4" t="s">
        <v>1474</v>
      </c>
      <c r="HF10" s="4" t="s">
        <v>1475</v>
      </c>
      <c r="HG10" s="4" t="s">
        <v>1476</v>
      </c>
      <c r="HH10" s="4" t="s">
        <v>1477</v>
      </c>
      <c r="HI10" s="4" t="s">
        <v>1478</v>
      </c>
      <c r="HJ10" s="4" t="s">
        <v>1479</v>
      </c>
      <c r="HK10" s="4" t="s">
        <v>1480</v>
      </c>
      <c r="HL10" s="4" t="s">
        <v>1481</v>
      </c>
      <c r="HM10" s="4" t="s">
        <v>1482</v>
      </c>
      <c r="HN10" s="4" t="s">
        <v>1483</v>
      </c>
      <c r="HO10" s="4" t="s">
        <v>1484</v>
      </c>
      <c r="HP10" s="4" t="s">
        <v>1485</v>
      </c>
      <c r="HQ10" s="4" t="s">
        <v>1486</v>
      </c>
      <c r="HR10" s="4" t="s">
        <v>1487</v>
      </c>
      <c r="HS10" s="4" t="s">
        <v>1488</v>
      </c>
      <c r="HT10" s="4" t="s">
        <v>1489</v>
      </c>
      <c r="HU10" s="4" t="s">
        <v>1490</v>
      </c>
      <c r="HV10" s="4" t="s">
        <v>1491</v>
      </c>
      <c r="HW10" s="4" t="s">
        <v>1492</v>
      </c>
      <c r="HX10" s="4" t="s">
        <v>1493</v>
      </c>
      <c r="HY10" s="4" t="s">
        <v>1494</v>
      </c>
      <c r="HZ10" s="4" t="s">
        <v>1495</v>
      </c>
      <c r="IA10" s="4" t="s">
        <v>1496</v>
      </c>
      <c r="IB10" s="4" t="s">
        <v>1497</v>
      </c>
      <c r="IC10" s="4" t="s">
        <v>1498</v>
      </c>
      <c r="ID10" s="4" t="s">
        <v>1499</v>
      </c>
      <c r="IE10" s="4" t="s">
        <v>1500</v>
      </c>
      <c r="IF10" s="4" t="s">
        <v>1501</v>
      </c>
      <c r="IG10" s="4" t="s">
        <v>1502</v>
      </c>
      <c r="IH10" s="4" t="s">
        <v>1503</v>
      </c>
      <c r="II10" s="4" t="s">
        <v>1504</v>
      </c>
      <c r="IJ10" s="4" t="s">
        <v>1505</v>
      </c>
      <c r="IK10" s="4" t="s">
        <v>1506</v>
      </c>
      <c r="IL10" s="4" t="s">
        <v>1507</v>
      </c>
      <c r="IM10" s="4" t="s">
        <v>1508</v>
      </c>
      <c r="IN10" s="4" t="s">
        <v>1509</v>
      </c>
      <c r="IO10" s="4" t="s">
        <v>1510</v>
      </c>
      <c r="IP10" s="4" t="s">
        <v>1511</v>
      </c>
      <c r="IQ10" s="4" t="s">
        <v>1512</v>
      </c>
    </row>
    <row r="11" spans="1:251">
      <c r="A11" s="5">
        <v>41821</v>
      </c>
      <c r="B11" s="58">
        <v>914.00300000000004</v>
      </c>
      <c r="C11" s="58">
        <v>1045.567</v>
      </c>
      <c r="D11" s="58">
        <v>313.45699999999999</v>
      </c>
      <c r="E11" s="58">
        <v>732.11</v>
      </c>
      <c r="F11" s="58">
        <v>501.399</v>
      </c>
      <c r="G11" s="58">
        <v>273.42899999999997</v>
      </c>
      <c r="H11" s="58">
        <v>227.97</v>
      </c>
      <c r="I11" s="58">
        <v>93.741</v>
      </c>
      <c r="J11" s="58">
        <v>57.177999999999997</v>
      </c>
      <c r="K11" s="58">
        <v>36.561999999999998</v>
      </c>
      <c r="L11" s="58">
        <v>38.738</v>
      </c>
      <c r="M11" s="58">
        <v>29.364999999999998</v>
      </c>
      <c r="N11" s="58">
        <v>9.3729999999999993</v>
      </c>
      <c r="O11" s="58">
        <v>21.736000000000001</v>
      </c>
      <c r="P11" s="58">
        <v>15.888</v>
      </c>
      <c r="Q11" s="58">
        <v>5.8479999999999999</v>
      </c>
      <c r="R11" s="58">
        <v>17.001999999999999</v>
      </c>
      <c r="S11" s="58">
        <v>13.477</v>
      </c>
      <c r="T11" s="58">
        <v>3.5249999999999999</v>
      </c>
      <c r="U11" s="58">
        <v>55.003</v>
      </c>
      <c r="V11" s="58">
        <v>27.812999999999999</v>
      </c>
      <c r="W11" s="58">
        <v>27.19</v>
      </c>
      <c r="X11" s="58">
        <v>450.40800000000002</v>
      </c>
      <c r="Y11" s="58">
        <v>240.143</v>
      </c>
      <c r="Z11" s="58">
        <v>210.26599999999999</v>
      </c>
      <c r="AA11" s="58">
        <v>183.43799999999999</v>
      </c>
      <c r="AB11" s="58">
        <v>137.047</v>
      </c>
      <c r="AC11" s="58">
        <v>46.390999999999998</v>
      </c>
      <c r="AD11" s="58">
        <v>266.97000000000003</v>
      </c>
      <c r="AE11" s="58">
        <v>103.096</v>
      </c>
      <c r="AF11" s="58">
        <v>163.874</v>
      </c>
      <c r="AG11" s="58">
        <v>212.26900000000001</v>
      </c>
      <c r="AH11" s="58">
        <v>159.02099999999999</v>
      </c>
      <c r="AI11" s="58">
        <v>53.249000000000002</v>
      </c>
      <c r="AJ11" s="58">
        <v>289.13</v>
      </c>
      <c r="AK11" s="58">
        <v>114.40900000000001</v>
      </c>
      <c r="AL11" s="58">
        <v>174.721</v>
      </c>
      <c r="AM11" s="58">
        <v>288.70600000000002</v>
      </c>
      <c r="AN11" s="58">
        <v>118.98399999999999</v>
      </c>
      <c r="AO11" s="58">
        <v>169.72200000000001</v>
      </c>
      <c r="AP11" s="58">
        <v>2906.9740000000002</v>
      </c>
      <c r="AQ11" s="58">
        <v>1563.28</v>
      </c>
      <c r="AR11" s="58">
        <v>1343.694</v>
      </c>
      <c r="AS11" s="58">
        <v>1956.904</v>
      </c>
      <c r="AT11" s="58">
        <v>1258.9849999999999</v>
      </c>
      <c r="AU11" s="58">
        <v>697.92</v>
      </c>
      <c r="AV11" s="58">
        <v>950.07</v>
      </c>
      <c r="AW11" s="58">
        <v>304.29599999999999</v>
      </c>
      <c r="AX11" s="58">
        <v>645.77499999999998</v>
      </c>
      <c r="AY11" s="58">
        <v>464.15100000000001</v>
      </c>
      <c r="AZ11" s="58">
        <v>252.154</v>
      </c>
      <c r="BA11" s="58">
        <v>211.99700000000001</v>
      </c>
      <c r="BB11" s="58">
        <v>94.103999999999999</v>
      </c>
      <c r="BC11" s="58">
        <v>56.094999999999999</v>
      </c>
      <c r="BD11" s="58">
        <v>38.009</v>
      </c>
      <c r="BE11" s="58">
        <v>36.209000000000003</v>
      </c>
      <c r="BF11" s="58">
        <v>26.393999999999998</v>
      </c>
      <c r="BG11" s="58">
        <v>9.8149999999999995</v>
      </c>
      <c r="BH11" s="58">
        <v>23.568999999999999</v>
      </c>
      <c r="BI11" s="58">
        <v>15.385</v>
      </c>
      <c r="BJ11" s="58">
        <v>8.1829999999999998</v>
      </c>
      <c r="BK11" s="58">
        <v>12.64</v>
      </c>
      <c r="BL11" s="58">
        <v>11.009</v>
      </c>
      <c r="BM11" s="58">
        <v>1.631</v>
      </c>
      <c r="BN11" s="58">
        <v>57.895000000000003</v>
      </c>
      <c r="BO11" s="58">
        <v>29.701000000000001</v>
      </c>
      <c r="BP11" s="58">
        <v>28.193999999999999</v>
      </c>
      <c r="BQ11" s="58">
        <v>413.83600000000001</v>
      </c>
      <c r="BR11" s="58">
        <v>221.001</v>
      </c>
      <c r="BS11" s="58">
        <v>192.83500000000001</v>
      </c>
      <c r="BT11" s="58">
        <v>154.09200000000001</v>
      </c>
      <c r="BU11" s="58">
        <v>112.617</v>
      </c>
      <c r="BV11" s="58">
        <v>41.475000000000001</v>
      </c>
      <c r="BW11" s="58">
        <v>259.74400000000003</v>
      </c>
      <c r="BX11" s="58">
        <v>108.384</v>
      </c>
      <c r="BY11" s="58">
        <v>151.36000000000001</v>
      </c>
      <c r="BZ11" s="58">
        <v>179.602</v>
      </c>
      <c r="CA11" s="58">
        <v>132.11799999999999</v>
      </c>
      <c r="CB11" s="58">
        <v>47.484999999999999</v>
      </c>
      <c r="CC11" s="58">
        <v>284.548</v>
      </c>
      <c r="CD11" s="58">
        <v>120.03700000000001</v>
      </c>
      <c r="CE11" s="58">
        <v>164.512</v>
      </c>
      <c r="CF11" s="58">
        <v>283.31299999999999</v>
      </c>
      <c r="CG11" s="58">
        <v>123.76900000000001</v>
      </c>
      <c r="CH11" s="58">
        <v>159.54400000000001</v>
      </c>
      <c r="CI11" s="58">
        <v>2332.0709999999999</v>
      </c>
      <c r="CJ11" s="58">
        <v>1232.925</v>
      </c>
      <c r="CK11" s="58">
        <v>1099.146</v>
      </c>
      <c r="CL11" s="58">
        <v>1641.079</v>
      </c>
      <c r="CM11" s="58">
        <v>1034.742</v>
      </c>
      <c r="CN11" s="58">
        <v>606.33699999999999</v>
      </c>
      <c r="CO11" s="58">
        <v>690.99199999999996</v>
      </c>
      <c r="CP11" s="58">
        <v>198.18299999999999</v>
      </c>
      <c r="CQ11" s="58">
        <v>492.80900000000003</v>
      </c>
      <c r="CR11" s="58">
        <v>354.97399999999999</v>
      </c>
      <c r="CS11" s="58">
        <v>182.35</v>
      </c>
      <c r="CT11" s="58">
        <v>172.624</v>
      </c>
      <c r="CU11" s="58">
        <v>60.869</v>
      </c>
      <c r="CV11" s="58">
        <v>33.143000000000001</v>
      </c>
      <c r="CW11" s="58">
        <v>27.725999999999999</v>
      </c>
      <c r="CX11" s="58">
        <v>20.984999999999999</v>
      </c>
      <c r="CY11" s="58">
        <v>17.501000000000001</v>
      </c>
      <c r="CZ11" s="58">
        <v>3.4830000000000001</v>
      </c>
      <c r="DA11" s="58">
        <v>12.83</v>
      </c>
      <c r="DB11" s="58">
        <v>10.239000000000001</v>
      </c>
      <c r="DC11" s="58">
        <v>2.5920000000000001</v>
      </c>
      <c r="DD11" s="58">
        <v>8.1539999999999999</v>
      </c>
      <c r="DE11" s="58">
        <v>7.2629999999999999</v>
      </c>
      <c r="DF11" s="58">
        <v>0.89100000000000001</v>
      </c>
      <c r="DG11" s="58">
        <v>39.884</v>
      </c>
      <c r="DH11" s="58">
        <v>15.641999999999999</v>
      </c>
      <c r="DI11" s="58">
        <v>24.242999999999999</v>
      </c>
      <c r="DJ11" s="58">
        <v>326.81099999999998</v>
      </c>
      <c r="DK11" s="58">
        <v>166.161</v>
      </c>
      <c r="DL11" s="58">
        <v>160.65100000000001</v>
      </c>
      <c r="DM11" s="58">
        <v>123.59699999999999</v>
      </c>
      <c r="DN11" s="58">
        <v>92.353999999999999</v>
      </c>
      <c r="DO11" s="58">
        <v>31.242999999999999</v>
      </c>
      <c r="DP11" s="58">
        <v>203.214</v>
      </c>
      <c r="DQ11" s="58">
        <v>73.807000000000002</v>
      </c>
      <c r="DR11" s="58">
        <v>129.40700000000001</v>
      </c>
      <c r="DS11" s="58">
        <v>137.08799999999999</v>
      </c>
      <c r="DT11" s="58">
        <v>103.669</v>
      </c>
      <c r="DU11" s="58">
        <v>33.417999999999999</v>
      </c>
      <c r="DV11" s="58">
        <v>217.886</v>
      </c>
      <c r="DW11" s="58">
        <v>78.680999999999997</v>
      </c>
      <c r="DX11" s="58">
        <v>139.20599999999999</v>
      </c>
      <c r="DY11" s="58">
        <v>216.04400000000001</v>
      </c>
      <c r="DZ11" s="58">
        <v>84.045000000000002</v>
      </c>
      <c r="EA11" s="58">
        <v>131.999</v>
      </c>
      <c r="EB11" s="58">
        <v>799.39400000000001</v>
      </c>
      <c r="EC11" s="58">
        <v>431.09</v>
      </c>
      <c r="ED11" s="58">
        <v>368.30399999999997</v>
      </c>
      <c r="EE11" s="58">
        <v>529.4</v>
      </c>
      <c r="EF11" s="58">
        <v>350.79199999999997</v>
      </c>
      <c r="EG11" s="58">
        <v>178.608</v>
      </c>
      <c r="EH11" s="58">
        <v>269.99400000000003</v>
      </c>
      <c r="EI11" s="58">
        <v>80.298000000000002</v>
      </c>
      <c r="EJ11" s="58">
        <v>189.696</v>
      </c>
      <c r="EK11" s="58">
        <v>117.85899999999999</v>
      </c>
      <c r="EL11" s="58">
        <v>64.316999999999993</v>
      </c>
      <c r="EM11" s="58">
        <v>53.540999999999997</v>
      </c>
      <c r="EN11" s="58">
        <v>20.119</v>
      </c>
      <c r="EO11" s="58">
        <v>11.7</v>
      </c>
      <c r="EP11" s="58">
        <v>8.4190000000000005</v>
      </c>
      <c r="EQ11" s="58">
        <v>6.4740000000000002</v>
      </c>
      <c r="ER11" s="58">
        <v>5.476</v>
      </c>
      <c r="ES11" s="58">
        <v>0.997</v>
      </c>
      <c r="ET11" s="58">
        <v>2.6480000000000001</v>
      </c>
      <c r="EU11" s="58">
        <v>2.4180000000000001</v>
      </c>
      <c r="EV11" s="58">
        <v>0.23</v>
      </c>
      <c r="EW11" s="58">
        <v>3.8250000000000002</v>
      </c>
      <c r="EX11" s="58">
        <v>3.0579999999999998</v>
      </c>
      <c r="EY11" s="58">
        <v>0.76700000000000002</v>
      </c>
      <c r="EZ11" s="58">
        <v>13.646000000000001</v>
      </c>
      <c r="FA11" s="58">
        <v>6.2240000000000002</v>
      </c>
      <c r="FB11" s="58">
        <v>7.4219999999999997</v>
      </c>
      <c r="FC11" s="58">
        <v>107.354</v>
      </c>
      <c r="FD11" s="58">
        <v>57.908999999999999</v>
      </c>
      <c r="FE11" s="58">
        <v>49.445</v>
      </c>
      <c r="FF11" s="58">
        <v>39.984999999999999</v>
      </c>
      <c r="FG11" s="58">
        <v>31.045000000000002</v>
      </c>
      <c r="FH11" s="58">
        <v>8.9410000000000007</v>
      </c>
      <c r="FI11" s="58">
        <v>67.369</v>
      </c>
      <c r="FJ11" s="58">
        <v>26.864000000000001</v>
      </c>
      <c r="FK11" s="58">
        <v>40.503999999999998</v>
      </c>
      <c r="FL11" s="58">
        <v>44.762999999999998</v>
      </c>
      <c r="FM11" s="58">
        <v>35.076999999999998</v>
      </c>
      <c r="FN11" s="58">
        <v>9.6869999999999994</v>
      </c>
      <c r="FO11" s="58">
        <v>73.094999999999999</v>
      </c>
      <c r="FP11" s="58">
        <v>29.24</v>
      </c>
      <c r="FQ11" s="58">
        <v>43.854999999999997</v>
      </c>
      <c r="FR11" s="58">
        <v>70.016999999999996</v>
      </c>
      <c r="FS11" s="58">
        <v>29.283000000000001</v>
      </c>
      <c r="FT11" s="58">
        <v>40.734000000000002</v>
      </c>
      <c r="FU11" s="58">
        <v>1313.25</v>
      </c>
      <c r="FV11" s="58">
        <v>724.45399999999995</v>
      </c>
      <c r="FW11" s="58">
        <v>588.79600000000005</v>
      </c>
      <c r="FX11" s="58">
        <v>934.56600000000003</v>
      </c>
      <c r="FY11" s="58">
        <v>622.03099999999995</v>
      </c>
      <c r="FZ11" s="58">
        <v>312.536</v>
      </c>
      <c r="GA11" s="58">
        <v>378.68400000000003</v>
      </c>
      <c r="GB11" s="58">
        <v>102.423</v>
      </c>
      <c r="GC11" s="58">
        <v>276.26100000000002</v>
      </c>
      <c r="GD11" s="58">
        <v>170.47800000000001</v>
      </c>
      <c r="GE11" s="58">
        <v>90.177000000000007</v>
      </c>
      <c r="GF11" s="58">
        <v>80.301000000000002</v>
      </c>
      <c r="GG11" s="58">
        <v>36.219000000000001</v>
      </c>
      <c r="GH11" s="58">
        <v>21.800999999999998</v>
      </c>
      <c r="GI11" s="58">
        <v>14.417999999999999</v>
      </c>
      <c r="GJ11" s="58">
        <v>13.359</v>
      </c>
      <c r="GK11" s="58">
        <v>11.929</v>
      </c>
      <c r="GL11" s="58">
        <v>1.43</v>
      </c>
      <c r="GM11" s="58">
        <v>5.6280000000000001</v>
      </c>
      <c r="GN11" s="58">
        <v>5.3529999999999998</v>
      </c>
      <c r="GO11" s="58">
        <v>0.27500000000000002</v>
      </c>
      <c r="GP11" s="58">
        <v>7.7309999999999999</v>
      </c>
      <c r="GQ11" s="58">
        <v>6.5759999999999996</v>
      </c>
      <c r="GR11" s="58">
        <v>1.155</v>
      </c>
      <c r="GS11" s="58">
        <v>22.86</v>
      </c>
      <c r="GT11" s="58">
        <v>9.8719999999999999</v>
      </c>
      <c r="GU11" s="58">
        <v>12.988</v>
      </c>
      <c r="GV11" s="58">
        <v>150.97300000000001</v>
      </c>
      <c r="GW11" s="58">
        <v>77.385999999999996</v>
      </c>
      <c r="GX11" s="58">
        <v>73.585999999999999</v>
      </c>
      <c r="GY11" s="58">
        <v>56.77</v>
      </c>
      <c r="GZ11" s="58">
        <v>42.853000000000002</v>
      </c>
      <c r="HA11" s="58">
        <v>13.917999999999999</v>
      </c>
      <c r="HB11" s="58">
        <v>94.201999999999998</v>
      </c>
      <c r="HC11" s="58">
        <v>34.533999999999999</v>
      </c>
      <c r="HD11" s="58">
        <v>59.667999999999999</v>
      </c>
      <c r="HE11" s="58">
        <v>68.001999999999995</v>
      </c>
      <c r="HF11" s="58">
        <v>52.654000000000003</v>
      </c>
      <c r="HG11" s="58">
        <v>15.348000000000001</v>
      </c>
      <c r="HH11" s="58">
        <v>102.476</v>
      </c>
      <c r="HI11" s="58">
        <v>37.523000000000003</v>
      </c>
      <c r="HJ11" s="58">
        <v>64.953000000000003</v>
      </c>
      <c r="HK11" s="58">
        <v>99.83</v>
      </c>
      <c r="HL11" s="58">
        <v>39.887</v>
      </c>
      <c r="HM11" s="58">
        <v>59.942999999999998</v>
      </c>
      <c r="HN11" s="58">
        <v>236.02199999999999</v>
      </c>
      <c r="HO11" s="58">
        <v>125.661</v>
      </c>
      <c r="HP11" s="58">
        <v>110.361</v>
      </c>
      <c r="HQ11" s="58">
        <v>149.834</v>
      </c>
      <c r="HR11" s="58">
        <v>98.022000000000006</v>
      </c>
      <c r="HS11" s="58">
        <v>51.811999999999998</v>
      </c>
      <c r="HT11" s="58">
        <v>86.188000000000002</v>
      </c>
      <c r="HU11" s="58">
        <v>27.638999999999999</v>
      </c>
      <c r="HV11" s="58">
        <v>58.548999999999999</v>
      </c>
      <c r="HW11" s="58">
        <v>43.841000000000001</v>
      </c>
      <c r="HX11" s="58">
        <v>23.713000000000001</v>
      </c>
      <c r="HY11" s="58">
        <v>20.128</v>
      </c>
      <c r="HZ11" s="58">
        <v>9.375</v>
      </c>
      <c r="IA11" s="58">
        <v>6.14</v>
      </c>
      <c r="IB11" s="58">
        <v>3.234</v>
      </c>
      <c r="IC11" s="58">
        <v>4.0220000000000002</v>
      </c>
      <c r="ID11" s="58">
        <v>3.177</v>
      </c>
      <c r="IE11" s="58">
        <v>0.84499999999999997</v>
      </c>
      <c r="IF11" s="58">
        <v>2.468</v>
      </c>
      <c r="IG11" s="58">
        <v>1.9490000000000001</v>
      </c>
      <c r="IH11" s="58">
        <v>0.51900000000000002</v>
      </c>
      <c r="II11" s="58">
        <v>1.554</v>
      </c>
      <c r="IJ11" s="58">
        <v>1.228</v>
      </c>
      <c r="IK11" s="58">
        <v>0.32600000000000001</v>
      </c>
      <c r="IL11" s="58">
        <v>5.3529999999999998</v>
      </c>
      <c r="IM11" s="58">
        <v>2.964</v>
      </c>
      <c r="IN11" s="58">
        <v>2.3889999999999998</v>
      </c>
      <c r="IO11" s="58">
        <v>38.473999999999997</v>
      </c>
      <c r="IP11" s="58">
        <v>19.905000000000001</v>
      </c>
      <c r="IQ11" s="58">
        <v>18.568999999999999</v>
      </c>
    </row>
    <row r="12" spans="1:251">
      <c r="A12" s="5">
        <v>41852</v>
      </c>
      <c r="B12" s="58">
        <v>905.26300000000003</v>
      </c>
      <c r="C12" s="58">
        <v>1102.884</v>
      </c>
      <c r="D12" s="58">
        <v>338.88900000000001</v>
      </c>
      <c r="E12" s="58">
        <v>763.995</v>
      </c>
      <c r="F12" s="58">
        <v>507.31299999999999</v>
      </c>
      <c r="G12" s="58">
        <v>266.31200000000001</v>
      </c>
      <c r="H12" s="58">
        <v>241.001</v>
      </c>
      <c r="I12" s="58">
        <v>91.668000000000006</v>
      </c>
      <c r="J12" s="58">
        <v>55.158000000000001</v>
      </c>
      <c r="K12" s="58">
        <v>36.51</v>
      </c>
      <c r="L12" s="58">
        <v>37.938000000000002</v>
      </c>
      <c r="M12" s="58">
        <v>32.017000000000003</v>
      </c>
      <c r="N12" s="58">
        <v>5.9210000000000003</v>
      </c>
      <c r="O12" s="58">
        <v>24.876999999999999</v>
      </c>
      <c r="P12" s="58">
        <v>21.452000000000002</v>
      </c>
      <c r="Q12" s="58">
        <v>3.4249999999999998</v>
      </c>
      <c r="R12" s="58">
        <v>13.061</v>
      </c>
      <c r="S12" s="58">
        <v>10.566000000000001</v>
      </c>
      <c r="T12" s="58">
        <v>2.496</v>
      </c>
      <c r="U12" s="58">
        <v>53.73</v>
      </c>
      <c r="V12" s="58">
        <v>23.140999999999998</v>
      </c>
      <c r="W12" s="58">
        <v>30.588999999999999</v>
      </c>
      <c r="X12" s="58">
        <v>455.03100000000001</v>
      </c>
      <c r="Y12" s="58">
        <v>234.06899999999999</v>
      </c>
      <c r="Z12" s="58">
        <v>220.96199999999999</v>
      </c>
      <c r="AA12" s="58">
        <v>169.607</v>
      </c>
      <c r="AB12" s="58">
        <v>126.399</v>
      </c>
      <c r="AC12" s="58">
        <v>43.209000000000003</v>
      </c>
      <c r="AD12" s="58">
        <v>285.42399999999998</v>
      </c>
      <c r="AE12" s="58">
        <v>107.67</v>
      </c>
      <c r="AF12" s="58">
        <v>177.75399999999999</v>
      </c>
      <c r="AG12" s="58">
        <v>196.148</v>
      </c>
      <c r="AH12" s="58">
        <v>149.471</v>
      </c>
      <c r="AI12" s="58">
        <v>46.677</v>
      </c>
      <c r="AJ12" s="58">
        <v>311.16500000000002</v>
      </c>
      <c r="AK12" s="58">
        <v>116.84099999999999</v>
      </c>
      <c r="AL12" s="58">
        <v>194.32400000000001</v>
      </c>
      <c r="AM12" s="58">
        <v>310.30099999999999</v>
      </c>
      <c r="AN12" s="58">
        <v>129.12200000000001</v>
      </c>
      <c r="AO12" s="58">
        <v>181.179</v>
      </c>
      <c r="AP12" s="58">
        <v>2912.9690000000001</v>
      </c>
      <c r="AQ12" s="58">
        <v>1567.87</v>
      </c>
      <c r="AR12" s="58">
        <v>1345.0989999999999</v>
      </c>
      <c r="AS12" s="58">
        <v>1962.289</v>
      </c>
      <c r="AT12" s="58">
        <v>1260.5530000000001</v>
      </c>
      <c r="AU12" s="58">
        <v>701.73500000000001</v>
      </c>
      <c r="AV12" s="58">
        <v>950.68</v>
      </c>
      <c r="AW12" s="58">
        <v>307.31599999999997</v>
      </c>
      <c r="AX12" s="58">
        <v>643.36400000000003</v>
      </c>
      <c r="AY12" s="58">
        <v>460.71600000000001</v>
      </c>
      <c r="AZ12" s="58">
        <v>249.21100000000001</v>
      </c>
      <c r="BA12" s="58">
        <v>211.505</v>
      </c>
      <c r="BB12" s="58">
        <v>79.882999999999996</v>
      </c>
      <c r="BC12" s="58">
        <v>48.676000000000002</v>
      </c>
      <c r="BD12" s="58">
        <v>31.207000000000001</v>
      </c>
      <c r="BE12" s="58">
        <v>27.687000000000001</v>
      </c>
      <c r="BF12" s="58">
        <v>21.539000000000001</v>
      </c>
      <c r="BG12" s="58">
        <v>6.1479999999999997</v>
      </c>
      <c r="BH12" s="58">
        <v>14.791</v>
      </c>
      <c r="BI12" s="58">
        <v>11.725</v>
      </c>
      <c r="BJ12" s="58">
        <v>3.0659999999999998</v>
      </c>
      <c r="BK12" s="58">
        <v>12.896000000000001</v>
      </c>
      <c r="BL12" s="58">
        <v>9.8140000000000001</v>
      </c>
      <c r="BM12" s="58">
        <v>3.0819999999999999</v>
      </c>
      <c r="BN12" s="58">
        <v>52.195999999999998</v>
      </c>
      <c r="BO12" s="58">
        <v>27.137</v>
      </c>
      <c r="BP12" s="58">
        <v>25.059000000000001</v>
      </c>
      <c r="BQ12" s="58">
        <v>412.54300000000001</v>
      </c>
      <c r="BR12" s="58">
        <v>221.392</v>
      </c>
      <c r="BS12" s="58">
        <v>191.15100000000001</v>
      </c>
      <c r="BT12" s="58">
        <v>148.43299999999999</v>
      </c>
      <c r="BU12" s="58">
        <v>105.571</v>
      </c>
      <c r="BV12" s="58">
        <v>42.862000000000002</v>
      </c>
      <c r="BW12" s="58">
        <v>264.11</v>
      </c>
      <c r="BX12" s="58">
        <v>115.821</v>
      </c>
      <c r="BY12" s="58">
        <v>148.28899999999999</v>
      </c>
      <c r="BZ12" s="58">
        <v>170.95</v>
      </c>
      <c r="CA12" s="58">
        <v>122.566</v>
      </c>
      <c r="CB12" s="58">
        <v>48.383000000000003</v>
      </c>
      <c r="CC12" s="58">
        <v>289.76600000000002</v>
      </c>
      <c r="CD12" s="58">
        <v>126.645</v>
      </c>
      <c r="CE12" s="58">
        <v>163.12100000000001</v>
      </c>
      <c r="CF12" s="58">
        <v>278.90100000000001</v>
      </c>
      <c r="CG12" s="58">
        <v>127.545</v>
      </c>
      <c r="CH12" s="58">
        <v>151.35499999999999</v>
      </c>
      <c r="CI12" s="58">
        <v>2336.3000000000002</v>
      </c>
      <c r="CJ12" s="58">
        <v>1239.2619999999999</v>
      </c>
      <c r="CK12" s="58">
        <v>1097.038</v>
      </c>
      <c r="CL12" s="58">
        <v>1614.3779999999999</v>
      </c>
      <c r="CM12" s="58">
        <v>1025.0050000000001</v>
      </c>
      <c r="CN12" s="58">
        <v>589.37300000000005</v>
      </c>
      <c r="CO12" s="58">
        <v>721.92200000000003</v>
      </c>
      <c r="CP12" s="58">
        <v>214.25700000000001</v>
      </c>
      <c r="CQ12" s="58">
        <v>507.66500000000002</v>
      </c>
      <c r="CR12" s="58">
        <v>376.64800000000002</v>
      </c>
      <c r="CS12" s="58">
        <v>202.739</v>
      </c>
      <c r="CT12" s="58">
        <v>173.90899999999999</v>
      </c>
      <c r="CU12" s="58">
        <v>67.953000000000003</v>
      </c>
      <c r="CV12" s="58">
        <v>39.113</v>
      </c>
      <c r="CW12" s="58">
        <v>28.84</v>
      </c>
      <c r="CX12" s="58">
        <v>24.677</v>
      </c>
      <c r="CY12" s="58">
        <v>19.460999999999999</v>
      </c>
      <c r="CZ12" s="58">
        <v>5.2160000000000002</v>
      </c>
      <c r="DA12" s="58">
        <v>12.786</v>
      </c>
      <c r="DB12" s="58">
        <v>9.7620000000000005</v>
      </c>
      <c r="DC12" s="58">
        <v>3.024</v>
      </c>
      <c r="DD12" s="58">
        <v>11.89</v>
      </c>
      <c r="DE12" s="58">
        <v>9.6989999999999998</v>
      </c>
      <c r="DF12" s="58">
        <v>2.1909999999999998</v>
      </c>
      <c r="DG12" s="58">
        <v>43.276000000000003</v>
      </c>
      <c r="DH12" s="58">
        <v>19.651</v>
      </c>
      <c r="DI12" s="58">
        <v>23.623999999999999</v>
      </c>
      <c r="DJ12" s="58">
        <v>339.68099999999998</v>
      </c>
      <c r="DK12" s="58">
        <v>180.84399999999999</v>
      </c>
      <c r="DL12" s="58">
        <v>158.83699999999999</v>
      </c>
      <c r="DM12" s="58">
        <v>130.96</v>
      </c>
      <c r="DN12" s="58">
        <v>101.608</v>
      </c>
      <c r="DO12" s="58">
        <v>29.352</v>
      </c>
      <c r="DP12" s="58">
        <v>208.721</v>
      </c>
      <c r="DQ12" s="58">
        <v>79.236000000000004</v>
      </c>
      <c r="DR12" s="58">
        <v>129.48500000000001</v>
      </c>
      <c r="DS12" s="58">
        <v>150.328</v>
      </c>
      <c r="DT12" s="58">
        <v>116.7</v>
      </c>
      <c r="DU12" s="58">
        <v>33.628999999999998</v>
      </c>
      <c r="DV12" s="58">
        <v>226.32</v>
      </c>
      <c r="DW12" s="58">
        <v>86.039000000000001</v>
      </c>
      <c r="DX12" s="58">
        <v>140.28100000000001</v>
      </c>
      <c r="DY12" s="58">
        <v>221.50700000000001</v>
      </c>
      <c r="DZ12" s="58">
        <v>88.998000000000005</v>
      </c>
      <c r="EA12" s="58">
        <v>132.50899999999999</v>
      </c>
      <c r="EB12" s="58">
        <v>808.76199999999994</v>
      </c>
      <c r="EC12" s="58">
        <v>432.59</v>
      </c>
      <c r="ED12" s="58">
        <v>376.17200000000003</v>
      </c>
      <c r="EE12" s="58">
        <v>533.02800000000002</v>
      </c>
      <c r="EF12" s="58">
        <v>352.19499999999999</v>
      </c>
      <c r="EG12" s="58">
        <v>180.833</v>
      </c>
      <c r="EH12" s="58">
        <v>275.73399999999998</v>
      </c>
      <c r="EI12" s="58">
        <v>80.396000000000001</v>
      </c>
      <c r="EJ12" s="58">
        <v>195.33799999999999</v>
      </c>
      <c r="EK12" s="58">
        <v>126.032</v>
      </c>
      <c r="EL12" s="58">
        <v>62.335999999999999</v>
      </c>
      <c r="EM12" s="58">
        <v>63.697000000000003</v>
      </c>
      <c r="EN12" s="58">
        <v>23.224</v>
      </c>
      <c r="EO12" s="58">
        <v>12.045</v>
      </c>
      <c r="EP12" s="58">
        <v>11.179</v>
      </c>
      <c r="EQ12" s="58">
        <v>9.6509999999999998</v>
      </c>
      <c r="ER12" s="58">
        <v>6.8310000000000004</v>
      </c>
      <c r="ES12" s="58">
        <v>2.82</v>
      </c>
      <c r="ET12" s="58">
        <v>4.7560000000000002</v>
      </c>
      <c r="EU12" s="58">
        <v>3.0059999999999998</v>
      </c>
      <c r="EV12" s="58">
        <v>1.75</v>
      </c>
      <c r="EW12" s="58">
        <v>4.8949999999999996</v>
      </c>
      <c r="EX12" s="58">
        <v>3.8250000000000002</v>
      </c>
      <c r="EY12" s="58">
        <v>1.07</v>
      </c>
      <c r="EZ12" s="58">
        <v>13.573</v>
      </c>
      <c r="FA12" s="58">
        <v>5.2140000000000004</v>
      </c>
      <c r="FB12" s="58">
        <v>8.359</v>
      </c>
      <c r="FC12" s="58">
        <v>112.367</v>
      </c>
      <c r="FD12" s="58">
        <v>55.11</v>
      </c>
      <c r="FE12" s="58">
        <v>57.258000000000003</v>
      </c>
      <c r="FF12" s="58">
        <v>32.098999999999997</v>
      </c>
      <c r="FG12" s="58">
        <v>24.791</v>
      </c>
      <c r="FH12" s="58">
        <v>7.3079999999999998</v>
      </c>
      <c r="FI12" s="58">
        <v>80.268000000000001</v>
      </c>
      <c r="FJ12" s="58">
        <v>30.318000000000001</v>
      </c>
      <c r="FK12" s="58">
        <v>49.95</v>
      </c>
      <c r="FL12" s="58">
        <v>39.783000000000001</v>
      </c>
      <c r="FM12" s="58">
        <v>30.2</v>
      </c>
      <c r="FN12" s="58">
        <v>9.5830000000000002</v>
      </c>
      <c r="FO12" s="58">
        <v>86.248999999999995</v>
      </c>
      <c r="FP12" s="58">
        <v>32.136000000000003</v>
      </c>
      <c r="FQ12" s="58">
        <v>54.113</v>
      </c>
      <c r="FR12" s="58">
        <v>85.024000000000001</v>
      </c>
      <c r="FS12" s="58">
        <v>33.323999999999998</v>
      </c>
      <c r="FT12" s="58">
        <v>51.7</v>
      </c>
      <c r="FU12" s="58">
        <v>1312.9860000000001</v>
      </c>
      <c r="FV12" s="58">
        <v>727.98800000000006</v>
      </c>
      <c r="FW12" s="58">
        <v>584.99800000000005</v>
      </c>
      <c r="FX12" s="58">
        <v>921.37800000000004</v>
      </c>
      <c r="FY12" s="58">
        <v>616.21500000000003</v>
      </c>
      <c r="FZ12" s="58">
        <v>305.16300000000001</v>
      </c>
      <c r="GA12" s="58">
        <v>391.608</v>
      </c>
      <c r="GB12" s="58">
        <v>111.773</v>
      </c>
      <c r="GC12" s="58">
        <v>279.83499999999998</v>
      </c>
      <c r="GD12" s="58">
        <v>181.64400000000001</v>
      </c>
      <c r="GE12" s="58">
        <v>97.263000000000005</v>
      </c>
      <c r="GF12" s="58">
        <v>84.382000000000005</v>
      </c>
      <c r="GG12" s="58">
        <v>35.485999999999997</v>
      </c>
      <c r="GH12" s="58">
        <v>21.013000000000002</v>
      </c>
      <c r="GI12" s="58">
        <v>14.473000000000001</v>
      </c>
      <c r="GJ12" s="58">
        <v>14.404999999999999</v>
      </c>
      <c r="GK12" s="58">
        <v>12.425000000000001</v>
      </c>
      <c r="GL12" s="58">
        <v>1.98</v>
      </c>
      <c r="GM12" s="58">
        <v>6.8129999999999997</v>
      </c>
      <c r="GN12" s="58">
        <v>6.1150000000000002</v>
      </c>
      <c r="GO12" s="58">
        <v>0.69799999999999995</v>
      </c>
      <c r="GP12" s="58">
        <v>7.5919999999999996</v>
      </c>
      <c r="GQ12" s="58">
        <v>6.31</v>
      </c>
      <c r="GR12" s="58">
        <v>1.282</v>
      </c>
      <c r="GS12" s="58">
        <v>21.081</v>
      </c>
      <c r="GT12" s="58">
        <v>8.5879999999999992</v>
      </c>
      <c r="GU12" s="58">
        <v>12.494</v>
      </c>
      <c r="GV12" s="58">
        <v>156.87200000000001</v>
      </c>
      <c r="GW12" s="58">
        <v>82.168000000000006</v>
      </c>
      <c r="GX12" s="58">
        <v>74.704999999999998</v>
      </c>
      <c r="GY12" s="58">
        <v>64.688000000000002</v>
      </c>
      <c r="GZ12" s="58">
        <v>47.503</v>
      </c>
      <c r="HA12" s="58">
        <v>17.186</v>
      </c>
      <c r="HB12" s="58">
        <v>92.183999999999997</v>
      </c>
      <c r="HC12" s="58">
        <v>34.664999999999999</v>
      </c>
      <c r="HD12" s="58">
        <v>57.518999999999998</v>
      </c>
      <c r="HE12" s="58">
        <v>77.356999999999999</v>
      </c>
      <c r="HF12" s="58">
        <v>58.192</v>
      </c>
      <c r="HG12" s="58">
        <v>19.166</v>
      </c>
      <c r="HH12" s="58">
        <v>104.28700000000001</v>
      </c>
      <c r="HI12" s="58">
        <v>39.070999999999998</v>
      </c>
      <c r="HJ12" s="58">
        <v>65.215999999999994</v>
      </c>
      <c r="HK12" s="58">
        <v>98.997</v>
      </c>
      <c r="HL12" s="58">
        <v>40.780999999999999</v>
      </c>
      <c r="HM12" s="58">
        <v>58.216999999999999</v>
      </c>
      <c r="HN12" s="58">
        <v>237.761</v>
      </c>
      <c r="HO12" s="58">
        <v>124.931</v>
      </c>
      <c r="HP12" s="58">
        <v>112.83</v>
      </c>
      <c r="HQ12" s="58">
        <v>148.37899999999999</v>
      </c>
      <c r="HR12" s="58">
        <v>97.072000000000003</v>
      </c>
      <c r="HS12" s="58">
        <v>51.307000000000002</v>
      </c>
      <c r="HT12" s="58">
        <v>89.382000000000005</v>
      </c>
      <c r="HU12" s="58">
        <v>27.859000000000002</v>
      </c>
      <c r="HV12" s="58">
        <v>61.523000000000003</v>
      </c>
      <c r="HW12" s="58">
        <v>40.902999999999999</v>
      </c>
      <c r="HX12" s="58">
        <v>20.542000000000002</v>
      </c>
      <c r="HY12" s="58">
        <v>20.361000000000001</v>
      </c>
      <c r="HZ12" s="58">
        <v>6.7370000000000001</v>
      </c>
      <c r="IA12" s="58">
        <v>3.5049999999999999</v>
      </c>
      <c r="IB12" s="58">
        <v>3.2309999999999999</v>
      </c>
      <c r="IC12" s="58">
        <v>2.5779999999999998</v>
      </c>
      <c r="ID12" s="58">
        <v>1.9770000000000001</v>
      </c>
      <c r="IE12" s="58">
        <v>0.60099999999999998</v>
      </c>
      <c r="IF12" s="58">
        <v>1.86</v>
      </c>
      <c r="IG12" s="58">
        <v>1.3620000000000001</v>
      </c>
      <c r="IH12" s="58">
        <v>0.497</v>
      </c>
      <c r="II12" s="58">
        <v>0.71899999999999997</v>
      </c>
      <c r="IJ12" s="58">
        <v>0.61499999999999999</v>
      </c>
      <c r="IK12" s="58">
        <v>0.104</v>
      </c>
      <c r="IL12" s="58">
        <v>4.1580000000000004</v>
      </c>
      <c r="IM12" s="58">
        <v>1.528</v>
      </c>
      <c r="IN12" s="58">
        <v>2.63</v>
      </c>
      <c r="IO12" s="58">
        <v>37.33</v>
      </c>
      <c r="IP12" s="58">
        <v>18.899999999999999</v>
      </c>
      <c r="IQ12" s="58">
        <v>18.428999999999998</v>
      </c>
    </row>
    <row r="13" spans="1:251">
      <c r="A13" s="5">
        <v>41883</v>
      </c>
      <c r="B13" s="58">
        <v>900.83199999999999</v>
      </c>
      <c r="C13" s="58">
        <v>1087.394</v>
      </c>
      <c r="D13" s="58">
        <v>336.15499999999997</v>
      </c>
      <c r="E13" s="58">
        <v>751.24</v>
      </c>
      <c r="F13" s="58">
        <v>559.14200000000005</v>
      </c>
      <c r="G13" s="58">
        <v>299.36</v>
      </c>
      <c r="H13" s="58">
        <v>259.78199999999998</v>
      </c>
      <c r="I13" s="58">
        <v>102.681</v>
      </c>
      <c r="J13" s="58">
        <v>61.247999999999998</v>
      </c>
      <c r="K13" s="58">
        <v>41.433999999999997</v>
      </c>
      <c r="L13" s="58">
        <v>44.814</v>
      </c>
      <c r="M13" s="58">
        <v>30.727</v>
      </c>
      <c r="N13" s="58">
        <v>14.087999999999999</v>
      </c>
      <c r="O13" s="58">
        <v>20.648</v>
      </c>
      <c r="P13" s="58">
        <v>15.951000000000001</v>
      </c>
      <c r="Q13" s="58">
        <v>4.6959999999999997</v>
      </c>
      <c r="R13" s="58">
        <v>24.167000000000002</v>
      </c>
      <c r="S13" s="58">
        <v>14.775</v>
      </c>
      <c r="T13" s="58">
        <v>9.3919999999999995</v>
      </c>
      <c r="U13" s="58">
        <v>57.866999999999997</v>
      </c>
      <c r="V13" s="58">
        <v>30.521000000000001</v>
      </c>
      <c r="W13" s="58">
        <v>27.346</v>
      </c>
      <c r="X13" s="58">
        <v>503.15100000000001</v>
      </c>
      <c r="Y13" s="58">
        <v>266.23399999999998</v>
      </c>
      <c r="Z13" s="58">
        <v>236.917</v>
      </c>
      <c r="AA13" s="58">
        <v>198.131</v>
      </c>
      <c r="AB13" s="58">
        <v>150.47300000000001</v>
      </c>
      <c r="AC13" s="58">
        <v>47.658000000000001</v>
      </c>
      <c r="AD13" s="58">
        <v>305.02</v>
      </c>
      <c r="AE13" s="58">
        <v>115.761</v>
      </c>
      <c r="AF13" s="58">
        <v>189.25899999999999</v>
      </c>
      <c r="AG13" s="58">
        <v>230.96199999999999</v>
      </c>
      <c r="AH13" s="58">
        <v>173.048</v>
      </c>
      <c r="AI13" s="58">
        <v>57.914000000000001</v>
      </c>
      <c r="AJ13" s="58">
        <v>328.18</v>
      </c>
      <c r="AK13" s="58">
        <v>126.312</v>
      </c>
      <c r="AL13" s="58">
        <v>201.86799999999999</v>
      </c>
      <c r="AM13" s="58">
        <v>325.66699999999997</v>
      </c>
      <c r="AN13" s="58">
        <v>131.71199999999999</v>
      </c>
      <c r="AO13" s="58">
        <v>193.95500000000001</v>
      </c>
      <c r="AP13" s="58">
        <v>2911.0880000000002</v>
      </c>
      <c r="AQ13" s="58">
        <v>1569.944</v>
      </c>
      <c r="AR13" s="58">
        <v>1341.144</v>
      </c>
      <c r="AS13" s="58">
        <v>1967.01</v>
      </c>
      <c r="AT13" s="58">
        <v>1263.0609999999999</v>
      </c>
      <c r="AU13" s="58">
        <v>703.95</v>
      </c>
      <c r="AV13" s="58">
        <v>944.07799999999997</v>
      </c>
      <c r="AW13" s="58">
        <v>306.88299999999998</v>
      </c>
      <c r="AX13" s="58">
        <v>637.19500000000005</v>
      </c>
      <c r="AY13" s="58">
        <v>458.46800000000002</v>
      </c>
      <c r="AZ13" s="58">
        <v>250.666</v>
      </c>
      <c r="BA13" s="58">
        <v>207.80199999999999</v>
      </c>
      <c r="BB13" s="58">
        <v>83.19</v>
      </c>
      <c r="BC13" s="58">
        <v>48.484999999999999</v>
      </c>
      <c r="BD13" s="58">
        <v>34.706000000000003</v>
      </c>
      <c r="BE13" s="58">
        <v>37.206000000000003</v>
      </c>
      <c r="BF13" s="58">
        <v>27.032</v>
      </c>
      <c r="BG13" s="58">
        <v>10.175000000000001</v>
      </c>
      <c r="BH13" s="58">
        <v>21.896999999999998</v>
      </c>
      <c r="BI13" s="58">
        <v>17.128</v>
      </c>
      <c r="BJ13" s="58">
        <v>4.7699999999999996</v>
      </c>
      <c r="BK13" s="58">
        <v>15.308999999999999</v>
      </c>
      <c r="BL13" s="58">
        <v>9.9039999999999999</v>
      </c>
      <c r="BM13" s="58">
        <v>5.4050000000000002</v>
      </c>
      <c r="BN13" s="58">
        <v>45.984000000000002</v>
      </c>
      <c r="BO13" s="58">
        <v>21.452999999999999</v>
      </c>
      <c r="BP13" s="58">
        <v>24.530999999999999</v>
      </c>
      <c r="BQ13" s="58">
        <v>411.46199999999999</v>
      </c>
      <c r="BR13" s="58">
        <v>224.74799999999999</v>
      </c>
      <c r="BS13" s="58">
        <v>186.71299999999999</v>
      </c>
      <c r="BT13" s="58">
        <v>165.86199999999999</v>
      </c>
      <c r="BU13" s="58">
        <v>123.027</v>
      </c>
      <c r="BV13" s="58">
        <v>42.835000000000001</v>
      </c>
      <c r="BW13" s="58">
        <v>245.59899999999999</v>
      </c>
      <c r="BX13" s="58">
        <v>101.721</v>
      </c>
      <c r="BY13" s="58">
        <v>143.87799999999999</v>
      </c>
      <c r="BZ13" s="58">
        <v>191.916</v>
      </c>
      <c r="CA13" s="58">
        <v>140.59100000000001</v>
      </c>
      <c r="CB13" s="58">
        <v>51.326000000000001</v>
      </c>
      <c r="CC13" s="58">
        <v>266.55200000000002</v>
      </c>
      <c r="CD13" s="58">
        <v>110.075</v>
      </c>
      <c r="CE13" s="58">
        <v>156.477</v>
      </c>
      <c r="CF13" s="58">
        <v>267.49700000000001</v>
      </c>
      <c r="CG13" s="58">
        <v>118.849</v>
      </c>
      <c r="CH13" s="58">
        <v>148.648</v>
      </c>
      <c r="CI13" s="58">
        <v>2318.5790000000002</v>
      </c>
      <c r="CJ13" s="58">
        <v>1228.1500000000001</v>
      </c>
      <c r="CK13" s="58">
        <v>1090.4290000000001</v>
      </c>
      <c r="CL13" s="58">
        <v>1612.5619999999999</v>
      </c>
      <c r="CM13" s="58">
        <v>1024.174</v>
      </c>
      <c r="CN13" s="58">
        <v>588.38800000000003</v>
      </c>
      <c r="CO13" s="58">
        <v>706.01700000000005</v>
      </c>
      <c r="CP13" s="58">
        <v>203.976</v>
      </c>
      <c r="CQ13" s="58">
        <v>502.041</v>
      </c>
      <c r="CR13" s="58">
        <v>382.27100000000002</v>
      </c>
      <c r="CS13" s="58">
        <v>203.50399999999999</v>
      </c>
      <c r="CT13" s="58">
        <v>178.767</v>
      </c>
      <c r="CU13" s="58">
        <v>83.093000000000004</v>
      </c>
      <c r="CV13" s="58">
        <v>47.338000000000001</v>
      </c>
      <c r="CW13" s="58">
        <v>35.755000000000003</v>
      </c>
      <c r="CX13" s="58">
        <v>36.088999999999999</v>
      </c>
      <c r="CY13" s="58">
        <v>28.161000000000001</v>
      </c>
      <c r="CZ13" s="58">
        <v>7.9269999999999996</v>
      </c>
      <c r="DA13" s="58">
        <v>21.236000000000001</v>
      </c>
      <c r="DB13" s="58">
        <v>16.178000000000001</v>
      </c>
      <c r="DC13" s="58">
        <v>5.0579999999999998</v>
      </c>
      <c r="DD13" s="58">
        <v>14.853</v>
      </c>
      <c r="DE13" s="58">
        <v>11.983000000000001</v>
      </c>
      <c r="DF13" s="58">
        <v>2.87</v>
      </c>
      <c r="DG13" s="58">
        <v>47.003999999999998</v>
      </c>
      <c r="DH13" s="58">
        <v>19.177</v>
      </c>
      <c r="DI13" s="58">
        <v>27.827000000000002</v>
      </c>
      <c r="DJ13" s="58">
        <v>329.01900000000001</v>
      </c>
      <c r="DK13" s="58">
        <v>173.078</v>
      </c>
      <c r="DL13" s="58">
        <v>155.941</v>
      </c>
      <c r="DM13" s="58">
        <v>128.65</v>
      </c>
      <c r="DN13" s="58">
        <v>98.741</v>
      </c>
      <c r="DO13" s="58">
        <v>29.908999999999999</v>
      </c>
      <c r="DP13" s="58">
        <v>200.369</v>
      </c>
      <c r="DQ13" s="58">
        <v>74.337000000000003</v>
      </c>
      <c r="DR13" s="58">
        <v>126.032</v>
      </c>
      <c r="DS13" s="58">
        <v>156.27799999999999</v>
      </c>
      <c r="DT13" s="58">
        <v>120.378</v>
      </c>
      <c r="DU13" s="58">
        <v>35.899000000000001</v>
      </c>
      <c r="DV13" s="58">
        <v>225.994</v>
      </c>
      <c r="DW13" s="58">
        <v>83.126000000000005</v>
      </c>
      <c r="DX13" s="58">
        <v>142.86799999999999</v>
      </c>
      <c r="DY13" s="58">
        <v>221.60499999999999</v>
      </c>
      <c r="DZ13" s="58">
        <v>90.515000000000001</v>
      </c>
      <c r="EA13" s="58">
        <v>131.09</v>
      </c>
      <c r="EB13" s="58">
        <v>804.05100000000004</v>
      </c>
      <c r="EC13" s="58">
        <v>430.52499999999998</v>
      </c>
      <c r="ED13" s="58">
        <v>373.52600000000001</v>
      </c>
      <c r="EE13" s="58">
        <v>535.779</v>
      </c>
      <c r="EF13" s="58">
        <v>352.928</v>
      </c>
      <c r="EG13" s="58">
        <v>182.851</v>
      </c>
      <c r="EH13" s="58">
        <v>268.27199999999999</v>
      </c>
      <c r="EI13" s="58">
        <v>77.596999999999994</v>
      </c>
      <c r="EJ13" s="58">
        <v>190.67500000000001</v>
      </c>
      <c r="EK13" s="58">
        <v>118.602</v>
      </c>
      <c r="EL13" s="58">
        <v>60.451999999999998</v>
      </c>
      <c r="EM13" s="58">
        <v>58.15</v>
      </c>
      <c r="EN13" s="58">
        <v>23.852</v>
      </c>
      <c r="EO13" s="58">
        <v>13.535</v>
      </c>
      <c r="EP13" s="58">
        <v>10.317</v>
      </c>
      <c r="EQ13" s="58">
        <v>8.4770000000000003</v>
      </c>
      <c r="ER13" s="58">
        <v>7.4729999999999999</v>
      </c>
      <c r="ES13" s="58">
        <v>1.004</v>
      </c>
      <c r="ET13" s="58">
        <v>5.024</v>
      </c>
      <c r="EU13" s="58">
        <v>4.2709999999999999</v>
      </c>
      <c r="EV13" s="58">
        <v>0.753</v>
      </c>
      <c r="EW13" s="58">
        <v>3.4540000000000002</v>
      </c>
      <c r="EX13" s="58">
        <v>3.202</v>
      </c>
      <c r="EY13" s="58">
        <v>0.251</v>
      </c>
      <c r="EZ13" s="58">
        <v>15.375</v>
      </c>
      <c r="FA13" s="58">
        <v>6.0620000000000003</v>
      </c>
      <c r="FB13" s="58">
        <v>9.3130000000000006</v>
      </c>
      <c r="FC13" s="58">
        <v>105.301</v>
      </c>
      <c r="FD13" s="58">
        <v>53.639000000000003</v>
      </c>
      <c r="FE13" s="58">
        <v>51.661999999999999</v>
      </c>
      <c r="FF13" s="58">
        <v>33.494</v>
      </c>
      <c r="FG13" s="58">
        <v>26.021999999999998</v>
      </c>
      <c r="FH13" s="58">
        <v>7.4720000000000004</v>
      </c>
      <c r="FI13" s="58">
        <v>71.807000000000002</v>
      </c>
      <c r="FJ13" s="58">
        <v>27.617000000000001</v>
      </c>
      <c r="FK13" s="58">
        <v>44.191000000000003</v>
      </c>
      <c r="FL13" s="58">
        <v>39.313000000000002</v>
      </c>
      <c r="FM13" s="58">
        <v>30.837</v>
      </c>
      <c r="FN13" s="58">
        <v>8.4760000000000009</v>
      </c>
      <c r="FO13" s="58">
        <v>79.289000000000001</v>
      </c>
      <c r="FP13" s="58">
        <v>29.614999999999998</v>
      </c>
      <c r="FQ13" s="58">
        <v>49.673999999999999</v>
      </c>
      <c r="FR13" s="58">
        <v>76.831000000000003</v>
      </c>
      <c r="FS13" s="58">
        <v>31.887</v>
      </c>
      <c r="FT13" s="58">
        <v>44.944000000000003</v>
      </c>
      <c r="FU13" s="58">
        <v>1314.6659999999999</v>
      </c>
      <c r="FV13" s="58">
        <v>725.91399999999999</v>
      </c>
      <c r="FW13" s="58">
        <v>588.75199999999995</v>
      </c>
      <c r="FX13" s="58">
        <v>929.12300000000005</v>
      </c>
      <c r="FY13" s="58">
        <v>615.17100000000005</v>
      </c>
      <c r="FZ13" s="58">
        <v>313.95299999999997</v>
      </c>
      <c r="GA13" s="58">
        <v>385.54199999999997</v>
      </c>
      <c r="GB13" s="58">
        <v>110.74299999999999</v>
      </c>
      <c r="GC13" s="58">
        <v>274.79899999999998</v>
      </c>
      <c r="GD13" s="58">
        <v>188.92</v>
      </c>
      <c r="GE13" s="58">
        <v>104.60899999999999</v>
      </c>
      <c r="GF13" s="58">
        <v>84.311000000000007</v>
      </c>
      <c r="GG13" s="58">
        <v>36.395000000000003</v>
      </c>
      <c r="GH13" s="58">
        <v>20.422000000000001</v>
      </c>
      <c r="GI13" s="58">
        <v>15.973000000000001</v>
      </c>
      <c r="GJ13" s="58">
        <v>12.337999999999999</v>
      </c>
      <c r="GK13" s="58">
        <v>10.465</v>
      </c>
      <c r="GL13" s="58">
        <v>1.873</v>
      </c>
      <c r="GM13" s="58">
        <v>5.7480000000000002</v>
      </c>
      <c r="GN13" s="58">
        <v>4.9550000000000001</v>
      </c>
      <c r="GO13" s="58">
        <v>0.79300000000000004</v>
      </c>
      <c r="GP13" s="58">
        <v>6.59</v>
      </c>
      <c r="GQ13" s="58">
        <v>5.51</v>
      </c>
      <c r="GR13" s="58">
        <v>1.08</v>
      </c>
      <c r="GS13" s="58">
        <v>24.056999999999999</v>
      </c>
      <c r="GT13" s="58">
        <v>9.9570000000000007</v>
      </c>
      <c r="GU13" s="58">
        <v>14.1</v>
      </c>
      <c r="GV13" s="58">
        <v>168.31299999999999</v>
      </c>
      <c r="GW13" s="58">
        <v>92.965000000000003</v>
      </c>
      <c r="GX13" s="58">
        <v>75.347999999999999</v>
      </c>
      <c r="GY13" s="58">
        <v>78.022000000000006</v>
      </c>
      <c r="GZ13" s="58">
        <v>59.686999999999998</v>
      </c>
      <c r="HA13" s="58">
        <v>18.335000000000001</v>
      </c>
      <c r="HB13" s="58">
        <v>90.290999999999997</v>
      </c>
      <c r="HC13" s="58">
        <v>33.277999999999999</v>
      </c>
      <c r="HD13" s="58">
        <v>57.012999999999998</v>
      </c>
      <c r="HE13" s="58">
        <v>86.465000000000003</v>
      </c>
      <c r="HF13" s="58">
        <v>66.713999999999999</v>
      </c>
      <c r="HG13" s="58">
        <v>19.751000000000001</v>
      </c>
      <c r="HH13" s="58">
        <v>102.455</v>
      </c>
      <c r="HI13" s="58">
        <v>37.895000000000003</v>
      </c>
      <c r="HJ13" s="58">
        <v>64.56</v>
      </c>
      <c r="HK13" s="58">
        <v>96.039000000000001</v>
      </c>
      <c r="HL13" s="58">
        <v>38.232999999999997</v>
      </c>
      <c r="HM13" s="58">
        <v>57.807000000000002</v>
      </c>
      <c r="HN13" s="58">
        <v>236.16399999999999</v>
      </c>
      <c r="HO13" s="58">
        <v>124.066</v>
      </c>
      <c r="HP13" s="58">
        <v>112.098</v>
      </c>
      <c r="HQ13" s="58">
        <v>149.959</v>
      </c>
      <c r="HR13" s="58">
        <v>99.733000000000004</v>
      </c>
      <c r="HS13" s="58">
        <v>50.225999999999999</v>
      </c>
      <c r="HT13" s="58">
        <v>86.204999999999998</v>
      </c>
      <c r="HU13" s="58">
        <v>24.332999999999998</v>
      </c>
      <c r="HV13" s="58">
        <v>61.872</v>
      </c>
      <c r="HW13" s="58">
        <v>42.47</v>
      </c>
      <c r="HX13" s="58">
        <v>21.738</v>
      </c>
      <c r="HY13" s="58">
        <v>20.731999999999999</v>
      </c>
      <c r="HZ13" s="58">
        <v>7.7610000000000001</v>
      </c>
      <c r="IA13" s="58">
        <v>4.3620000000000001</v>
      </c>
      <c r="IB13" s="58">
        <v>3.399</v>
      </c>
      <c r="IC13" s="58">
        <v>3.105</v>
      </c>
      <c r="ID13" s="58">
        <v>2.4089999999999998</v>
      </c>
      <c r="IE13" s="58">
        <v>0.69599999999999995</v>
      </c>
      <c r="IF13" s="58">
        <v>1.9870000000000001</v>
      </c>
      <c r="IG13" s="58">
        <v>1.5089999999999999</v>
      </c>
      <c r="IH13" s="58">
        <v>0.47799999999999998</v>
      </c>
      <c r="II13" s="58">
        <v>1.119</v>
      </c>
      <c r="IJ13" s="58">
        <v>0.90100000000000002</v>
      </c>
      <c r="IK13" s="58">
        <v>0.218</v>
      </c>
      <c r="IL13" s="58">
        <v>4.6559999999999997</v>
      </c>
      <c r="IM13" s="58">
        <v>1.952</v>
      </c>
      <c r="IN13" s="58">
        <v>2.7029999999999998</v>
      </c>
      <c r="IO13" s="58">
        <v>38.209000000000003</v>
      </c>
      <c r="IP13" s="58">
        <v>19.474</v>
      </c>
      <c r="IQ13" s="58">
        <v>18.736000000000001</v>
      </c>
    </row>
    <row r="14" spans="1:251">
      <c r="A14" s="5">
        <v>41913</v>
      </c>
      <c r="B14" s="58">
        <v>882.92700000000002</v>
      </c>
      <c r="C14" s="58">
        <v>1119.193</v>
      </c>
      <c r="D14" s="58">
        <v>337.84399999999999</v>
      </c>
      <c r="E14" s="58">
        <v>781.34900000000005</v>
      </c>
      <c r="F14" s="58">
        <v>495.6</v>
      </c>
      <c r="G14" s="58">
        <v>262.84199999999998</v>
      </c>
      <c r="H14" s="58">
        <v>232.75700000000001</v>
      </c>
      <c r="I14" s="58">
        <v>72.611999999999995</v>
      </c>
      <c r="J14" s="58">
        <v>46.41</v>
      </c>
      <c r="K14" s="58">
        <v>26.202000000000002</v>
      </c>
      <c r="L14" s="58">
        <v>26.288</v>
      </c>
      <c r="M14" s="58">
        <v>22.399000000000001</v>
      </c>
      <c r="N14" s="58">
        <v>3.8889999999999998</v>
      </c>
      <c r="O14" s="58">
        <v>12.933999999999999</v>
      </c>
      <c r="P14" s="58">
        <v>10.529</v>
      </c>
      <c r="Q14" s="58">
        <v>2.4049999999999998</v>
      </c>
      <c r="R14" s="58">
        <v>13.353999999999999</v>
      </c>
      <c r="S14" s="58">
        <v>11.87</v>
      </c>
      <c r="T14" s="58">
        <v>1.484</v>
      </c>
      <c r="U14" s="58">
        <v>46.323999999999998</v>
      </c>
      <c r="V14" s="58">
        <v>24.01</v>
      </c>
      <c r="W14" s="58">
        <v>22.314</v>
      </c>
      <c r="X14" s="58">
        <v>453.81400000000002</v>
      </c>
      <c r="Y14" s="58">
        <v>234.44900000000001</v>
      </c>
      <c r="Z14" s="58">
        <v>219.36500000000001</v>
      </c>
      <c r="AA14" s="58">
        <v>186.626</v>
      </c>
      <c r="AB14" s="58">
        <v>139.32</v>
      </c>
      <c r="AC14" s="58">
        <v>47.307000000000002</v>
      </c>
      <c r="AD14" s="58">
        <v>267.18799999999999</v>
      </c>
      <c r="AE14" s="58">
        <v>95.13</v>
      </c>
      <c r="AF14" s="58">
        <v>172.05799999999999</v>
      </c>
      <c r="AG14" s="58">
        <v>204.846</v>
      </c>
      <c r="AH14" s="58">
        <v>155.001</v>
      </c>
      <c r="AI14" s="58">
        <v>49.844000000000001</v>
      </c>
      <c r="AJ14" s="58">
        <v>290.75400000000002</v>
      </c>
      <c r="AK14" s="58">
        <v>107.84099999999999</v>
      </c>
      <c r="AL14" s="58">
        <v>182.91300000000001</v>
      </c>
      <c r="AM14" s="58">
        <v>280.12200000000001</v>
      </c>
      <c r="AN14" s="58">
        <v>105.65900000000001</v>
      </c>
      <c r="AO14" s="58">
        <v>174.46299999999999</v>
      </c>
      <c r="AP14" s="58">
        <v>2917.7179999999998</v>
      </c>
      <c r="AQ14" s="58">
        <v>1570.886</v>
      </c>
      <c r="AR14" s="58">
        <v>1346.8309999999999</v>
      </c>
      <c r="AS14" s="58">
        <v>1971.624</v>
      </c>
      <c r="AT14" s="58">
        <v>1261.569</v>
      </c>
      <c r="AU14" s="58">
        <v>710.05499999999995</v>
      </c>
      <c r="AV14" s="58">
        <v>946.09400000000005</v>
      </c>
      <c r="AW14" s="58">
        <v>309.31700000000001</v>
      </c>
      <c r="AX14" s="58">
        <v>636.77599999999995</v>
      </c>
      <c r="AY14" s="58">
        <v>438.892</v>
      </c>
      <c r="AZ14" s="58">
        <v>240.887</v>
      </c>
      <c r="BA14" s="58">
        <v>198.005</v>
      </c>
      <c r="BB14" s="58">
        <v>80.537000000000006</v>
      </c>
      <c r="BC14" s="58">
        <v>49.963000000000001</v>
      </c>
      <c r="BD14" s="58">
        <v>30.574000000000002</v>
      </c>
      <c r="BE14" s="58">
        <v>34.823</v>
      </c>
      <c r="BF14" s="58">
        <v>27.678999999999998</v>
      </c>
      <c r="BG14" s="58">
        <v>7.1440000000000001</v>
      </c>
      <c r="BH14" s="58">
        <v>18.696999999999999</v>
      </c>
      <c r="BI14" s="58">
        <v>14.863</v>
      </c>
      <c r="BJ14" s="58">
        <v>3.8340000000000001</v>
      </c>
      <c r="BK14" s="58">
        <v>16.126000000000001</v>
      </c>
      <c r="BL14" s="58">
        <v>12.816000000000001</v>
      </c>
      <c r="BM14" s="58">
        <v>3.31</v>
      </c>
      <c r="BN14" s="58">
        <v>45.713999999999999</v>
      </c>
      <c r="BO14" s="58">
        <v>22.283999999999999</v>
      </c>
      <c r="BP14" s="58">
        <v>23.43</v>
      </c>
      <c r="BQ14" s="58">
        <v>387.649</v>
      </c>
      <c r="BR14" s="58">
        <v>210.76900000000001</v>
      </c>
      <c r="BS14" s="58">
        <v>176.88</v>
      </c>
      <c r="BT14" s="58">
        <v>147.75899999999999</v>
      </c>
      <c r="BU14" s="58">
        <v>114.879</v>
      </c>
      <c r="BV14" s="58">
        <v>32.880000000000003</v>
      </c>
      <c r="BW14" s="58">
        <v>239.89</v>
      </c>
      <c r="BX14" s="58">
        <v>95.89</v>
      </c>
      <c r="BY14" s="58">
        <v>144</v>
      </c>
      <c r="BZ14" s="58">
        <v>174.41900000000001</v>
      </c>
      <c r="CA14" s="58">
        <v>135.274</v>
      </c>
      <c r="CB14" s="58">
        <v>39.145000000000003</v>
      </c>
      <c r="CC14" s="58">
        <v>264.47300000000001</v>
      </c>
      <c r="CD14" s="58">
        <v>105.613</v>
      </c>
      <c r="CE14" s="58">
        <v>158.86000000000001</v>
      </c>
      <c r="CF14" s="58">
        <v>258.58699999999999</v>
      </c>
      <c r="CG14" s="58">
        <v>110.753</v>
      </c>
      <c r="CH14" s="58">
        <v>147.834</v>
      </c>
      <c r="CI14" s="58">
        <v>2315.5839999999998</v>
      </c>
      <c r="CJ14" s="58">
        <v>1239.569</v>
      </c>
      <c r="CK14" s="58">
        <v>1076.0150000000001</v>
      </c>
      <c r="CL14" s="58">
        <v>1622.5909999999999</v>
      </c>
      <c r="CM14" s="58">
        <v>1030.319</v>
      </c>
      <c r="CN14" s="58">
        <v>592.27200000000005</v>
      </c>
      <c r="CO14" s="58">
        <v>692.99400000000003</v>
      </c>
      <c r="CP14" s="58">
        <v>209.25</v>
      </c>
      <c r="CQ14" s="58">
        <v>483.74299999999999</v>
      </c>
      <c r="CR14" s="58">
        <v>355.21300000000002</v>
      </c>
      <c r="CS14" s="58">
        <v>198.91499999999999</v>
      </c>
      <c r="CT14" s="58">
        <v>156.298</v>
      </c>
      <c r="CU14" s="58">
        <v>60.69</v>
      </c>
      <c r="CV14" s="58">
        <v>38.615000000000002</v>
      </c>
      <c r="CW14" s="58">
        <v>22.074999999999999</v>
      </c>
      <c r="CX14" s="58">
        <v>21.202999999999999</v>
      </c>
      <c r="CY14" s="58">
        <v>17.599</v>
      </c>
      <c r="CZ14" s="58">
        <v>3.6040000000000001</v>
      </c>
      <c r="DA14" s="58">
        <v>13.653</v>
      </c>
      <c r="DB14" s="58">
        <v>11.073</v>
      </c>
      <c r="DC14" s="58">
        <v>2.58</v>
      </c>
      <c r="DD14" s="58">
        <v>7.55</v>
      </c>
      <c r="DE14" s="58">
        <v>6.5259999999999998</v>
      </c>
      <c r="DF14" s="58">
        <v>1.024</v>
      </c>
      <c r="DG14" s="58">
        <v>39.487000000000002</v>
      </c>
      <c r="DH14" s="58">
        <v>21.015999999999998</v>
      </c>
      <c r="DI14" s="58">
        <v>18.471</v>
      </c>
      <c r="DJ14" s="58">
        <v>326.65800000000002</v>
      </c>
      <c r="DK14" s="58">
        <v>181.22800000000001</v>
      </c>
      <c r="DL14" s="58">
        <v>145.43</v>
      </c>
      <c r="DM14" s="58">
        <v>129.16399999999999</v>
      </c>
      <c r="DN14" s="58">
        <v>98.634</v>
      </c>
      <c r="DO14" s="58">
        <v>30.53</v>
      </c>
      <c r="DP14" s="58">
        <v>197.494</v>
      </c>
      <c r="DQ14" s="58">
        <v>82.593999999999994</v>
      </c>
      <c r="DR14" s="58">
        <v>114.9</v>
      </c>
      <c r="DS14" s="58">
        <v>143.334</v>
      </c>
      <c r="DT14" s="58">
        <v>109.2</v>
      </c>
      <c r="DU14" s="58">
        <v>34.134</v>
      </c>
      <c r="DV14" s="58">
        <v>211.87899999999999</v>
      </c>
      <c r="DW14" s="58">
        <v>89.715000000000003</v>
      </c>
      <c r="DX14" s="58">
        <v>122.164</v>
      </c>
      <c r="DY14" s="58">
        <v>211.14699999999999</v>
      </c>
      <c r="DZ14" s="58">
        <v>93.667000000000002</v>
      </c>
      <c r="EA14" s="58">
        <v>117.48</v>
      </c>
      <c r="EB14" s="58">
        <v>798.41600000000005</v>
      </c>
      <c r="EC14" s="58">
        <v>429.74900000000002</v>
      </c>
      <c r="ED14" s="58">
        <v>368.66699999999997</v>
      </c>
      <c r="EE14" s="58">
        <v>540.75099999999998</v>
      </c>
      <c r="EF14" s="58">
        <v>353.68099999999998</v>
      </c>
      <c r="EG14" s="58">
        <v>187.07</v>
      </c>
      <c r="EH14" s="58">
        <v>257.66500000000002</v>
      </c>
      <c r="EI14" s="58">
        <v>76.069000000000003</v>
      </c>
      <c r="EJ14" s="58">
        <v>181.596</v>
      </c>
      <c r="EK14" s="58">
        <v>117.812</v>
      </c>
      <c r="EL14" s="58">
        <v>63.222000000000001</v>
      </c>
      <c r="EM14" s="58">
        <v>54.59</v>
      </c>
      <c r="EN14" s="58">
        <v>24.486000000000001</v>
      </c>
      <c r="EO14" s="58">
        <v>13.436</v>
      </c>
      <c r="EP14" s="58">
        <v>11.048999999999999</v>
      </c>
      <c r="EQ14" s="58">
        <v>9.5259999999999998</v>
      </c>
      <c r="ER14" s="58">
        <v>8.1050000000000004</v>
      </c>
      <c r="ES14" s="58">
        <v>1.421</v>
      </c>
      <c r="ET14" s="58">
        <v>5.7060000000000004</v>
      </c>
      <c r="EU14" s="58">
        <v>4.7830000000000004</v>
      </c>
      <c r="EV14" s="58">
        <v>0.92400000000000004</v>
      </c>
      <c r="EW14" s="58">
        <v>3.82</v>
      </c>
      <c r="EX14" s="58">
        <v>3.3220000000000001</v>
      </c>
      <c r="EY14" s="58">
        <v>0.498</v>
      </c>
      <c r="EZ14" s="58">
        <v>14.959</v>
      </c>
      <c r="FA14" s="58">
        <v>5.3310000000000004</v>
      </c>
      <c r="FB14" s="58">
        <v>9.6280000000000001</v>
      </c>
      <c r="FC14" s="58">
        <v>104.727</v>
      </c>
      <c r="FD14" s="58">
        <v>56.548000000000002</v>
      </c>
      <c r="FE14" s="58">
        <v>48.18</v>
      </c>
      <c r="FF14" s="58">
        <v>36.143999999999998</v>
      </c>
      <c r="FG14" s="58">
        <v>28.914000000000001</v>
      </c>
      <c r="FH14" s="58">
        <v>7.23</v>
      </c>
      <c r="FI14" s="58">
        <v>68.582999999999998</v>
      </c>
      <c r="FJ14" s="58">
        <v>27.634</v>
      </c>
      <c r="FK14" s="58">
        <v>40.950000000000003</v>
      </c>
      <c r="FL14" s="58">
        <v>42.524000000000001</v>
      </c>
      <c r="FM14" s="58">
        <v>34.122</v>
      </c>
      <c r="FN14" s="58">
        <v>8.4019999999999992</v>
      </c>
      <c r="FO14" s="58">
        <v>75.287999999999997</v>
      </c>
      <c r="FP14" s="58">
        <v>29.1</v>
      </c>
      <c r="FQ14" s="58">
        <v>46.188000000000002</v>
      </c>
      <c r="FR14" s="58">
        <v>74.290000000000006</v>
      </c>
      <c r="FS14" s="58">
        <v>32.417000000000002</v>
      </c>
      <c r="FT14" s="58">
        <v>41.872999999999998</v>
      </c>
      <c r="FU14" s="58">
        <v>1318.2460000000001</v>
      </c>
      <c r="FV14" s="58">
        <v>729.44799999999998</v>
      </c>
      <c r="FW14" s="58">
        <v>588.798</v>
      </c>
      <c r="FX14" s="58">
        <v>930.18399999999997</v>
      </c>
      <c r="FY14" s="58">
        <v>614.25</v>
      </c>
      <c r="FZ14" s="58">
        <v>315.935</v>
      </c>
      <c r="GA14" s="58">
        <v>388.06200000000001</v>
      </c>
      <c r="GB14" s="58">
        <v>115.199</v>
      </c>
      <c r="GC14" s="58">
        <v>272.863</v>
      </c>
      <c r="GD14" s="58">
        <v>177.411</v>
      </c>
      <c r="GE14" s="58">
        <v>92.335999999999999</v>
      </c>
      <c r="GF14" s="58">
        <v>85.075000000000003</v>
      </c>
      <c r="GG14" s="58">
        <v>30.099</v>
      </c>
      <c r="GH14" s="58">
        <v>14.863</v>
      </c>
      <c r="GI14" s="58">
        <v>15.236000000000001</v>
      </c>
      <c r="GJ14" s="58">
        <v>9.4060000000000006</v>
      </c>
      <c r="GK14" s="58">
        <v>6.2080000000000002</v>
      </c>
      <c r="GL14" s="58">
        <v>3.1989999999999998</v>
      </c>
      <c r="GM14" s="58">
        <v>5.3049999999999997</v>
      </c>
      <c r="GN14" s="58">
        <v>3.7789999999999999</v>
      </c>
      <c r="GO14" s="58">
        <v>1.526</v>
      </c>
      <c r="GP14" s="58">
        <v>4.101</v>
      </c>
      <c r="GQ14" s="58">
        <v>2.4289999999999998</v>
      </c>
      <c r="GR14" s="58">
        <v>1.6719999999999999</v>
      </c>
      <c r="GS14" s="58">
        <v>20.692</v>
      </c>
      <c r="GT14" s="58">
        <v>8.6549999999999994</v>
      </c>
      <c r="GU14" s="58">
        <v>12.037000000000001</v>
      </c>
      <c r="GV14" s="58">
        <v>159.41399999999999</v>
      </c>
      <c r="GW14" s="58">
        <v>84.811000000000007</v>
      </c>
      <c r="GX14" s="58">
        <v>74.603999999999999</v>
      </c>
      <c r="GY14" s="58">
        <v>66.793000000000006</v>
      </c>
      <c r="GZ14" s="58">
        <v>49.609000000000002</v>
      </c>
      <c r="HA14" s="58">
        <v>17.184000000000001</v>
      </c>
      <c r="HB14" s="58">
        <v>92.620999999999995</v>
      </c>
      <c r="HC14" s="58">
        <v>35.201000000000001</v>
      </c>
      <c r="HD14" s="58">
        <v>57.42</v>
      </c>
      <c r="HE14" s="58">
        <v>73.647999999999996</v>
      </c>
      <c r="HF14" s="58">
        <v>53.265999999999998</v>
      </c>
      <c r="HG14" s="58">
        <v>20.382000000000001</v>
      </c>
      <c r="HH14" s="58">
        <v>103.762</v>
      </c>
      <c r="HI14" s="58">
        <v>39.07</v>
      </c>
      <c r="HJ14" s="58">
        <v>64.692999999999998</v>
      </c>
      <c r="HK14" s="58">
        <v>97.926000000000002</v>
      </c>
      <c r="HL14" s="58">
        <v>38.979999999999997</v>
      </c>
      <c r="HM14" s="58">
        <v>58.945999999999998</v>
      </c>
      <c r="HN14" s="58">
        <v>239.95099999999999</v>
      </c>
      <c r="HO14" s="58">
        <v>125.55800000000001</v>
      </c>
      <c r="HP14" s="58">
        <v>114.393</v>
      </c>
      <c r="HQ14" s="58">
        <v>151.44800000000001</v>
      </c>
      <c r="HR14" s="58">
        <v>101.042</v>
      </c>
      <c r="HS14" s="58">
        <v>50.405999999999999</v>
      </c>
      <c r="HT14" s="58">
        <v>88.501999999999995</v>
      </c>
      <c r="HU14" s="58">
        <v>24.515999999999998</v>
      </c>
      <c r="HV14" s="58">
        <v>63.985999999999997</v>
      </c>
      <c r="HW14" s="58">
        <v>39.472999999999999</v>
      </c>
      <c r="HX14" s="58">
        <v>19.28</v>
      </c>
      <c r="HY14" s="58">
        <v>20.193999999999999</v>
      </c>
      <c r="HZ14" s="58">
        <v>7.125</v>
      </c>
      <c r="IA14" s="58">
        <v>3.8929999999999998</v>
      </c>
      <c r="IB14" s="58">
        <v>3.2320000000000002</v>
      </c>
      <c r="IC14" s="58">
        <v>3.1560000000000001</v>
      </c>
      <c r="ID14" s="58">
        <v>2.4089999999999998</v>
      </c>
      <c r="IE14" s="58">
        <v>0.746</v>
      </c>
      <c r="IF14" s="58">
        <v>1.7649999999999999</v>
      </c>
      <c r="IG14" s="58">
        <v>1.264</v>
      </c>
      <c r="IH14" s="58">
        <v>0.501</v>
      </c>
      <c r="II14" s="58">
        <v>1.391</v>
      </c>
      <c r="IJ14" s="58">
        <v>1.1459999999999999</v>
      </c>
      <c r="IK14" s="58">
        <v>0.245</v>
      </c>
      <c r="IL14" s="58">
        <v>3.97</v>
      </c>
      <c r="IM14" s="58">
        <v>1.484</v>
      </c>
      <c r="IN14" s="58">
        <v>2.4860000000000002</v>
      </c>
      <c r="IO14" s="58">
        <v>35.545999999999999</v>
      </c>
      <c r="IP14" s="58">
        <v>16.7</v>
      </c>
      <c r="IQ14" s="58">
        <v>18.846</v>
      </c>
    </row>
    <row r="15" spans="1:251">
      <c r="A15" s="5">
        <v>41944</v>
      </c>
      <c r="B15" s="58">
        <v>879.048</v>
      </c>
      <c r="C15" s="58">
        <v>1112.1369999999999</v>
      </c>
      <c r="D15" s="58">
        <v>333.66399999999999</v>
      </c>
      <c r="E15" s="58">
        <v>778.47199999999998</v>
      </c>
      <c r="F15" s="58">
        <v>542.61599999999999</v>
      </c>
      <c r="G15" s="58">
        <v>289.22399999999999</v>
      </c>
      <c r="H15" s="58">
        <v>253.392</v>
      </c>
      <c r="I15" s="58">
        <v>86.691999999999993</v>
      </c>
      <c r="J15" s="58">
        <v>51.805</v>
      </c>
      <c r="K15" s="58">
        <v>34.887</v>
      </c>
      <c r="L15" s="58">
        <v>36.305</v>
      </c>
      <c r="M15" s="58">
        <v>27.42</v>
      </c>
      <c r="N15" s="58">
        <v>8.8849999999999998</v>
      </c>
      <c r="O15" s="58">
        <v>18.013000000000002</v>
      </c>
      <c r="P15" s="58">
        <v>12.032999999999999</v>
      </c>
      <c r="Q15" s="58">
        <v>5.98</v>
      </c>
      <c r="R15" s="58">
        <v>18.292000000000002</v>
      </c>
      <c r="S15" s="58">
        <v>15.387</v>
      </c>
      <c r="T15" s="58">
        <v>2.9039999999999999</v>
      </c>
      <c r="U15" s="58">
        <v>50.387</v>
      </c>
      <c r="V15" s="58">
        <v>24.384</v>
      </c>
      <c r="W15" s="58">
        <v>26.003</v>
      </c>
      <c r="X15" s="58">
        <v>491.29199999999997</v>
      </c>
      <c r="Y15" s="58">
        <v>257.63600000000002</v>
      </c>
      <c r="Z15" s="58">
        <v>233.65600000000001</v>
      </c>
      <c r="AA15" s="58">
        <v>184.84100000000001</v>
      </c>
      <c r="AB15" s="58">
        <v>137.36000000000001</v>
      </c>
      <c r="AC15" s="58">
        <v>47.481000000000002</v>
      </c>
      <c r="AD15" s="58">
        <v>306.45100000000002</v>
      </c>
      <c r="AE15" s="58">
        <v>120.276</v>
      </c>
      <c r="AF15" s="58">
        <v>186.17500000000001</v>
      </c>
      <c r="AG15" s="58">
        <v>212.74600000000001</v>
      </c>
      <c r="AH15" s="58">
        <v>157.762</v>
      </c>
      <c r="AI15" s="58">
        <v>54.984000000000002</v>
      </c>
      <c r="AJ15" s="58">
        <v>329.87</v>
      </c>
      <c r="AK15" s="58">
        <v>131.46199999999999</v>
      </c>
      <c r="AL15" s="58">
        <v>198.40799999999999</v>
      </c>
      <c r="AM15" s="58">
        <v>324.46499999999997</v>
      </c>
      <c r="AN15" s="58">
        <v>132.309</v>
      </c>
      <c r="AO15" s="58">
        <v>192.155</v>
      </c>
      <c r="AP15" s="58">
        <v>2928.5059999999999</v>
      </c>
      <c r="AQ15" s="58">
        <v>1583.231</v>
      </c>
      <c r="AR15" s="58">
        <v>1345.2739999999999</v>
      </c>
      <c r="AS15" s="58">
        <v>1981.395</v>
      </c>
      <c r="AT15" s="58">
        <v>1273.4590000000001</v>
      </c>
      <c r="AU15" s="58">
        <v>707.93600000000004</v>
      </c>
      <c r="AV15" s="58">
        <v>947.11</v>
      </c>
      <c r="AW15" s="58">
        <v>309.77300000000002</v>
      </c>
      <c r="AX15" s="58">
        <v>637.33799999999997</v>
      </c>
      <c r="AY15" s="58">
        <v>481.64400000000001</v>
      </c>
      <c r="AZ15" s="58">
        <v>272.93200000000002</v>
      </c>
      <c r="BA15" s="58">
        <v>208.71199999999999</v>
      </c>
      <c r="BB15" s="58">
        <v>66.971999999999994</v>
      </c>
      <c r="BC15" s="58">
        <v>40.162999999999997</v>
      </c>
      <c r="BD15" s="58">
        <v>26.809000000000001</v>
      </c>
      <c r="BE15" s="58">
        <v>25.353000000000002</v>
      </c>
      <c r="BF15" s="58">
        <v>20.933</v>
      </c>
      <c r="BG15" s="58">
        <v>4.4189999999999996</v>
      </c>
      <c r="BH15" s="58">
        <v>17.167000000000002</v>
      </c>
      <c r="BI15" s="58">
        <v>14.734</v>
      </c>
      <c r="BJ15" s="58">
        <v>2.4329999999999998</v>
      </c>
      <c r="BK15" s="58">
        <v>8.1859999999999999</v>
      </c>
      <c r="BL15" s="58">
        <v>6.1989999999999998</v>
      </c>
      <c r="BM15" s="58">
        <v>1.9870000000000001</v>
      </c>
      <c r="BN15" s="58">
        <v>41.62</v>
      </c>
      <c r="BO15" s="58">
        <v>19.23</v>
      </c>
      <c r="BP15" s="58">
        <v>22.39</v>
      </c>
      <c r="BQ15" s="58">
        <v>448.40300000000002</v>
      </c>
      <c r="BR15" s="58">
        <v>252.42099999999999</v>
      </c>
      <c r="BS15" s="58">
        <v>195.982</v>
      </c>
      <c r="BT15" s="58">
        <v>157.648</v>
      </c>
      <c r="BU15" s="58">
        <v>125.06399999999999</v>
      </c>
      <c r="BV15" s="58">
        <v>32.584000000000003</v>
      </c>
      <c r="BW15" s="58">
        <v>290.755</v>
      </c>
      <c r="BX15" s="58">
        <v>127.357</v>
      </c>
      <c r="BY15" s="58">
        <v>163.398</v>
      </c>
      <c r="BZ15" s="58">
        <v>174.63900000000001</v>
      </c>
      <c r="CA15" s="58">
        <v>138.23099999999999</v>
      </c>
      <c r="CB15" s="58">
        <v>36.408000000000001</v>
      </c>
      <c r="CC15" s="58">
        <v>307.005</v>
      </c>
      <c r="CD15" s="58">
        <v>134.70099999999999</v>
      </c>
      <c r="CE15" s="58">
        <v>172.304</v>
      </c>
      <c r="CF15" s="58">
        <v>307.92099999999999</v>
      </c>
      <c r="CG15" s="58">
        <v>142.09100000000001</v>
      </c>
      <c r="CH15" s="58">
        <v>165.83099999999999</v>
      </c>
      <c r="CI15" s="58">
        <v>2305.5079999999998</v>
      </c>
      <c r="CJ15" s="58">
        <v>1226.3320000000001</v>
      </c>
      <c r="CK15" s="58">
        <v>1079.1769999999999</v>
      </c>
      <c r="CL15" s="58">
        <v>1608.6880000000001</v>
      </c>
      <c r="CM15" s="58">
        <v>1025.905</v>
      </c>
      <c r="CN15" s="58">
        <v>582.78200000000004</v>
      </c>
      <c r="CO15" s="58">
        <v>696.82100000000003</v>
      </c>
      <c r="CP15" s="58">
        <v>200.42599999999999</v>
      </c>
      <c r="CQ15" s="58">
        <v>496.39400000000001</v>
      </c>
      <c r="CR15" s="58">
        <v>376.47300000000001</v>
      </c>
      <c r="CS15" s="58">
        <v>199.07400000000001</v>
      </c>
      <c r="CT15" s="58">
        <v>177.398</v>
      </c>
      <c r="CU15" s="58">
        <v>64.997</v>
      </c>
      <c r="CV15" s="58">
        <v>36.161999999999999</v>
      </c>
      <c r="CW15" s="58">
        <v>28.835000000000001</v>
      </c>
      <c r="CX15" s="58">
        <v>26.16</v>
      </c>
      <c r="CY15" s="58">
        <v>20.620999999999999</v>
      </c>
      <c r="CZ15" s="58">
        <v>5.5389999999999997</v>
      </c>
      <c r="DA15" s="58">
        <v>13.178000000000001</v>
      </c>
      <c r="DB15" s="58">
        <v>9.4060000000000006</v>
      </c>
      <c r="DC15" s="58">
        <v>3.7719999999999998</v>
      </c>
      <c r="DD15" s="58">
        <v>12.981999999999999</v>
      </c>
      <c r="DE15" s="58">
        <v>11.215</v>
      </c>
      <c r="DF15" s="58">
        <v>1.7669999999999999</v>
      </c>
      <c r="DG15" s="58">
        <v>38.838000000000001</v>
      </c>
      <c r="DH15" s="58">
        <v>15.541</v>
      </c>
      <c r="DI15" s="58">
        <v>23.295999999999999</v>
      </c>
      <c r="DJ15" s="58">
        <v>337.29199999999997</v>
      </c>
      <c r="DK15" s="58">
        <v>174.41200000000001</v>
      </c>
      <c r="DL15" s="58">
        <v>162.88</v>
      </c>
      <c r="DM15" s="58">
        <v>130.096</v>
      </c>
      <c r="DN15" s="58">
        <v>95.97</v>
      </c>
      <c r="DO15" s="58">
        <v>34.125999999999998</v>
      </c>
      <c r="DP15" s="58">
        <v>207.197</v>
      </c>
      <c r="DQ15" s="58">
        <v>78.441999999999993</v>
      </c>
      <c r="DR15" s="58">
        <v>128.755</v>
      </c>
      <c r="DS15" s="58">
        <v>151.97</v>
      </c>
      <c r="DT15" s="58">
        <v>114.693</v>
      </c>
      <c r="DU15" s="58">
        <v>37.277000000000001</v>
      </c>
      <c r="DV15" s="58">
        <v>224.50299999999999</v>
      </c>
      <c r="DW15" s="58">
        <v>84.381</v>
      </c>
      <c r="DX15" s="58">
        <v>140.12200000000001</v>
      </c>
      <c r="DY15" s="58">
        <v>220.375</v>
      </c>
      <c r="DZ15" s="58">
        <v>87.847999999999999</v>
      </c>
      <c r="EA15" s="58">
        <v>132.52699999999999</v>
      </c>
      <c r="EB15" s="58">
        <v>801.28200000000004</v>
      </c>
      <c r="EC15" s="58">
        <v>430.53699999999998</v>
      </c>
      <c r="ED15" s="58">
        <v>370.74400000000003</v>
      </c>
      <c r="EE15" s="58">
        <v>535.22699999999998</v>
      </c>
      <c r="EF15" s="58">
        <v>353.51400000000001</v>
      </c>
      <c r="EG15" s="58">
        <v>181.71299999999999</v>
      </c>
      <c r="EH15" s="58">
        <v>266.05399999999997</v>
      </c>
      <c r="EI15" s="58">
        <v>77.022999999999996</v>
      </c>
      <c r="EJ15" s="58">
        <v>189.03100000000001</v>
      </c>
      <c r="EK15" s="58">
        <v>118.776</v>
      </c>
      <c r="EL15" s="58">
        <v>59.960999999999999</v>
      </c>
      <c r="EM15" s="58">
        <v>58.814999999999998</v>
      </c>
      <c r="EN15" s="58">
        <v>18.759</v>
      </c>
      <c r="EO15" s="58">
        <v>9.6910000000000007</v>
      </c>
      <c r="EP15" s="58">
        <v>9.0679999999999996</v>
      </c>
      <c r="EQ15" s="58">
        <v>8.0730000000000004</v>
      </c>
      <c r="ER15" s="58">
        <v>6.89</v>
      </c>
      <c r="ES15" s="58">
        <v>1.1839999999999999</v>
      </c>
      <c r="ET15" s="58">
        <v>4.8559999999999999</v>
      </c>
      <c r="EU15" s="58">
        <v>4.3710000000000004</v>
      </c>
      <c r="EV15" s="58">
        <v>0.48499999999999999</v>
      </c>
      <c r="EW15" s="58">
        <v>3.2170000000000001</v>
      </c>
      <c r="EX15" s="58">
        <v>2.5190000000000001</v>
      </c>
      <c r="EY15" s="58">
        <v>0.69799999999999995</v>
      </c>
      <c r="EZ15" s="58">
        <v>10.685</v>
      </c>
      <c r="FA15" s="58">
        <v>2.8010000000000002</v>
      </c>
      <c r="FB15" s="58">
        <v>7.8849999999999998</v>
      </c>
      <c r="FC15" s="58">
        <v>108.297</v>
      </c>
      <c r="FD15" s="58">
        <v>54.274999999999999</v>
      </c>
      <c r="FE15" s="58">
        <v>54.021999999999998</v>
      </c>
      <c r="FF15" s="58">
        <v>36.335000000000001</v>
      </c>
      <c r="FG15" s="58">
        <v>26.4</v>
      </c>
      <c r="FH15" s="58">
        <v>9.9350000000000005</v>
      </c>
      <c r="FI15" s="58">
        <v>71.962999999999994</v>
      </c>
      <c r="FJ15" s="58">
        <v>27.875</v>
      </c>
      <c r="FK15" s="58">
        <v>44.087000000000003</v>
      </c>
      <c r="FL15" s="58">
        <v>41.713999999999999</v>
      </c>
      <c r="FM15" s="58">
        <v>30.832999999999998</v>
      </c>
      <c r="FN15" s="58">
        <v>10.88</v>
      </c>
      <c r="FO15" s="58">
        <v>77.063000000000002</v>
      </c>
      <c r="FP15" s="58">
        <v>29.128</v>
      </c>
      <c r="FQ15" s="58">
        <v>47.933999999999997</v>
      </c>
      <c r="FR15" s="58">
        <v>76.819000000000003</v>
      </c>
      <c r="FS15" s="58">
        <v>32.246000000000002</v>
      </c>
      <c r="FT15" s="58">
        <v>44.573</v>
      </c>
      <c r="FU15" s="58">
        <v>1325.413</v>
      </c>
      <c r="FV15" s="58">
        <v>735.63599999999997</v>
      </c>
      <c r="FW15" s="58">
        <v>589.77599999999995</v>
      </c>
      <c r="FX15" s="58">
        <v>945.91600000000005</v>
      </c>
      <c r="FY15" s="58">
        <v>635.05799999999999</v>
      </c>
      <c r="FZ15" s="58">
        <v>310.85700000000003</v>
      </c>
      <c r="GA15" s="58">
        <v>379.49700000000001</v>
      </c>
      <c r="GB15" s="58">
        <v>100.578</v>
      </c>
      <c r="GC15" s="58">
        <v>278.91899999999998</v>
      </c>
      <c r="GD15" s="58">
        <v>193.404</v>
      </c>
      <c r="GE15" s="58">
        <v>96.924000000000007</v>
      </c>
      <c r="GF15" s="58">
        <v>96.48</v>
      </c>
      <c r="GG15" s="58">
        <v>31.51</v>
      </c>
      <c r="GH15" s="58">
        <v>17.481000000000002</v>
      </c>
      <c r="GI15" s="58">
        <v>14.029</v>
      </c>
      <c r="GJ15" s="58">
        <v>8.6300000000000008</v>
      </c>
      <c r="GK15" s="58">
        <v>8.3000000000000007</v>
      </c>
      <c r="GL15" s="58">
        <v>0.33100000000000002</v>
      </c>
      <c r="GM15" s="58">
        <v>3.8450000000000002</v>
      </c>
      <c r="GN15" s="58">
        <v>3.8450000000000002</v>
      </c>
      <c r="GO15" s="58">
        <v>0</v>
      </c>
      <c r="GP15" s="58">
        <v>4.7850000000000001</v>
      </c>
      <c r="GQ15" s="58">
        <v>4.4550000000000001</v>
      </c>
      <c r="GR15" s="58">
        <v>0.33100000000000002</v>
      </c>
      <c r="GS15" s="58">
        <v>22.88</v>
      </c>
      <c r="GT15" s="58">
        <v>9.1809999999999992</v>
      </c>
      <c r="GU15" s="58">
        <v>13.699</v>
      </c>
      <c r="GV15" s="58">
        <v>175.10900000000001</v>
      </c>
      <c r="GW15" s="58">
        <v>85.959000000000003</v>
      </c>
      <c r="GX15" s="58">
        <v>89.15</v>
      </c>
      <c r="GY15" s="58">
        <v>76.763999999999996</v>
      </c>
      <c r="GZ15" s="58">
        <v>53.77</v>
      </c>
      <c r="HA15" s="58">
        <v>22.994</v>
      </c>
      <c r="HB15" s="58">
        <v>98.344999999999999</v>
      </c>
      <c r="HC15" s="58">
        <v>32.189</v>
      </c>
      <c r="HD15" s="58">
        <v>66.156000000000006</v>
      </c>
      <c r="HE15" s="58">
        <v>83.587000000000003</v>
      </c>
      <c r="HF15" s="58">
        <v>60.262999999999998</v>
      </c>
      <c r="HG15" s="58">
        <v>23.324000000000002</v>
      </c>
      <c r="HH15" s="58">
        <v>109.816</v>
      </c>
      <c r="HI15" s="58">
        <v>36.661000000000001</v>
      </c>
      <c r="HJ15" s="58">
        <v>73.155000000000001</v>
      </c>
      <c r="HK15" s="58">
        <v>102.19</v>
      </c>
      <c r="HL15" s="58">
        <v>36.033999999999999</v>
      </c>
      <c r="HM15" s="58">
        <v>66.156000000000006</v>
      </c>
      <c r="HN15" s="58">
        <v>242.23699999999999</v>
      </c>
      <c r="HO15" s="58">
        <v>128.31299999999999</v>
      </c>
      <c r="HP15" s="58">
        <v>113.92400000000001</v>
      </c>
      <c r="HQ15" s="58">
        <v>154.22</v>
      </c>
      <c r="HR15" s="58">
        <v>101.46</v>
      </c>
      <c r="HS15" s="58">
        <v>52.759</v>
      </c>
      <c r="HT15" s="58">
        <v>88.016999999999996</v>
      </c>
      <c r="HU15" s="58">
        <v>26.853000000000002</v>
      </c>
      <c r="HV15" s="58">
        <v>61.164000000000001</v>
      </c>
      <c r="HW15" s="58">
        <v>41.851999999999997</v>
      </c>
      <c r="HX15" s="58">
        <v>20.443000000000001</v>
      </c>
      <c r="HY15" s="58">
        <v>21.408999999999999</v>
      </c>
      <c r="HZ15" s="58">
        <v>5.4610000000000003</v>
      </c>
      <c r="IA15" s="58">
        <v>2.1709999999999998</v>
      </c>
      <c r="IB15" s="58">
        <v>3.29</v>
      </c>
      <c r="IC15" s="58">
        <v>1.2090000000000001</v>
      </c>
      <c r="ID15" s="58">
        <v>0.76100000000000001</v>
      </c>
      <c r="IE15" s="58">
        <v>0.44800000000000001</v>
      </c>
      <c r="IF15" s="58">
        <v>1.1200000000000001</v>
      </c>
      <c r="IG15" s="58">
        <v>0.67200000000000004</v>
      </c>
      <c r="IH15" s="58">
        <v>0.44800000000000001</v>
      </c>
      <c r="II15" s="58">
        <v>8.8999999999999996E-2</v>
      </c>
      <c r="IJ15" s="58">
        <v>8.8999999999999996E-2</v>
      </c>
      <c r="IK15" s="58">
        <v>0</v>
      </c>
      <c r="IL15" s="58">
        <v>4.2519999999999998</v>
      </c>
      <c r="IM15" s="58">
        <v>1.41</v>
      </c>
      <c r="IN15" s="58">
        <v>2.8420000000000001</v>
      </c>
      <c r="IO15" s="58">
        <v>38.680999999999997</v>
      </c>
      <c r="IP15" s="58">
        <v>19.05</v>
      </c>
      <c r="IQ15" s="58">
        <v>19.631</v>
      </c>
    </row>
    <row r="16" spans="1:251">
      <c r="A16" s="5">
        <v>41974</v>
      </c>
      <c r="B16" s="58">
        <v>900.94500000000005</v>
      </c>
      <c r="C16" s="58">
        <v>1098.5650000000001</v>
      </c>
      <c r="D16" s="58">
        <v>324.73500000000001</v>
      </c>
      <c r="E16" s="58">
        <v>773.83</v>
      </c>
      <c r="F16" s="58">
        <v>540.77099999999996</v>
      </c>
      <c r="G16" s="58">
        <v>290.24299999999999</v>
      </c>
      <c r="H16" s="58">
        <v>250.52799999999999</v>
      </c>
      <c r="I16" s="58">
        <v>104.925</v>
      </c>
      <c r="J16" s="58">
        <v>56.145000000000003</v>
      </c>
      <c r="K16" s="58">
        <v>48.78</v>
      </c>
      <c r="L16" s="58">
        <v>43.09</v>
      </c>
      <c r="M16" s="58">
        <v>33.094000000000001</v>
      </c>
      <c r="N16" s="58">
        <v>9.9949999999999992</v>
      </c>
      <c r="O16" s="58">
        <v>21.334</v>
      </c>
      <c r="P16" s="58">
        <v>17.655999999999999</v>
      </c>
      <c r="Q16" s="58">
        <v>3.6779999999999999</v>
      </c>
      <c r="R16" s="58">
        <v>21.756</v>
      </c>
      <c r="S16" s="58">
        <v>15.438000000000001</v>
      </c>
      <c r="T16" s="58">
        <v>6.3179999999999996</v>
      </c>
      <c r="U16" s="58">
        <v>61.835000000000001</v>
      </c>
      <c r="V16" s="58">
        <v>23.050999999999998</v>
      </c>
      <c r="W16" s="58">
        <v>38.784999999999997</v>
      </c>
      <c r="X16" s="58">
        <v>477.09300000000002</v>
      </c>
      <c r="Y16" s="58">
        <v>256.834</v>
      </c>
      <c r="Z16" s="58">
        <v>220.25800000000001</v>
      </c>
      <c r="AA16" s="58">
        <v>188.38900000000001</v>
      </c>
      <c r="AB16" s="58">
        <v>146.99199999999999</v>
      </c>
      <c r="AC16" s="58">
        <v>41.396999999999998</v>
      </c>
      <c r="AD16" s="58">
        <v>288.70400000000001</v>
      </c>
      <c r="AE16" s="58">
        <v>109.842</v>
      </c>
      <c r="AF16" s="58">
        <v>178.86099999999999</v>
      </c>
      <c r="AG16" s="58">
        <v>222.16200000000001</v>
      </c>
      <c r="AH16" s="58">
        <v>170.77</v>
      </c>
      <c r="AI16" s="58">
        <v>51.392000000000003</v>
      </c>
      <c r="AJ16" s="58">
        <v>318.60899999999998</v>
      </c>
      <c r="AK16" s="58">
        <v>119.473</v>
      </c>
      <c r="AL16" s="58">
        <v>199.136</v>
      </c>
      <c r="AM16" s="58">
        <v>310.03800000000001</v>
      </c>
      <c r="AN16" s="58">
        <v>127.499</v>
      </c>
      <c r="AO16" s="58">
        <v>182.53899999999999</v>
      </c>
      <c r="AP16" s="58">
        <v>2988.098</v>
      </c>
      <c r="AQ16" s="58">
        <v>1606.453</v>
      </c>
      <c r="AR16" s="58">
        <v>1381.644</v>
      </c>
      <c r="AS16" s="58">
        <v>2024.24</v>
      </c>
      <c r="AT16" s="58">
        <v>1309.0450000000001</v>
      </c>
      <c r="AU16" s="58">
        <v>715.19500000000005</v>
      </c>
      <c r="AV16" s="58">
        <v>963.85799999999995</v>
      </c>
      <c r="AW16" s="58">
        <v>297.40800000000002</v>
      </c>
      <c r="AX16" s="58">
        <v>666.44899999999996</v>
      </c>
      <c r="AY16" s="58">
        <v>503.928</v>
      </c>
      <c r="AZ16" s="58">
        <v>267.48099999999999</v>
      </c>
      <c r="BA16" s="58">
        <v>236.447</v>
      </c>
      <c r="BB16" s="58">
        <v>80.55</v>
      </c>
      <c r="BC16" s="58">
        <v>44.381999999999998</v>
      </c>
      <c r="BD16" s="58">
        <v>36.167999999999999</v>
      </c>
      <c r="BE16" s="58">
        <v>32.345999999999997</v>
      </c>
      <c r="BF16" s="58">
        <v>22.943999999999999</v>
      </c>
      <c r="BG16" s="58">
        <v>9.4019999999999992</v>
      </c>
      <c r="BH16" s="58">
        <v>19.835999999999999</v>
      </c>
      <c r="BI16" s="58">
        <v>14.19</v>
      </c>
      <c r="BJ16" s="58">
        <v>5.6459999999999999</v>
      </c>
      <c r="BK16" s="58">
        <v>12.510999999999999</v>
      </c>
      <c r="BL16" s="58">
        <v>8.7550000000000008</v>
      </c>
      <c r="BM16" s="58">
        <v>3.7559999999999998</v>
      </c>
      <c r="BN16" s="58">
        <v>48.204000000000001</v>
      </c>
      <c r="BO16" s="58">
        <v>21.437000000000001</v>
      </c>
      <c r="BP16" s="58">
        <v>26.765999999999998</v>
      </c>
      <c r="BQ16" s="58">
        <v>464.036</v>
      </c>
      <c r="BR16" s="58">
        <v>245.209</v>
      </c>
      <c r="BS16" s="58">
        <v>218.827</v>
      </c>
      <c r="BT16" s="58">
        <v>161.643</v>
      </c>
      <c r="BU16" s="58">
        <v>124.205</v>
      </c>
      <c r="BV16" s="58">
        <v>37.438000000000002</v>
      </c>
      <c r="BW16" s="58">
        <v>302.39400000000001</v>
      </c>
      <c r="BX16" s="58">
        <v>121.005</v>
      </c>
      <c r="BY16" s="58">
        <v>181.38900000000001</v>
      </c>
      <c r="BZ16" s="58">
        <v>185.16300000000001</v>
      </c>
      <c r="CA16" s="58">
        <v>141.33000000000001</v>
      </c>
      <c r="CB16" s="58">
        <v>43.832999999999998</v>
      </c>
      <c r="CC16" s="58">
        <v>318.76499999999999</v>
      </c>
      <c r="CD16" s="58">
        <v>126.151</v>
      </c>
      <c r="CE16" s="58">
        <v>192.614</v>
      </c>
      <c r="CF16" s="58">
        <v>322.22899999999998</v>
      </c>
      <c r="CG16" s="58">
        <v>135.19499999999999</v>
      </c>
      <c r="CH16" s="58">
        <v>187.035</v>
      </c>
      <c r="CI16" s="58">
        <v>2342.39</v>
      </c>
      <c r="CJ16" s="58">
        <v>1245.385</v>
      </c>
      <c r="CK16" s="58">
        <v>1097.0039999999999</v>
      </c>
      <c r="CL16" s="58">
        <v>1656.394</v>
      </c>
      <c r="CM16" s="58">
        <v>1038.6010000000001</v>
      </c>
      <c r="CN16" s="58">
        <v>617.79300000000001</v>
      </c>
      <c r="CO16" s="58">
        <v>685.99599999999998</v>
      </c>
      <c r="CP16" s="58">
        <v>206.78399999999999</v>
      </c>
      <c r="CQ16" s="58">
        <v>479.21199999999999</v>
      </c>
      <c r="CR16" s="58">
        <v>396.45699999999999</v>
      </c>
      <c r="CS16" s="58">
        <v>210.721</v>
      </c>
      <c r="CT16" s="58">
        <v>185.73699999999999</v>
      </c>
      <c r="CU16" s="58">
        <v>78.524000000000001</v>
      </c>
      <c r="CV16" s="58">
        <v>43.604999999999997</v>
      </c>
      <c r="CW16" s="58">
        <v>34.918999999999997</v>
      </c>
      <c r="CX16" s="58">
        <v>36.572000000000003</v>
      </c>
      <c r="CY16" s="58">
        <v>27.241</v>
      </c>
      <c r="CZ16" s="58">
        <v>9.3309999999999995</v>
      </c>
      <c r="DA16" s="58">
        <v>21.817</v>
      </c>
      <c r="DB16" s="58">
        <v>15.840999999999999</v>
      </c>
      <c r="DC16" s="58">
        <v>5.9749999999999996</v>
      </c>
      <c r="DD16" s="58">
        <v>14.755000000000001</v>
      </c>
      <c r="DE16" s="58">
        <v>11.4</v>
      </c>
      <c r="DF16" s="58">
        <v>3.355</v>
      </c>
      <c r="DG16" s="58">
        <v>41.951999999999998</v>
      </c>
      <c r="DH16" s="58">
        <v>16.364000000000001</v>
      </c>
      <c r="DI16" s="58">
        <v>25.588000000000001</v>
      </c>
      <c r="DJ16" s="58">
        <v>355.39100000000002</v>
      </c>
      <c r="DK16" s="58">
        <v>186.25399999999999</v>
      </c>
      <c r="DL16" s="58">
        <v>169.13800000000001</v>
      </c>
      <c r="DM16" s="58">
        <v>146.88200000000001</v>
      </c>
      <c r="DN16" s="58">
        <v>106.06699999999999</v>
      </c>
      <c r="DO16" s="58">
        <v>40.814</v>
      </c>
      <c r="DP16" s="58">
        <v>208.50899999999999</v>
      </c>
      <c r="DQ16" s="58">
        <v>80.186000000000007</v>
      </c>
      <c r="DR16" s="58">
        <v>128.32300000000001</v>
      </c>
      <c r="DS16" s="58">
        <v>171.66200000000001</v>
      </c>
      <c r="DT16" s="58">
        <v>125.238</v>
      </c>
      <c r="DU16" s="58">
        <v>46.423000000000002</v>
      </c>
      <c r="DV16" s="58">
        <v>224.79599999999999</v>
      </c>
      <c r="DW16" s="58">
        <v>85.481999999999999</v>
      </c>
      <c r="DX16" s="58">
        <v>139.31299999999999</v>
      </c>
      <c r="DY16" s="58">
        <v>230.32599999999999</v>
      </c>
      <c r="DZ16" s="58">
        <v>96.027000000000001</v>
      </c>
      <c r="EA16" s="58">
        <v>134.29900000000001</v>
      </c>
      <c r="EB16" s="58">
        <v>804.97400000000005</v>
      </c>
      <c r="EC16" s="58">
        <v>434.166</v>
      </c>
      <c r="ED16" s="58">
        <v>370.80799999999999</v>
      </c>
      <c r="EE16" s="58">
        <v>535.68499999999995</v>
      </c>
      <c r="EF16" s="58">
        <v>353.21499999999997</v>
      </c>
      <c r="EG16" s="58">
        <v>182.47</v>
      </c>
      <c r="EH16" s="58">
        <v>269.28899999999999</v>
      </c>
      <c r="EI16" s="58">
        <v>80.950999999999993</v>
      </c>
      <c r="EJ16" s="58">
        <v>188.33799999999999</v>
      </c>
      <c r="EK16" s="58">
        <v>125.76300000000001</v>
      </c>
      <c r="EL16" s="58">
        <v>65.27</v>
      </c>
      <c r="EM16" s="58">
        <v>60.493000000000002</v>
      </c>
      <c r="EN16" s="58">
        <v>20.925999999999998</v>
      </c>
      <c r="EO16" s="58">
        <v>10.130000000000001</v>
      </c>
      <c r="EP16" s="58">
        <v>10.795999999999999</v>
      </c>
      <c r="EQ16" s="58">
        <v>7.282</v>
      </c>
      <c r="ER16" s="58">
        <v>5.1879999999999997</v>
      </c>
      <c r="ES16" s="58">
        <v>2.093</v>
      </c>
      <c r="ET16" s="58">
        <v>3.6320000000000001</v>
      </c>
      <c r="EU16" s="58">
        <v>2.6970000000000001</v>
      </c>
      <c r="EV16" s="58">
        <v>0.93400000000000005</v>
      </c>
      <c r="EW16" s="58">
        <v>3.65</v>
      </c>
      <c r="EX16" s="58">
        <v>2.4910000000000001</v>
      </c>
      <c r="EY16" s="58">
        <v>1.159</v>
      </c>
      <c r="EZ16" s="58">
        <v>13.644</v>
      </c>
      <c r="FA16" s="58">
        <v>4.9420000000000002</v>
      </c>
      <c r="FB16" s="58">
        <v>8.7029999999999994</v>
      </c>
      <c r="FC16" s="58">
        <v>115.682</v>
      </c>
      <c r="FD16" s="58">
        <v>60.609000000000002</v>
      </c>
      <c r="FE16" s="58">
        <v>55.073</v>
      </c>
      <c r="FF16" s="58">
        <v>38.848999999999997</v>
      </c>
      <c r="FG16" s="58">
        <v>27.100999999999999</v>
      </c>
      <c r="FH16" s="58">
        <v>11.747</v>
      </c>
      <c r="FI16" s="58">
        <v>76.834000000000003</v>
      </c>
      <c r="FJ16" s="58">
        <v>33.508000000000003</v>
      </c>
      <c r="FK16" s="58">
        <v>43.326000000000001</v>
      </c>
      <c r="FL16" s="58">
        <v>43.776000000000003</v>
      </c>
      <c r="FM16" s="58">
        <v>30.388000000000002</v>
      </c>
      <c r="FN16" s="58">
        <v>13.387</v>
      </c>
      <c r="FO16" s="58">
        <v>81.986999999999995</v>
      </c>
      <c r="FP16" s="58">
        <v>34.881</v>
      </c>
      <c r="FQ16" s="58">
        <v>47.106000000000002</v>
      </c>
      <c r="FR16" s="58">
        <v>80.465000000000003</v>
      </c>
      <c r="FS16" s="58">
        <v>36.204999999999998</v>
      </c>
      <c r="FT16" s="58">
        <v>44.26</v>
      </c>
      <c r="FU16" s="58">
        <v>1328.8969999999999</v>
      </c>
      <c r="FV16" s="58">
        <v>737.56700000000001</v>
      </c>
      <c r="FW16" s="58">
        <v>591.33000000000004</v>
      </c>
      <c r="FX16" s="58">
        <v>951.37900000000002</v>
      </c>
      <c r="FY16" s="58">
        <v>634.92999999999995</v>
      </c>
      <c r="FZ16" s="58">
        <v>316.44900000000001</v>
      </c>
      <c r="GA16" s="58">
        <v>377.517</v>
      </c>
      <c r="GB16" s="58">
        <v>102.637</v>
      </c>
      <c r="GC16" s="58">
        <v>274.88</v>
      </c>
      <c r="GD16" s="58">
        <v>194.92500000000001</v>
      </c>
      <c r="GE16" s="58">
        <v>99.766000000000005</v>
      </c>
      <c r="GF16" s="58">
        <v>95.159000000000006</v>
      </c>
      <c r="GG16" s="58">
        <v>31.329000000000001</v>
      </c>
      <c r="GH16" s="58">
        <v>16.943999999999999</v>
      </c>
      <c r="GI16" s="58">
        <v>14.384</v>
      </c>
      <c r="GJ16" s="58">
        <v>15.49</v>
      </c>
      <c r="GK16" s="58">
        <v>11.724</v>
      </c>
      <c r="GL16" s="58">
        <v>3.766</v>
      </c>
      <c r="GM16" s="58">
        <v>8.3780000000000001</v>
      </c>
      <c r="GN16" s="58">
        <v>6.1230000000000002</v>
      </c>
      <c r="GO16" s="58">
        <v>2.2549999999999999</v>
      </c>
      <c r="GP16" s="58">
        <v>7.1120000000000001</v>
      </c>
      <c r="GQ16" s="58">
        <v>5.601</v>
      </c>
      <c r="GR16" s="58">
        <v>1.5109999999999999</v>
      </c>
      <c r="GS16" s="58">
        <v>15.839</v>
      </c>
      <c r="GT16" s="58">
        <v>5.2210000000000001</v>
      </c>
      <c r="GU16" s="58">
        <v>10.618</v>
      </c>
      <c r="GV16" s="58">
        <v>177.58</v>
      </c>
      <c r="GW16" s="58">
        <v>89.756</v>
      </c>
      <c r="GX16" s="58">
        <v>87.823999999999998</v>
      </c>
      <c r="GY16" s="58">
        <v>67.242000000000004</v>
      </c>
      <c r="GZ16" s="58">
        <v>49.927999999999997</v>
      </c>
      <c r="HA16" s="58">
        <v>17.314</v>
      </c>
      <c r="HB16" s="58">
        <v>110.33799999999999</v>
      </c>
      <c r="HC16" s="58">
        <v>39.828000000000003</v>
      </c>
      <c r="HD16" s="58">
        <v>70.510000000000005</v>
      </c>
      <c r="HE16" s="58">
        <v>78.438000000000002</v>
      </c>
      <c r="HF16" s="58">
        <v>58.344000000000001</v>
      </c>
      <c r="HG16" s="58">
        <v>20.093</v>
      </c>
      <c r="HH16" s="58">
        <v>116.48699999999999</v>
      </c>
      <c r="HI16" s="58">
        <v>41.421999999999997</v>
      </c>
      <c r="HJ16" s="58">
        <v>75.066000000000003</v>
      </c>
      <c r="HK16" s="58">
        <v>118.71599999999999</v>
      </c>
      <c r="HL16" s="58">
        <v>45.951000000000001</v>
      </c>
      <c r="HM16" s="58">
        <v>72.765000000000001</v>
      </c>
      <c r="HN16" s="58">
        <v>243.66399999999999</v>
      </c>
      <c r="HO16" s="58">
        <v>128.934</v>
      </c>
      <c r="HP16" s="58">
        <v>114.729</v>
      </c>
      <c r="HQ16" s="58">
        <v>157.411</v>
      </c>
      <c r="HR16" s="58">
        <v>103.482</v>
      </c>
      <c r="HS16" s="58">
        <v>53.929000000000002</v>
      </c>
      <c r="HT16" s="58">
        <v>86.251999999999995</v>
      </c>
      <c r="HU16" s="58">
        <v>25.452000000000002</v>
      </c>
      <c r="HV16" s="58">
        <v>60.8</v>
      </c>
      <c r="HW16" s="58">
        <v>39.923000000000002</v>
      </c>
      <c r="HX16" s="58">
        <v>20.100000000000001</v>
      </c>
      <c r="HY16" s="58">
        <v>19.823</v>
      </c>
      <c r="HZ16" s="58">
        <v>5.84</v>
      </c>
      <c r="IA16" s="58">
        <v>3.23</v>
      </c>
      <c r="IB16" s="58">
        <v>2.61</v>
      </c>
      <c r="IC16" s="58">
        <v>1.9830000000000001</v>
      </c>
      <c r="ID16" s="58">
        <v>1.7450000000000001</v>
      </c>
      <c r="IE16" s="58">
        <v>0.23799999999999999</v>
      </c>
      <c r="IF16" s="58">
        <v>0.99299999999999999</v>
      </c>
      <c r="IG16" s="58">
        <v>0.99299999999999999</v>
      </c>
      <c r="IH16" s="58">
        <v>0</v>
      </c>
      <c r="II16" s="58">
        <v>0.99</v>
      </c>
      <c r="IJ16" s="58">
        <v>0.752</v>
      </c>
      <c r="IK16" s="58">
        <v>0.23799999999999999</v>
      </c>
      <c r="IL16" s="58">
        <v>3.8570000000000002</v>
      </c>
      <c r="IM16" s="58">
        <v>1.484</v>
      </c>
      <c r="IN16" s="58">
        <v>2.3719999999999999</v>
      </c>
      <c r="IO16" s="58">
        <v>36.700000000000003</v>
      </c>
      <c r="IP16" s="58">
        <v>17.882000000000001</v>
      </c>
      <c r="IQ16" s="58">
        <v>18.818000000000001</v>
      </c>
    </row>
    <row r="17" spans="1:251">
      <c r="A17" s="5">
        <v>42005</v>
      </c>
      <c r="B17" s="58">
        <v>903.36500000000001</v>
      </c>
      <c r="C17" s="58">
        <v>1061.367</v>
      </c>
      <c r="D17" s="58">
        <v>327.43900000000002</v>
      </c>
      <c r="E17" s="58">
        <v>733.92899999999997</v>
      </c>
      <c r="F17" s="58">
        <v>512.11599999999999</v>
      </c>
      <c r="G17" s="58">
        <v>278.34399999999999</v>
      </c>
      <c r="H17" s="58">
        <v>233.77199999999999</v>
      </c>
      <c r="I17" s="58">
        <v>104.467</v>
      </c>
      <c r="J17" s="58">
        <v>61.207999999999998</v>
      </c>
      <c r="K17" s="58">
        <v>43.26</v>
      </c>
      <c r="L17" s="58">
        <v>54.628</v>
      </c>
      <c r="M17" s="58">
        <v>39.469000000000001</v>
      </c>
      <c r="N17" s="58">
        <v>15.16</v>
      </c>
      <c r="O17" s="58">
        <v>27.989000000000001</v>
      </c>
      <c r="P17" s="58">
        <v>18.062000000000001</v>
      </c>
      <c r="Q17" s="58">
        <v>9.9269999999999996</v>
      </c>
      <c r="R17" s="58">
        <v>26.638999999999999</v>
      </c>
      <c r="S17" s="58">
        <v>21.407</v>
      </c>
      <c r="T17" s="58">
        <v>5.2320000000000002</v>
      </c>
      <c r="U17" s="58">
        <v>49.838999999999999</v>
      </c>
      <c r="V17" s="58">
        <v>21.739000000000001</v>
      </c>
      <c r="W17" s="58">
        <v>28.1</v>
      </c>
      <c r="X17" s="58">
        <v>448.13</v>
      </c>
      <c r="Y17" s="58">
        <v>237.86699999999999</v>
      </c>
      <c r="Z17" s="58">
        <v>210.26300000000001</v>
      </c>
      <c r="AA17" s="58">
        <v>171.071</v>
      </c>
      <c r="AB17" s="58">
        <v>130.18899999999999</v>
      </c>
      <c r="AC17" s="58">
        <v>40.881999999999998</v>
      </c>
      <c r="AD17" s="58">
        <v>277.05900000000003</v>
      </c>
      <c r="AE17" s="58">
        <v>107.678</v>
      </c>
      <c r="AF17" s="58">
        <v>169.38</v>
      </c>
      <c r="AG17" s="58">
        <v>217.089</v>
      </c>
      <c r="AH17" s="58">
        <v>163.36500000000001</v>
      </c>
      <c r="AI17" s="58">
        <v>53.723999999999997</v>
      </c>
      <c r="AJ17" s="58">
        <v>295.02600000000001</v>
      </c>
      <c r="AK17" s="58">
        <v>114.979</v>
      </c>
      <c r="AL17" s="58">
        <v>180.048</v>
      </c>
      <c r="AM17" s="58">
        <v>305.048</v>
      </c>
      <c r="AN17" s="58">
        <v>125.74</v>
      </c>
      <c r="AO17" s="58">
        <v>179.30799999999999</v>
      </c>
      <c r="AP17" s="58">
        <v>2933.3130000000001</v>
      </c>
      <c r="AQ17" s="58">
        <v>1590.2449999999999</v>
      </c>
      <c r="AR17" s="58">
        <v>1343.068</v>
      </c>
      <c r="AS17" s="58">
        <v>1982.9480000000001</v>
      </c>
      <c r="AT17" s="58">
        <v>1290.7380000000001</v>
      </c>
      <c r="AU17" s="58">
        <v>692.21</v>
      </c>
      <c r="AV17" s="58">
        <v>950.36500000000001</v>
      </c>
      <c r="AW17" s="58">
        <v>299.50700000000001</v>
      </c>
      <c r="AX17" s="58">
        <v>650.85799999999995</v>
      </c>
      <c r="AY17" s="58">
        <v>504.48399999999998</v>
      </c>
      <c r="AZ17" s="58">
        <v>280.76</v>
      </c>
      <c r="BA17" s="58">
        <v>223.72399999999999</v>
      </c>
      <c r="BB17" s="58">
        <v>113.108</v>
      </c>
      <c r="BC17" s="58">
        <v>65.298000000000002</v>
      </c>
      <c r="BD17" s="58">
        <v>47.808999999999997</v>
      </c>
      <c r="BE17" s="58">
        <v>53.307000000000002</v>
      </c>
      <c r="BF17" s="58">
        <v>41.664000000000001</v>
      </c>
      <c r="BG17" s="58">
        <v>11.644</v>
      </c>
      <c r="BH17" s="58">
        <v>26.05</v>
      </c>
      <c r="BI17" s="58">
        <v>20.042999999999999</v>
      </c>
      <c r="BJ17" s="58">
        <v>6.0069999999999997</v>
      </c>
      <c r="BK17" s="58">
        <v>27.257000000000001</v>
      </c>
      <c r="BL17" s="58">
        <v>21.62</v>
      </c>
      <c r="BM17" s="58">
        <v>5.6369999999999996</v>
      </c>
      <c r="BN17" s="58">
        <v>59.8</v>
      </c>
      <c r="BO17" s="58">
        <v>23.635000000000002</v>
      </c>
      <c r="BP17" s="58">
        <v>36.165999999999997</v>
      </c>
      <c r="BQ17" s="58">
        <v>439.3</v>
      </c>
      <c r="BR17" s="58">
        <v>239.55799999999999</v>
      </c>
      <c r="BS17" s="58">
        <v>199.74100000000001</v>
      </c>
      <c r="BT17" s="58">
        <v>153.357</v>
      </c>
      <c r="BU17" s="58">
        <v>121.09699999999999</v>
      </c>
      <c r="BV17" s="58">
        <v>32.259</v>
      </c>
      <c r="BW17" s="58">
        <v>285.94299999999998</v>
      </c>
      <c r="BX17" s="58">
        <v>118.461</v>
      </c>
      <c r="BY17" s="58">
        <v>167.482</v>
      </c>
      <c r="BZ17" s="58">
        <v>195.357</v>
      </c>
      <c r="CA17" s="58">
        <v>154.58799999999999</v>
      </c>
      <c r="CB17" s="58">
        <v>40.768999999999998</v>
      </c>
      <c r="CC17" s="58">
        <v>309.12599999999998</v>
      </c>
      <c r="CD17" s="58">
        <v>126.172</v>
      </c>
      <c r="CE17" s="58">
        <v>182.95400000000001</v>
      </c>
      <c r="CF17" s="58">
        <v>311.99299999999999</v>
      </c>
      <c r="CG17" s="58">
        <v>138.505</v>
      </c>
      <c r="CH17" s="58">
        <v>173.489</v>
      </c>
      <c r="CI17" s="58">
        <v>2279.415</v>
      </c>
      <c r="CJ17" s="58">
        <v>1212.8050000000001</v>
      </c>
      <c r="CK17" s="58">
        <v>1066.6099999999999</v>
      </c>
      <c r="CL17" s="58">
        <v>1613.5530000000001</v>
      </c>
      <c r="CM17" s="58">
        <v>1009.152</v>
      </c>
      <c r="CN17" s="58">
        <v>604.40200000000004</v>
      </c>
      <c r="CO17" s="58">
        <v>665.86199999999997</v>
      </c>
      <c r="CP17" s="58">
        <v>203.654</v>
      </c>
      <c r="CQ17" s="58">
        <v>462.20800000000003</v>
      </c>
      <c r="CR17" s="58">
        <v>394.60899999999998</v>
      </c>
      <c r="CS17" s="58">
        <v>195.14699999999999</v>
      </c>
      <c r="CT17" s="58">
        <v>199.46199999999999</v>
      </c>
      <c r="CU17" s="58">
        <v>87.89</v>
      </c>
      <c r="CV17" s="58">
        <v>49.284999999999997</v>
      </c>
      <c r="CW17" s="58">
        <v>38.604999999999997</v>
      </c>
      <c r="CX17" s="58">
        <v>38.322000000000003</v>
      </c>
      <c r="CY17" s="58">
        <v>26.975000000000001</v>
      </c>
      <c r="CZ17" s="58">
        <v>11.347</v>
      </c>
      <c r="DA17" s="58">
        <v>20.792999999999999</v>
      </c>
      <c r="DB17" s="58">
        <v>11.782999999999999</v>
      </c>
      <c r="DC17" s="58">
        <v>9.01</v>
      </c>
      <c r="DD17" s="58">
        <v>17.529</v>
      </c>
      <c r="DE17" s="58">
        <v>15.192</v>
      </c>
      <c r="DF17" s="58">
        <v>2.3370000000000002</v>
      </c>
      <c r="DG17" s="58">
        <v>49.567999999999998</v>
      </c>
      <c r="DH17" s="58">
        <v>22.31</v>
      </c>
      <c r="DI17" s="58">
        <v>27.257999999999999</v>
      </c>
      <c r="DJ17" s="58">
        <v>343.60399999999998</v>
      </c>
      <c r="DK17" s="58">
        <v>166.25899999999999</v>
      </c>
      <c r="DL17" s="58">
        <v>177.345</v>
      </c>
      <c r="DM17" s="58">
        <v>131.52500000000001</v>
      </c>
      <c r="DN17" s="58">
        <v>88.278000000000006</v>
      </c>
      <c r="DO17" s="58">
        <v>43.246000000000002</v>
      </c>
      <c r="DP17" s="58">
        <v>212.07900000000001</v>
      </c>
      <c r="DQ17" s="58">
        <v>77.980999999999995</v>
      </c>
      <c r="DR17" s="58">
        <v>134.09800000000001</v>
      </c>
      <c r="DS17" s="58">
        <v>161.72200000000001</v>
      </c>
      <c r="DT17" s="58">
        <v>110.30500000000001</v>
      </c>
      <c r="DU17" s="58">
        <v>51.417000000000002</v>
      </c>
      <c r="DV17" s="58">
        <v>232.886</v>
      </c>
      <c r="DW17" s="58">
        <v>84.841999999999999</v>
      </c>
      <c r="DX17" s="58">
        <v>148.04400000000001</v>
      </c>
      <c r="DY17" s="58">
        <v>232.87200000000001</v>
      </c>
      <c r="DZ17" s="58">
        <v>89.763000000000005</v>
      </c>
      <c r="EA17" s="58">
        <v>143.108</v>
      </c>
      <c r="EB17" s="58">
        <v>790.07799999999997</v>
      </c>
      <c r="EC17" s="58">
        <v>425.452</v>
      </c>
      <c r="ED17" s="58">
        <v>364.62599999999998</v>
      </c>
      <c r="EE17" s="58">
        <v>531.60299999999995</v>
      </c>
      <c r="EF17" s="58">
        <v>350.85700000000003</v>
      </c>
      <c r="EG17" s="58">
        <v>180.74600000000001</v>
      </c>
      <c r="EH17" s="58">
        <v>258.47500000000002</v>
      </c>
      <c r="EI17" s="58">
        <v>74.594999999999999</v>
      </c>
      <c r="EJ17" s="58">
        <v>183.88</v>
      </c>
      <c r="EK17" s="58">
        <v>129.33199999999999</v>
      </c>
      <c r="EL17" s="58">
        <v>72.3</v>
      </c>
      <c r="EM17" s="58">
        <v>57.031999999999996</v>
      </c>
      <c r="EN17" s="58">
        <v>26.765999999999998</v>
      </c>
      <c r="EO17" s="58">
        <v>15.997</v>
      </c>
      <c r="EP17" s="58">
        <v>10.768000000000001</v>
      </c>
      <c r="EQ17" s="58">
        <v>13.337999999999999</v>
      </c>
      <c r="ER17" s="58">
        <v>10.587999999999999</v>
      </c>
      <c r="ES17" s="58">
        <v>2.75</v>
      </c>
      <c r="ET17" s="58">
        <v>7.4009999999999998</v>
      </c>
      <c r="EU17" s="58">
        <v>5.3879999999999999</v>
      </c>
      <c r="EV17" s="58">
        <v>2.0129999999999999</v>
      </c>
      <c r="EW17" s="58">
        <v>5.9370000000000003</v>
      </c>
      <c r="EX17" s="58">
        <v>5.1989999999999998</v>
      </c>
      <c r="EY17" s="58">
        <v>0.73799999999999999</v>
      </c>
      <c r="EZ17" s="58">
        <v>13.427</v>
      </c>
      <c r="FA17" s="58">
        <v>5.4089999999999998</v>
      </c>
      <c r="FB17" s="58">
        <v>8.0180000000000007</v>
      </c>
      <c r="FC17" s="58">
        <v>112.78</v>
      </c>
      <c r="FD17" s="58">
        <v>61.093000000000004</v>
      </c>
      <c r="FE17" s="58">
        <v>51.686</v>
      </c>
      <c r="FF17" s="58">
        <v>40.433</v>
      </c>
      <c r="FG17" s="58">
        <v>31.59</v>
      </c>
      <c r="FH17" s="58">
        <v>8.843</v>
      </c>
      <c r="FI17" s="58">
        <v>72.346999999999994</v>
      </c>
      <c r="FJ17" s="58">
        <v>29.504000000000001</v>
      </c>
      <c r="FK17" s="58">
        <v>42.843000000000004</v>
      </c>
      <c r="FL17" s="58">
        <v>52.143000000000001</v>
      </c>
      <c r="FM17" s="58">
        <v>40.994999999999997</v>
      </c>
      <c r="FN17" s="58">
        <v>11.148</v>
      </c>
      <c r="FO17" s="58">
        <v>77.188999999999993</v>
      </c>
      <c r="FP17" s="58">
        <v>31.305</v>
      </c>
      <c r="FQ17" s="58">
        <v>45.884</v>
      </c>
      <c r="FR17" s="58">
        <v>79.748000000000005</v>
      </c>
      <c r="FS17" s="58">
        <v>34.892000000000003</v>
      </c>
      <c r="FT17" s="58">
        <v>44.856000000000002</v>
      </c>
      <c r="FU17" s="58">
        <v>1308.8420000000001</v>
      </c>
      <c r="FV17" s="58">
        <v>735.178</v>
      </c>
      <c r="FW17" s="58">
        <v>573.66399999999999</v>
      </c>
      <c r="FX17" s="58">
        <v>941.89700000000005</v>
      </c>
      <c r="FY17" s="58">
        <v>634.82600000000002</v>
      </c>
      <c r="FZ17" s="58">
        <v>307.07100000000003</v>
      </c>
      <c r="GA17" s="58">
        <v>366.94499999999999</v>
      </c>
      <c r="GB17" s="58">
        <v>100.352</v>
      </c>
      <c r="GC17" s="58">
        <v>266.59300000000002</v>
      </c>
      <c r="GD17" s="58">
        <v>203.92599999999999</v>
      </c>
      <c r="GE17" s="58">
        <v>109.97</v>
      </c>
      <c r="GF17" s="58">
        <v>93.956000000000003</v>
      </c>
      <c r="GG17" s="58">
        <v>47.828000000000003</v>
      </c>
      <c r="GH17" s="58">
        <v>30.291</v>
      </c>
      <c r="GI17" s="58">
        <v>17.536000000000001</v>
      </c>
      <c r="GJ17" s="58">
        <v>24.568000000000001</v>
      </c>
      <c r="GK17" s="58">
        <v>21.54</v>
      </c>
      <c r="GL17" s="58">
        <v>3.0289999999999999</v>
      </c>
      <c r="GM17" s="58">
        <v>12.317</v>
      </c>
      <c r="GN17" s="58">
        <v>10.497</v>
      </c>
      <c r="GO17" s="58">
        <v>1.82</v>
      </c>
      <c r="GP17" s="58">
        <v>12.250999999999999</v>
      </c>
      <c r="GQ17" s="58">
        <v>11.042</v>
      </c>
      <c r="GR17" s="58">
        <v>1.2090000000000001</v>
      </c>
      <c r="GS17" s="58">
        <v>23.259</v>
      </c>
      <c r="GT17" s="58">
        <v>8.7520000000000007</v>
      </c>
      <c r="GU17" s="58">
        <v>14.507</v>
      </c>
      <c r="GV17" s="58">
        <v>174.173</v>
      </c>
      <c r="GW17" s="58">
        <v>89.965999999999994</v>
      </c>
      <c r="GX17" s="58">
        <v>84.206999999999994</v>
      </c>
      <c r="GY17" s="58">
        <v>71.66</v>
      </c>
      <c r="GZ17" s="58">
        <v>51.898000000000003</v>
      </c>
      <c r="HA17" s="58">
        <v>19.762</v>
      </c>
      <c r="HB17" s="58">
        <v>102.512</v>
      </c>
      <c r="HC17" s="58">
        <v>38.067999999999998</v>
      </c>
      <c r="HD17" s="58">
        <v>64.444000000000003</v>
      </c>
      <c r="HE17" s="58">
        <v>89.894999999999996</v>
      </c>
      <c r="HF17" s="58">
        <v>68.028000000000006</v>
      </c>
      <c r="HG17" s="58">
        <v>21.867000000000001</v>
      </c>
      <c r="HH17" s="58">
        <v>114.03100000000001</v>
      </c>
      <c r="HI17" s="58">
        <v>41.942</v>
      </c>
      <c r="HJ17" s="58">
        <v>72.088999999999999</v>
      </c>
      <c r="HK17" s="58">
        <v>114.83</v>
      </c>
      <c r="HL17" s="58">
        <v>48.564999999999998</v>
      </c>
      <c r="HM17" s="58">
        <v>66.265000000000001</v>
      </c>
      <c r="HN17" s="58">
        <v>238.79599999999999</v>
      </c>
      <c r="HO17" s="58">
        <v>127.61</v>
      </c>
      <c r="HP17" s="58">
        <v>111.18600000000001</v>
      </c>
      <c r="HQ17" s="58">
        <v>156.94</v>
      </c>
      <c r="HR17" s="58">
        <v>103.73399999999999</v>
      </c>
      <c r="HS17" s="58">
        <v>53.206000000000003</v>
      </c>
      <c r="HT17" s="58">
        <v>81.855999999999995</v>
      </c>
      <c r="HU17" s="58">
        <v>23.876000000000001</v>
      </c>
      <c r="HV17" s="58">
        <v>57.978999999999999</v>
      </c>
      <c r="HW17" s="58">
        <v>41.847999999999999</v>
      </c>
      <c r="HX17" s="58">
        <v>20.681000000000001</v>
      </c>
      <c r="HY17" s="58">
        <v>21.167999999999999</v>
      </c>
      <c r="HZ17" s="58">
        <v>6.6</v>
      </c>
      <c r="IA17" s="58">
        <v>3.5830000000000002</v>
      </c>
      <c r="IB17" s="58">
        <v>3.0169999999999999</v>
      </c>
      <c r="IC17" s="58">
        <v>2.456</v>
      </c>
      <c r="ID17" s="58">
        <v>1.8959999999999999</v>
      </c>
      <c r="IE17" s="58">
        <v>0.56000000000000005</v>
      </c>
      <c r="IF17" s="58">
        <v>1.2929999999999999</v>
      </c>
      <c r="IG17" s="58">
        <v>1.0920000000000001</v>
      </c>
      <c r="IH17" s="58">
        <v>0.2</v>
      </c>
      <c r="II17" s="58">
        <v>1.163</v>
      </c>
      <c r="IJ17" s="58">
        <v>0.80400000000000005</v>
      </c>
      <c r="IK17" s="58">
        <v>0.35899999999999999</v>
      </c>
      <c r="IL17" s="58">
        <v>4.1440000000000001</v>
      </c>
      <c r="IM17" s="58">
        <v>1.6870000000000001</v>
      </c>
      <c r="IN17" s="58">
        <v>2.4569999999999999</v>
      </c>
      <c r="IO17" s="58">
        <v>38.31</v>
      </c>
      <c r="IP17" s="58">
        <v>18.282</v>
      </c>
      <c r="IQ17" s="58">
        <v>20.027000000000001</v>
      </c>
    </row>
    <row r="18" spans="1:251">
      <c r="A18" s="5">
        <v>42036</v>
      </c>
      <c r="B18" s="58">
        <v>928.62300000000005</v>
      </c>
      <c r="C18" s="58">
        <v>1073.424</v>
      </c>
      <c r="D18" s="58">
        <v>326.17</v>
      </c>
      <c r="E18" s="58">
        <v>747.25400000000002</v>
      </c>
      <c r="F18" s="58">
        <v>499.53899999999999</v>
      </c>
      <c r="G18" s="58">
        <v>269.91399999999999</v>
      </c>
      <c r="H18" s="58">
        <v>229.625</v>
      </c>
      <c r="I18" s="58">
        <v>105.5</v>
      </c>
      <c r="J18" s="58">
        <v>61.497999999999998</v>
      </c>
      <c r="K18" s="58">
        <v>44.002000000000002</v>
      </c>
      <c r="L18" s="58">
        <v>43.021000000000001</v>
      </c>
      <c r="M18" s="58">
        <v>32.412999999999997</v>
      </c>
      <c r="N18" s="58">
        <v>10.608000000000001</v>
      </c>
      <c r="O18" s="58">
        <v>24.437999999999999</v>
      </c>
      <c r="P18" s="58">
        <v>19.600000000000001</v>
      </c>
      <c r="Q18" s="58">
        <v>4.8369999999999997</v>
      </c>
      <c r="R18" s="58">
        <v>18.584</v>
      </c>
      <c r="S18" s="58">
        <v>12.813000000000001</v>
      </c>
      <c r="T18" s="58">
        <v>5.7709999999999999</v>
      </c>
      <c r="U18" s="58">
        <v>62.478999999999999</v>
      </c>
      <c r="V18" s="58">
        <v>29.085000000000001</v>
      </c>
      <c r="W18" s="58">
        <v>33.393999999999998</v>
      </c>
      <c r="X18" s="58">
        <v>438.69099999999997</v>
      </c>
      <c r="Y18" s="58">
        <v>234.01499999999999</v>
      </c>
      <c r="Z18" s="58">
        <v>204.67599999999999</v>
      </c>
      <c r="AA18" s="58">
        <v>157.029</v>
      </c>
      <c r="AB18" s="58">
        <v>123.849</v>
      </c>
      <c r="AC18" s="58">
        <v>33.179000000000002</v>
      </c>
      <c r="AD18" s="58">
        <v>281.66199999999998</v>
      </c>
      <c r="AE18" s="58">
        <v>110.166</v>
      </c>
      <c r="AF18" s="58">
        <v>171.49700000000001</v>
      </c>
      <c r="AG18" s="58">
        <v>189.553</v>
      </c>
      <c r="AH18" s="58">
        <v>147.99700000000001</v>
      </c>
      <c r="AI18" s="58">
        <v>41.555999999999997</v>
      </c>
      <c r="AJ18" s="58">
        <v>309.98599999999999</v>
      </c>
      <c r="AK18" s="58">
        <v>121.917</v>
      </c>
      <c r="AL18" s="58">
        <v>188.06899999999999</v>
      </c>
      <c r="AM18" s="58">
        <v>306.10000000000002</v>
      </c>
      <c r="AN18" s="58">
        <v>129.76599999999999</v>
      </c>
      <c r="AO18" s="58">
        <v>176.334</v>
      </c>
      <c r="AP18" s="58">
        <v>3006.5740000000001</v>
      </c>
      <c r="AQ18" s="58">
        <v>1623.1010000000001</v>
      </c>
      <c r="AR18" s="58">
        <v>1383.472</v>
      </c>
      <c r="AS18" s="58">
        <v>2022.4870000000001</v>
      </c>
      <c r="AT18" s="58">
        <v>1313.0170000000001</v>
      </c>
      <c r="AU18" s="58">
        <v>709.471</v>
      </c>
      <c r="AV18" s="58">
        <v>984.08699999999999</v>
      </c>
      <c r="AW18" s="58">
        <v>310.08499999999998</v>
      </c>
      <c r="AX18" s="58">
        <v>674.00199999999995</v>
      </c>
      <c r="AY18" s="58">
        <v>477.90699999999998</v>
      </c>
      <c r="AZ18" s="58">
        <v>253.62200000000001</v>
      </c>
      <c r="BA18" s="58">
        <v>224.285</v>
      </c>
      <c r="BB18" s="58">
        <v>85.156999999999996</v>
      </c>
      <c r="BC18" s="58">
        <v>44.448</v>
      </c>
      <c r="BD18" s="58">
        <v>40.709000000000003</v>
      </c>
      <c r="BE18" s="58">
        <v>31.2</v>
      </c>
      <c r="BF18" s="58">
        <v>23.427</v>
      </c>
      <c r="BG18" s="58">
        <v>7.774</v>
      </c>
      <c r="BH18" s="58">
        <v>18.169</v>
      </c>
      <c r="BI18" s="58">
        <v>12.845000000000001</v>
      </c>
      <c r="BJ18" s="58">
        <v>5.3250000000000002</v>
      </c>
      <c r="BK18" s="58">
        <v>13.031000000000001</v>
      </c>
      <c r="BL18" s="58">
        <v>10.582000000000001</v>
      </c>
      <c r="BM18" s="58">
        <v>2.4489999999999998</v>
      </c>
      <c r="BN18" s="58">
        <v>53.957000000000001</v>
      </c>
      <c r="BO18" s="58">
        <v>21.021000000000001</v>
      </c>
      <c r="BP18" s="58">
        <v>32.936</v>
      </c>
      <c r="BQ18" s="58">
        <v>430.291</v>
      </c>
      <c r="BR18" s="58">
        <v>229.96700000000001</v>
      </c>
      <c r="BS18" s="58">
        <v>200.32400000000001</v>
      </c>
      <c r="BT18" s="58">
        <v>164.58600000000001</v>
      </c>
      <c r="BU18" s="58">
        <v>128.27099999999999</v>
      </c>
      <c r="BV18" s="58">
        <v>36.314999999999998</v>
      </c>
      <c r="BW18" s="58">
        <v>265.70499999999998</v>
      </c>
      <c r="BX18" s="58">
        <v>101.697</v>
      </c>
      <c r="BY18" s="58">
        <v>164.00800000000001</v>
      </c>
      <c r="BZ18" s="58">
        <v>187.22499999999999</v>
      </c>
      <c r="CA18" s="58">
        <v>145.56</v>
      </c>
      <c r="CB18" s="58">
        <v>41.665999999999997</v>
      </c>
      <c r="CC18" s="58">
        <v>290.68200000000002</v>
      </c>
      <c r="CD18" s="58">
        <v>108.063</v>
      </c>
      <c r="CE18" s="58">
        <v>182.619</v>
      </c>
      <c r="CF18" s="58">
        <v>283.87400000000002</v>
      </c>
      <c r="CG18" s="58">
        <v>114.542</v>
      </c>
      <c r="CH18" s="58">
        <v>169.333</v>
      </c>
      <c r="CI18" s="58">
        <v>2337.5039999999999</v>
      </c>
      <c r="CJ18" s="58">
        <v>1242.184</v>
      </c>
      <c r="CK18" s="58">
        <v>1095.3209999999999</v>
      </c>
      <c r="CL18" s="58">
        <v>1640.9110000000001</v>
      </c>
      <c r="CM18" s="58">
        <v>1035.1010000000001</v>
      </c>
      <c r="CN18" s="58">
        <v>605.80999999999995</v>
      </c>
      <c r="CO18" s="58">
        <v>696.59400000000005</v>
      </c>
      <c r="CP18" s="58">
        <v>207.083</v>
      </c>
      <c r="CQ18" s="58">
        <v>489.51100000000002</v>
      </c>
      <c r="CR18" s="58">
        <v>385.13900000000001</v>
      </c>
      <c r="CS18" s="58">
        <v>206.251</v>
      </c>
      <c r="CT18" s="58">
        <v>178.88800000000001</v>
      </c>
      <c r="CU18" s="58">
        <v>89.53</v>
      </c>
      <c r="CV18" s="58">
        <v>51.04</v>
      </c>
      <c r="CW18" s="58">
        <v>38.49</v>
      </c>
      <c r="CX18" s="58">
        <v>37.261000000000003</v>
      </c>
      <c r="CY18" s="58">
        <v>29.007000000000001</v>
      </c>
      <c r="CZ18" s="58">
        <v>8.2530000000000001</v>
      </c>
      <c r="DA18" s="58">
        <v>20.306999999999999</v>
      </c>
      <c r="DB18" s="58">
        <v>15.756</v>
      </c>
      <c r="DC18" s="58">
        <v>4.5510000000000002</v>
      </c>
      <c r="DD18" s="58">
        <v>16.954000000000001</v>
      </c>
      <c r="DE18" s="58">
        <v>13.250999999999999</v>
      </c>
      <c r="DF18" s="58">
        <v>3.702</v>
      </c>
      <c r="DG18" s="58">
        <v>52.27</v>
      </c>
      <c r="DH18" s="58">
        <v>22.032</v>
      </c>
      <c r="DI18" s="58">
        <v>30.236999999999998</v>
      </c>
      <c r="DJ18" s="58">
        <v>336.09</v>
      </c>
      <c r="DK18" s="58">
        <v>177.59200000000001</v>
      </c>
      <c r="DL18" s="58">
        <v>158.49799999999999</v>
      </c>
      <c r="DM18" s="58">
        <v>130.72300000000001</v>
      </c>
      <c r="DN18" s="58">
        <v>92.495000000000005</v>
      </c>
      <c r="DO18" s="58">
        <v>38.228000000000002</v>
      </c>
      <c r="DP18" s="58">
        <v>205.36699999999999</v>
      </c>
      <c r="DQ18" s="58">
        <v>85.096999999999994</v>
      </c>
      <c r="DR18" s="58">
        <v>120.27</v>
      </c>
      <c r="DS18" s="58">
        <v>158.4</v>
      </c>
      <c r="DT18" s="58">
        <v>114.38800000000001</v>
      </c>
      <c r="DU18" s="58">
        <v>44.012</v>
      </c>
      <c r="DV18" s="58">
        <v>226.738</v>
      </c>
      <c r="DW18" s="58">
        <v>91.861999999999995</v>
      </c>
      <c r="DX18" s="58">
        <v>134.876</v>
      </c>
      <c r="DY18" s="58">
        <v>225.67400000000001</v>
      </c>
      <c r="DZ18" s="58">
        <v>100.85299999999999</v>
      </c>
      <c r="EA18" s="58">
        <v>124.821</v>
      </c>
      <c r="EB18" s="58">
        <v>802.69399999999996</v>
      </c>
      <c r="EC18" s="58">
        <v>432.06900000000002</v>
      </c>
      <c r="ED18" s="58">
        <v>370.62599999999998</v>
      </c>
      <c r="EE18" s="58">
        <v>538.85199999999998</v>
      </c>
      <c r="EF18" s="58">
        <v>358.048</v>
      </c>
      <c r="EG18" s="58">
        <v>180.804</v>
      </c>
      <c r="EH18" s="58">
        <v>263.84199999999998</v>
      </c>
      <c r="EI18" s="58">
        <v>74.021000000000001</v>
      </c>
      <c r="EJ18" s="58">
        <v>189.822</v>
      </c>
      <c r="EK18" s="58">
        <v>123.86799999999999</v>
      </c>
      <c r="EL18" s="58">
        <v>59.505000000000003</v>
      </c>
      <c r="EM18" s="58">
        <v>64.363</v>
      </c>
      <c r="EN18" s="58">
        <v>25.47</v>
      </c>
      <c r="EO18" s="58">
        <v>12.048</v>
      </c>
      <c r="EP18" s="58">
        <v>13.422000000000001</v>
      </c>
      <c r="EQ18" s="58">
        <v>8.6940000000000008</v>
      </c>
      <c r="ER18" s="58">
        <v>6.593</v>
      </c>
      <c r="ES18" s="58">
        <v>2.101</v>
      </c>
      <c r="ET18" s="58">
        <v>5.008</v>
      </c>
      <c r="EU18" s="58">
        <v>3.3639999999999999</v>
      </c>
      <c r="EV18" s="58">
        <v>1.6439999999999999</v>
      </c>
      <c r="EW18" s="58">
        <v>3.6859999999999999</v>
      </c>
      <c r="EX18" s="58">
        <v>3.2290000000000001</v>
      </c>
      <c r="EY18" s="58">
        <v>0.45700000000000002</v>
      </c>
      <c r="EZ18" s="58">
        <v>16.776</v>
      </c>
      <c r="FA18" s="58">
        <v>5.4550000000000001</v>
      </c>
      <c r="FB18" s="58">
        <v>11.321</v>
      </c>
      <c r="FC18" s="58">
        <v>109.834</v>
      </c>
      <c r="FD18" s="58">
        <v>52.444000000000003</v>
      </c>
      <c r="FE18" s="58">
        <v>57.39</v>
      </c>
      <c r="FF18" s="58">
        <v>34.780999999999999</v>
      </c>
      <c r="FG18" s="58">
        <v>26.03</v>
      </c>
      <c r="FH18" s="58">
        <v>8.7509999999999994</v>
      </c>
      <c r="FI18" s="58">
        <v>75.052999999999997</v>
      </c>
      <c r="FJ18" s="58">
        <v>26.414000000000001</v>
      </c>
      <c r="FK18" s="58">
        <v>48.639000000000003</v>
      </c>
      <c r="FL18" s="58">
        <v>41.231999999999999</v>
      </c>
      <c r="FM18" s="58">
        <v>30.83</v>
      </c>
      <c r="FN18" s="58">
        <v>10.401999999999999</v>
      </c>
      <c r="FO18" s="58">
        <v>82.635999999999996</v>
      </c>
      <c r="FP18" s="58">
        <v>28.675000000000001</v>
      </c>
      <c r="FQ18" s="58">
        <v>53.960999999999999</v>
      </c>
      <c r="FR18" s="58">
        <v>80.061000000000007</v>
      </c>
      <c r="FS18" s="58">
        <v>29.777999999999999</v>
      </c>
      <c r="FT18" s="58">
        <v>50.283000000000001</v>
      </c>
      <c r="FU18" s="58">
        <v>1334.5150000000001</v>
      </c>
      <c r="FV18" s="58">
        <v>745.88900000000001</v>
      </c>
      <c r="FW18" s="58">
        <v>588.62599999999998</v>
      </c>
      <c r="FX18" s="58">
        <v>945.65200000000004</v>
      </c>
      <c r="FY18" s="58">
        <v>631.78399999999999</v>
      </c>
      <c r="FZ18" s="58">
        <v>313.86799999999999</v>
      </c>
      <c r="GA18" s="58">
        <v>388.863</v>
      </c>
      <c r="GB18" s="58">
        <v>114.10599999999999</v>
      </c>
      <c r="GC18" s="58">
        <v>274.75799999999998</v>
      </c>
      <c r="GD18" s="58">
        <v>195.37100000000001</v>
      </c>
      <c r="GE18" s="58">
        <v>111.29300000000001</v>
      </c>
      <c r="GF18" s="58">
        <v>84.076999999999998</v>
      </c>
      <c r="GG18" s="58">
        <v>49.048999999999999</v>
      </c>
      <c r="GH18" s="58">
        <v>28.873000000000001</v>
      </c>
      <c r="GI18" s="58">
        <v>20.175999999999998</v>
      </c>
      <c r="GJ18" s="58">
        <v>18.797000000000001</v>
      </c>
      <c r="GK18" s="58">
        <v>15.391</v>
      </c>
      <c r="GL18" s="58">
        <v>3.4060000000000001</v>
      </c>
      <c r="GM18" s="58">
        <v>8.1300000000000008</v>
      </c>
      <c r="GN18" s="58">
        <v>6.2750000000000004</v>
      </c>
      <c r="GO18" s="58">
        <v>1.8540000000000001</v>
      </c>
      <c r="GP18" s="58">
        <v>10.667</v>
      </c>
      <c r="GQ18" s="58">
        <v>9.1159999999999997</v>
      </c>
      <c r="GR18" s="58">
        <v>1.5509999999999999</v>
      </c>
      <c r="GS18" s="58">
        <v>30.251999999999999</v>
      </c>
      <c r="GT18" s="58">
        <v>13.481999999999999</v>
      </c>
      <c r="GU18" s="58">
        <v>16.77</v>
      </c>
      <c r="GV18" s="58">
        <v>167.11600000000001</v>
      </c>
      <c r="GW18" s="58">
        <v>93.429000000000002</v>
      </c>
      <c r="GX18" s="58">
        <v>73.686000000000007</v>
      </c>
      <c r="GY18" s="58">
        <v>72.277000000000001</v>
      </c>
      <c r="GZ18" s="58">
        <v>57.137</v>
      </c>
      <c r="HA18" s="58">
        <v>15.138999999999999</v>
      </c>
      <c r="HB18" s="58">
        <v>94.838999999999999</v>
      </c>
      <c r="HC18" s="58">
        <v>36.292000000000002</v>
      </c>
      <c r="HD18" s="58">
        <v>58.546999999999997</v>
      </c>
      <c r="HE18" s="58">
        <v>86.337000000000003</v>
      </c>
      <c r="HF18" s="58">
        <v>68.481999999999999</v>
      </c>
      <c r="HG18" s="58">
        <v>17.855</v>
      </c>
      <c r="HH18" s="58">
        <v>109.033</v>
      </c>
      <c r="HI18" s="58">
        <v>42.811</v>
      </c>
      <c r="HJ18" s="58">
        <v>66.221999999999994</v>
      </c>
      <c r="HK18" s="58">
        <v>102.968</v>
      </c>
      <c r="HL18" s="58">
        <v>42.567</v>
      </c>
      <c r="HM18" s="58">
        <v>60.401000000000003</v>
      </c>
      <c r="HN18" s="58">
        <v>241.40199999999999</v>
      </c>
      <c r="HO18" s="58">
        <v>129.18100000000001</v>
      </c>
      <c r="HP18" s="58">
        <v>112.221</v>
      </c>
      <c r="HQ18" s="58">
        <v>156.36199999999999</v>
      </c>
      <c r="HR18" s="58">
        <v>103.209</v>
      </c>
      <c r="HS18" s="58">
        <v>53.152999999999999</v>
      </c>
      <c r="HT18" s="58">
        <v>85.04</v>
      </c>
      <c r="HU18" s="58">
        <v>25.972000000000001</v>
      </c>
      <c r="HV18" s="58">
        <v>59.067999999999998</v>
      </c>
      <c r="HW18" s="58">
        <v>38.813000000000002</v>
      </c>
      <c r="HX18" s="58">
        <v>19.622</v>
      </c>
      <c r="HY18" s="58">
        <v>19.190000000000001</v>
      </c>
      <c r="HZ18" s="58">
        <v>7.26</v>
      </c>
      <c r="IA18" s="58">
        <v>3.6389999999999998</v>
      </c>
      <c r="IB18" s="58">
        <v>3.621</v>
      </c>
      <c r="IC18" s="58">
        <v>1.8360000000000001</v>
      </c>
      <c r="ID18" s="58">
        <v>1.573</v>
      </c>
      <c r="IE18" s="58">
        <v>0.26300000000000001</v>
      </c>
      <c r="IF18" s="58">
        <v>0.77</v>
      </c>
      <c r="IG18" s="58">
        <v>0.77</v>
      </c>
      <c r="IH18" s="58">
        <v>0</v>
      </c>
      <c r="II18" s="58">
        <v>1.0660000000000001</v>
      </c>
      <c r="IJ18" s="58">
        <v>0.80300000000000005</v>
      </c>
      <c r="IK18" s="58">
        <v>0.26300000000000001</v>
      </c>
      <c r="IL18" s="58">
        <v>5.4240000000000004</v>
      </c>
      <c r="IM18" s="58">
        <v>2.0659999999999998</v>
      </c>
      <c r="IN18" s="58">
        <v>3.3580000000000001</v>
      </c>
      <c r="IO18" s="58">
        <v>34.561</v>
      </c>
      <c r="IP18" s="58">
        <v>16.859000000000002</v>
      </c>
      <c r="IQ18" s="58">
        <v>17.702000000000002</v>
      </c>
    </row>
    <row r="19" spans="1:251">
      <c r="A19" s="5">
        <v>42064</v>
      </c>
      <c r="B19" s="58">
        <v>918.66399999999999</v>
      </c>
      <c r="C19" s="58">
        <v>1105.6030000000001</v>
      </c>
      <c r="D19" s="58">
        <v>339.49400000000003</v>
      </c>
      <c r="E19" s="58">
        <v>766.11</v>
      </c>
      <c r="F19" s="58">
        <v>514.58600000000001</v>
      </c>
      <c r="G19" s="58">
        <v>273.78500000000003</v>
      </c>
      <c r="H19" s="58">
        <v>240.80099999999999</v>
      </c>
      <c r="I19" s="58">
        <v>89.456000000000003</v>
      </c>
      <c r="J19" s="58">
        <v>53.072000000000003</v>
      </c>
      <c r="K19" s="58">
        <v>36.383000000000003</v>
      </c>
      <c r="L19" s="58">
        <v>44.185000000000002</v>
      </c>
      <c r="M19" s="58">
        <v>34.225999999999999</v>
      </c>
      <c r="N19" s="58">
        <v>9.9589999999999996</v>
      </c>
      <c r="O19" s="58">
        <v>22.431999999999999</v>
      </c>
      <c r="P19" s="58">
        <v>15.638</v>
      </c>
      <c r="Q19" s="58">
        <v>6.7939999999999996</v>
      </c>
      <c r="R19" s="58">
        <v>21.753</v>
      </c>
      <c r="S19" s="58">
        <v>18.588000000000001</v>
      </c>
      <c r="T19" s="58">
        <v>3.1640000000000001</v>
      </c>
      <c r="U19" s="58">
        <v>45.271000000000001</v>
      </c>
      <c r="V19" s="58">
        <v>18.846</v>
      </c>
      <c r="W19" s="58">
        <v>26.423999999999999</v>
      </c>
      <c r="X19" s="58">
        <v>459.99799999999999</v>
      </c>
      <c r="Y19" s="58">
        <v>238.97200000000001</v>
      </c>
      <c r="Z19" s="58">
        <v>221.02600000000001</v>
      </c>
      <c r="AA19" s="58">
        <v>175.92</v>
      </c>
      <c r="AB19" s="58">
        <v>133.54400000000001</v>
      </c>
      <c r="AC19" s="58">
        <v>42.375999999999998</v>
      </c>
      <c r="AD19" s="58">
        <v>284.07799999999997</v>
      </c>
      <c r="AE19" s="58">
        <v>105.428</v>
      </c>
      <c r="AF19" s="58">
        <v>178.65</v>
      </c>
      <c r="AG19" s="58">
        <v>209.33600000000001</v>
      </c>
      <c r="AH19" s="58">
        <v>161.21100000000001</v>
      </c>
      <c r="AI19" s="58">
        <v>48.125999999999998</v>
      </c>
      <c r="AJ19" s="58">
        <v>305.25</v>
      </c>
      <c r="AK19" s="58">
        <v>112.575</v>
      </c>
      <c r="AL19" s="58">
        <v>192.67500000000001</v>
      </c>
      <c r="AM19" s="58">
        <v>306.51</v>
      </c>
      <c r="AN19" s="58">
        <v>121.066</v>
      </c>
      <c r="AO19" s="58">
        <v>185.44399999999999</v>
      </c>
      <c r="AP19" s="58">
        <v>2985.6570000000002</v>
      </c>
      <c r="AQ19" s="58">
        <v>1619.3119999999999</v>
      </c>
      <c r="AR19" s="58">
        <v>1366.345</v>
      </c>
      <c r="AS19" s="58">
        <v>2001.6469999999999</v>
      </c>
      <c r="AT19" s="58">
        <v>1302.893</v>
      </c>
      <c r="AU19" s="58">
        <v>698.75400000000002</v>
      </c>
      <c r="AV19" s="58">
        <v>984.01</v>
      </c>
      <c r="AW19" s="58">
        <v>316.41899999999998</v>
      </c>
      <c r="AX19" s="58">
        <v>667.59100000000001</v>
      </c>
      <c r="AY19" s="58">
        <v>451.12299999999999</v>
      </c>
      <c r="AZ19" s="58">
        <v>235.17</v>
      </c>
      <c r="BA19" s="58">
        <v>215.953</v>
      </c>
      <c r="BB19" s="58">
        <v>86.051000000000002</v>
      </c>
      <c r="BC19" s="58">
        <v>44.369</v>
      </c>
      <c r="BD19" s="58">
        <v>41.682000000000002</v>
      </c>
      <c r="BE19" s="58">
        <v>26.693000000000001</v>
      </c>
      <c r="BF19" s="58">
        <v>20.027999999999999</v>
      </c>
      <c r="BG19" s="58">
        <v>6.6660000000000004</v>
      </c>
      <c r="BH19" s="58">
        <v>15.51</v>
      </c>
      <c r="BI19" s="58">
        <v>11.013</v>
      </c>
      <c r="BJ19" s="58">
        <v>4.4969999999999999</v>
      </c>
      <c r="BK19" s="58">
        <v>11.183</v>
      </c>
      <c r="BL19" s="58">
        <v>9.0139999999999993</v>
      </c>
      <c r="BM19" s="58">
        <v>2.169</v>
      </c>
      <c r="BN19" s="58">
        <v>59.357999999999997</v>
      </c>
      <c r="BO19" s="58">
        <v>24.341000000000001</v>
      </c>
      <c r="BP19" s="58">
        <v>35.017000000000003</v>
      </c>
      <c r="BQ19" s="58">
        <v>405.72199999999998</v>
      </c>
      <c r="BR19" s="58">
        <v>209.971</v>
      </c>
      <c r="BS19" s="58">
        <v>195.751</v>
      </c>
      <c r="BT19" s="58">
        <v>154.262</v>
      </c>
      <c r="BU19" s="58">
        <v>118.88800000000001</v>
      </c>
      <c r="BV19" s="58">
        <v>35.375</v>
      </c>
      <c r="BW19" s="58">
        <v>251.46</v>
      </c>
      <c r="BX19" s="58">
        <v>91.084000000000003</v>
      </c>
      <c r="BY19" s="58">
        <v>160.376</v>
      </c>
      <c r="BZ19" s="58">
        <v>173.30799999999999</v>
      </c>
      <c r="CA19" s="58">
        <v>132.98500000000001</v>
      </c>
      <c r="CB19" s="58">
        <v>40.323</v>
      </c>
      <c r="CC19" s="58">
        <v>277.815</v>
      </c>
      <c r="CD19" s="58">
        <v>102.185</v>
      </c>
      <c r="CE19" s="58">
        <v>175.631</v>
      </c>
      <c r="CF19" s="58">
        <v>266.97000000000003</v>
      </c>
      <c r="CG19" s="58">
        <v>102.09699999999999</v>
      </c>
      <c r="CH19" s="58">
        <v>164.87299999999999</v>
      </c>
      <c r="CI19" s="58">
        <v>2310.5430000000001</v>
      </c>
      <c r="CJ19" s="58">
        <v>1230.992</v>
      </c>
      <c r="CK19" s="58">
        <v>1079.5509999999999</v>
      </c>
      <c r="CL19" s="58">
        <v>1622.9649999999999</v>
      </c>
      <c r="CM19" s="58">
        <v>1034.482</v>
      </c>
      <c r="CN19" s="58">
        <v>588.48400000000004</v>
      </c>
      <c r="CO19" s="58">
        <v>687.57799999999997</v>
      </c>
      <c r="CP19" s="58">
        <v>196.511</v>
      </c>
      <c r="CQ19" s="58">
        <v>491.06700000000001</v>
      </c>
      <c r="CR19" s="58">
        <v>377.21100000000001</v>
      </c>
      <c r="CS19" s="58">
        <v>201.905</v>
      </c>
      <c r="CT19" s="58">
        <v>175.30600000000001</v>
      </c>
      <c r="CU19" s="58">
        <v>70.795000000000002</v>
      </c>
      <c r="CV19" s="58">
        <v>45.478000000000002</v>
      </c>
      <c r="CW19" s="58">
        <v>25.317</v>
      </c>
      <c r="CX19" s="58">
        <v>31.289000000000001</v>
      </c>
      <c r="CY19" s="58">
        <v>25.221</v>
      </c>
      <c r="CZ19" s="58">
        <v>6.0679999999999996</v>
      </c>
      <c r="DA19" s="58">
        <v>16.992000000000001</v>
      </c>
      <c r="DB19" s="58">
        <v>15.144</v>
      </c>
      <c r="DC19" s="58">
        <v>1.8480000000000001</v>
      </c>
      <c r="DD19" s="58">
        <v>14.297000000000001</v>
      </c>
      <c r="DE19" s="58">
        <v>10.077</v>
      </c>
      <c r="DF19" s="58">
        <v>4.22</v>
      </c>
      <c r="DG19" s="58">
        <v>39.506</v>
      </c>
      <c r="DH19" s="58">
        <v>20.257000000000001</v>
      </c>
      <c r="DI19" s="58">
        <v>19.248999999999999</v>
      </c>
      <c r="DJ19" s="58">
        <v>340.14100000000002</v>
      </c>
      <c r="DK19" s="58">
        <v>178.57</v>
      </c>
      <c r="DL19" s="58">
        <v>161.571</v>
      </c>
      <c r="DM19" s="58">
        <v>139.80600000000001</v>
      </c>
      <c r="DN19" s="58">
        <v>104.348</v>
      </c>
      <c r="DO19" s="58">
        <v>35.459000000000003</v>
      </c>
      <c r="DP19" s="58">
        <v>200.334</v>
      </c>
      <c r="DQ19" s="58">
        <v>74.221999999999994</v>
      </c>
      <c r="DR19" s="58">
        <v>126.11199999999999</v>
      </c>
      <c r="DS19" s="58">
        <v>162.328</v>
      </c>
      <c r="DT19" s="58">
        <v>120.801</v>
      </c>
      <c r="DU19" s="58">
        <v>41.527000000000001</v>
      </c>
      <c r="DV19" s="58">
        <v>214.88300000000001</v>
      </c>
      <c r="DW19" s="58">
        <v>81.103999999999999</v>
      </c>
      <c r="DX19" s="58">
        <v>133.779</v>
      </c>
      <c r="DY19" s="58">
        <v>217.32599999999999</v>
      </c>
      <c r="DZ19" s="58">
        <v>89.366</v>
      </c>
      <c r="EA19" s="58">
        <v>127.96</v>
      </c>
      <c r="EB19" s="58">
        <v>807.67100000000005</v>
      </c>
      <c r="EC19" s="58">
        <v>433.834</v>
      </c>
      <c r="ED19" s="58">
        <v>373.83800000000002</v>
      </c>
      <c r="EE19" s="58">
        <v>535.66600000000005</v>
      </c>
      <c r="EF19" s="58">
        <v>357.26</v>
      </c>
      <c r="EG19" s="58">
        <v>178.40600000000001</v>
      </c>
      <c r="EH19" s="58">
        <v>272.00599999999997</v>
      </c>
      <c r="EI19" s="58">
        <v>76.573999999999998</v>
      </c>
      <c r="EJ19" s="58">
        <v>195.43199999999999</v>
      </c>
      <c r="EK19" s="58">
        <v>110.137</v>
      </c>
      <c r="EL19" s="58">
        <v>53.139000000000003</v>
      </c>
      <c r="EM19" s="58">
        <v>56.997999999999998</v>
      </c>
      <c r="EN19" s="58">
        <v>22.236999999999998</v>
      </c>
      <c r="EO19" s="58">
        <v>11.327999999999999</v>
      </c>
      <c r="EP19" s="58">
        <v>10.909000000000001</v>
      </c>
      <c r="EQ19" s="58">
        <v>8.7829999999999995</v>
      </c>
      <c r="ER19" s="58">
        <v>6.6180000000000003</v>
      </c>
      <c r="ES19" s="58">
        <v>2.1659999999999999</v>
      </c>
      <c r="ET19" s="58">
        <v>4.9749999999999996</v>
      </c>
      <c r="EU19" s="58">
        <v>3.05</v>
      </c>
      <c r="EV19" s="58">
        <v>1.925</v>
      </c>
      <c r="EW19" s="58">
        <v>3.8079999999999998</v>
      </c>
      <c r="EX19" s="58">
        <v>3.5670000000000002</v>
      </c>
      <c r="EY19" s="58">
        <v>0.24099999999999999</v>
      </c>
      <c r="EZ19" s="58">
        <v>13.454000000000001</v>
      </c>
      <c r="FA19" s="58">
        <v>4.7110000000000003</v>
      </c>
      <c r="FB19" s="58">
        <v>8.7430000000000003</v>
      </c>
      <c r="FC19" s="58">
        <v>95.655000000000001</v>
      </c>
      <c r="FD19" s="58">
        <v>45.274999999999999</v>
      </c>
      <c r="FE19" s="58">
        <v>50.38</v>
      </c>
      <c r="FF19" s="58">
        <v>30.565999999999999</v>
      </c>
      <c r="FG19" s="58">
        <v>22.751000000000001</v>
      </c>
      <c r="FH19" s="58">
        <v>7.8150000000000004</v>
      </c>
      <c r="FI19" s="58">
        <v>65.088999999999999</v>
      </c>
      <c r="FJ19" s="58">
        <v>22.523</v>
      </c>
      <c r="FK19" s="58">
        <v>42.564999999999998</v>
      </c>
      <c r="FL19" s="58">
        <v>37.6</v>
      </c>
      <c r="FM19" s="58">
        <v>28.140999999999998</v>
      </c>
      <c r="FN19" s="58">
        <v>9.4589999999999996</v>
      </c>
      <c r="FO19" s="58">
        <v>72.537000000000006</v>
      </c>
      <c r="FP19" s="58">
        <v>24.998000000000001</v>
      </c>
      <c r="FQ19" s="58">
        <v>47.539000000000001</v>
      </c>
      <c r="FR19" s="58">
        <v>70.063999999999993</v>
      </c>
      <c r="FS19" s="58">
        <v>25.574000000000002</v>
      </c>
      <c r="FT19" s="58">
        <v>44.49</v>
      </c>
      <c r="FU19" s="58">
        <v>1327.5260000000001</v>
      </c>
      <c r="FV19" s="58">
        <v>738.94799999999998</v>
      </c>
      <c r="FW19" s="58">
        <v>588.57799999999997</v>
      </c>
      <c r="FX19" s="58">
        <v>927.52499999999998</v>
      </c>
      <c r="FY19" s="58">
        <v>618.84400000000005</v>
      </c>
      <c r="FZ19" s="58">
        <v>308.68099999999998</v>
      </c>
      <c r="GA19" s="58">
        <v>400.00099999999998</v>
      </c>
      <c r="GB19" s="58">
        <v>120.104</v>
      </c>
      <c r="GC19" s="58">
        <v>279.89699999999999</v>
      </c>
      <c r="GD19" s="58">
        <v>173.845</v>
      </c>
      <c r="GE19" s="58">
        <v>94.066999999999993</v>
      </c>
      <c r="GF19" s="58">
        <v>79.778000000000006</v>
      </c>
      <c r="GG19" s="58">
        <v>32.633000000000003</v>
      </c>
      <c r="GH19" s="58">
        <v>18.5</v>
      </c>
      <c r="GI19" s="58">
        <v>14.132999999999999</v>
      </c>
      <c r="GJ19" s="58">
        <v>10.887</v>
      </c>
      <c r="GK19" s="58">
        <v>8.9499999999999993</v>
      </c>
      <c r="GL19" s="58">
        <v>1.9359999999999999</v>
      </c>
      <c r="GM19" s="58">
        <v>5.0819999999999999</v>
      </c>
      <c r="GN19" s="58">
        <v>3.831</v>
      </c>
      <c r="GO19" s="58">
        <v>1.25</v>
      </c>
      <c r="GP19" s="58">
        <v>5.8049999999999997</v>
      </c>
      <c r="GQ19" s="58">
        <v>5.1189999999999998</v>
      </c>
      <c r="GR19" s="58">
        <v>0.68600000000000005</v>
      </c>
      <c r="GS19" s="58">
        <v>21.747</v>
      </c>
      <c r="GT19" s="58">
        <v>9.5500000000000007</v>
      </c>
      <c r="GU19" s="58">
        <v>12.196999999999999</v>
      </c>
      <c r="GV19" s="58">
        <v>153.76599999999999</v>
      </c>
      <c r="GW19" s="58">
        <v>82.066000000000003</v>
      </c>
      <c r="GX19" s="58">
        <v>71.700999999999993</v>
      </c>
      <c r="GY19" s="58">
        <v>60.904000000000003</v>
      </c>
      <c r="GZ19" s="58">
        <v>48.238</v>
      </c>
      <c r="HA19" s="58">
        <v>12.667</v>
      </c>
      <c r="HB19" s="58">
        <v>92.861999999999995</v>
      </c>
      <c r="HC19" s="58">
        <v>33.828000000000003</v>
      </c>
      <c r="HD19" s="58">
        <v>59.033999999999999</v>
      </c>
      <c r="HE19" s="58">
        <v>70.215999999999994</v>
      </c>
      <c r="HF19" s="58">
        <v>55.933999999999997</v>
      </c>
      <c r="HG19" s="58">
        <v>14.282</v>
      </c>
      <c r="HH19" s="58">
        <v>103.628</v>
      </c>
      <c r="HI19" s="58">
        <v>38.133000000000003</v>
      </c>
      <c r="HJ19" s="58">
        <v>65.495999999999995</v>
      </c>
      <c r="HK19" s="58">
        <v>97.942999999999998</v>
      </c>
      <c r="HL19" s="58">
        <v>37.658999999999999</v>
      </c>
      <c r="HM19" s="58">
        <v>60.283999999999999</v>
      </c>
      <c r="HN19" s="58">
        <v>240.73400000000001</v>
      </c>
      <c r="HO19" s="58">
        <v>126.872</v>
      </c>
      <c r="HP19" s="58">
        <v>113.861</v>
      </c>
      <c r="HQ19" s="58">
        <v>156.69200000000001</v>
      </c>
      <c r="HR19" s="58">
        <v>102.134</v>
      </c>
      <c r="HS19" s="58">
        <v>54.558</v>
      </c>
      <c r="HT19" s="58">
        <v>84.042000000000002</v>
      </c>
      <c r="HU19" s="58">
        <v>24.739000000000001</v>
      </c>
      <c r="HV19" s="58">
        <v>59.302999999999997</v>
      </c>
      <c r="HW19" s="58">
        <v>40.408000000000001</v>
      </c>
      <c r="HX19" s="58">
        <v>21.135999999999999</v>
      </c>
      <c r="HY19" s="58">
        <v>19.271999999999998</v>
      </c>
      <c r="HZ19" s="58">
        <v>7.0179999999999998</v>
      </c>
      <c r="IA19" s="58">
        <v>4.3490000000000002</v>
      </c>
      <c r="IB19" s="58">
        <v>2.6680000000000001</v>
      </c>
      <c r="IC19" s="58">
        <v>2.4009999999999998</v>
      </c>
      <c r="ID19" s="58">
        <v>1.7629999999999999</v>
      </c>
      <c r="IE19" s="58">
        <v>0.63800000000000001</v>
      </c>
      <c r="IF19" s="58">
        <v>0.78800000000000003</v>
      </c>
      <c r="IG19" s="58">
        <v>0.68300000000000005</v>
      </c>
      <c r="IH19" s="58">
        <v>0.105</v>
      </c>
      <c r="II19" s="58">
        <v>1.613</v>
      </c>
      <c r="IJ19" s="58">
        <v>1.08</v>
      </c>
      <c r="IK19" s="58">
        <v>0.53300000000000003</v>
      </c>
      <c r="IL19" s="58">
        <v>4.6159999999999997</v>
      </c>
      <c r="IM19" s="58">
        <v>2.5859999999999999</v>
      </c>
      <c r="IN19" s="58">
        <v>2.0299999999999998</v>
      </c>
      <c r="IO19" s="58">
        <v>36.405999999999999</v>
      </c>
      <c r="IP19" s="58">
        <v>18.849</v>
      </c>
      <c r="IQ19" s="58">
        <v>17.556999999999999</v>
      </c>
    </row>
    <row r="20" spans="1:251">
      <c r="A20" s="5">
        <v>42095</v>
      </c>
      <c r="B20" s="58">
        <v>928.36900000000003</v>
      </c>
      <c r="C20" s="58">
        <v>1132.3610000000001</v>
      </c>
      <c r="D20" s="58">
        <v>374.91399999999999</v>
      </c>
      <c r="E20" s="58">
        <v>757.447</v>
      </c>
      <c r="F20" s="58">
        <v>541.81799999999998</v>
      </c>
      <c r="G20" s="58">
        <v>297.36399999999998</v>
      </c>
      <c r="H20" s="58">
        <v>244.45400000000001</v>
      </c>
      <c r="I20" s="58">
        <v>82.903999999999996</v>
      </c>
      <c r="J20" s="58">
        <v>46.972999999999999</v>
      </c>
      <c r="K20" s="58">
        <v>35.930999999999997</v>
      </c>
      <c r="L20" s="58">
        <v>22.216999999999999</v>
      </c>
      <c r="M20" s="58">
        <v>17.297999999999998</v>
      </c>
      <c r="N20" s="58">
        <v>4.9180000000000001</v>
      </c>
      <c r="O20" s="58">
        <v>16.199000000000002</v>
      </c>
      <c r="P20" s="58">
        <v>12.218</v>
      </c>
      <c r="Q20" s="58">
        <v>3.9809999999999999</v>
      </c>
      <c r="R20" s="58">
        <v>6.0179999999999998</v>
      </c>
      <c r="S20" s="58">
        <v>5.08</v>
      </c>
      <c r="T20" s="58">
        <v>0.93700000000000006</v>
      </c>
      <c r="U20" s="58">
        <v>60.686999999999998</v>
      </c>
      <c r="V20" s="58">
        <v>29.673999999999999</v>
      </c>
      <c r="W20" s="58">
        <v>31.012</v>
      </c>
      <c r="X20" s="58">
        <v>497.709</v>
      </c>
      <c r="Y20" s="58">
        <v>274.21100000000001</v>
      </c>
      <c r="Z20" s="58">
        <v>223.49700000000001</v>
      </c>
      <c r="AA20" s="58">
        <v>194.74</v>
      </c>
      <c r="AB20" s="58">
        <v>149.642</v>
      </c>
      <c r="AC20" s="58">
        <v>45.097999999999999</v>
      </c>
      <c r="AD20" s="58">
        <v>302.96899999999999</v>
      </c>
      <c r="AE20" s="58">
        <v>124.57</v>
      </c>
      <c r="AF20" s="58">
        <v>178.399</v>
      </c>
      <c r="AG20" s="58">
        <v>210.74700000000001</v>
      </c>
      <c r="AH20" s="58">
        <v>161.636</v>
      </c>
      <c r="AI20" s="58">
        <v>49.110999999999997</v>
      </c>
      <c r="AJ20" s="58">
        <v>331.07100000000003</v>
      </c>
      <c r="AK20" s="58">
        <v>135.72800000000001</v>
      </c>
      <c r="AL20" s="58">
        <v>195.34299999999999</v>
      </c>
      <c r="AM20" s="58">
        <v>319.16800000000001</v>
      </c>
      <c r="AN20" s="58">
        <v>136.78800000000001</v>
      </c>
      <c r="AO20" s="58">
        <v>182.38</v>
      </c>
      <c r="AP20" s="58">
        <v>2984.1849999999999</v>
      </c>
      <c r="AQ20" s="58">
        <v>1605.7919999999999</v>
      </c>
      <c r="AR20" s="58">
        <v>1378.393</v>
      </c>
      <c r="AS20" s="58">
        <v>1988.9190000000001</v>
      </c>
      <c r="AT20" s="58">
        <v>1296.1559999999999</v>
      </c>
      <c r="AU20" s="58">
        <v>692.76300000000003</v>
      </c>
      <c r="AV20" s="58">
        <v>995.26599999999996</v>
      </c>
      <c r="AW20" s="58">
        <v>309.63499999999999</v>
      </c>
      <c r="AX20" s="58">
        <v>685.63</v>
      </c>
      <c r="AY20" s="58">
        <v>437.78</v>
      </c>
      <c r="AZ20" s="58">
        <v>244.17400000000001</v>
      </c>
      <c r="BA20" s="58">
        <v>193.60599999999999</v>
      </c>
      <c r="BB20" s="58">
        <v>63.640999999999998</v>
      </c>
      <c r="BC20" s="58">
        <v>34.707000000000001</v>
      </c>
      <c r="BD20" s="58">
        <v>28.934000000000001</v>
      </c>
      <c r="BE20" s="58">
        <v>17.472999999999999</v>
      </c>
      <c r="BF20" s="58">
        <v>12.797000000000001</v>
      </c>
      <c r="BG20" s="58">
        <v>4.6760000000000002</v>
      </c>
      <c r="BH20" s="58">
        <v>11.744999999999999</v>
      </c>
      <c r="BI20" s="58">
        <v>9.1690000000000005</v>
      </c>
      <c r="BJ20" s="58">
        <v>2.5760000000000001</v>
      </c>
      <c r="BK20" s="58">
        <v>5.7290000000000001</v>
      </c>
      <c r="BL20" s="58">
        <v>3.6280000000000001</v>
      </c>
      <c r="BM20" s="58">
        <v>2.1</v>
      </c>
      <c r="BN20" s="58">
        <v>46.167999999999999</v>
      </c>
      <c r="BO20" s="58">
        <v>21.908999999999999</v>
      </c>
      <c r="BP20" s="58">
        <v>24.257999999999999</v>
      </c>
      <c r="BQ20" s="58">
        <v>405.31700000000001</v>
      </c>
      <c r="BR20" s="58">
        <v>226.60300000000001</v>
      </c>
      <c r="BS20" s="58">
        <v>178.71299999999999</v>
      </c>
      <c r="BT20" s="58">
        <v>162.78700000000001</v>
      </c>
      <c r="BU20" s="58">
        <v>127.834</v>
      </c>
      <c r="BV20" s="58">
        <v>34.953000000000003</v>
      </c>
      <c r="BW20" s="58">
        <v>242.53</v>
      </c>
      <c r="BX20" s="58">
        <v>98.769000000000005</v>
      </c>
      <c r="BY20" s="58">
        <v>143.761</v>
      </c>
      <c r="BZ20" s="58">
        <v>174.999</v>
      </c>
      <c r="CA20" s="58">
        <v>136.554</v>
      </c>
      <c r="CB20" s="58">
        <v>38.445</v>
      </c>
      <c r="CC20" s="58">
        <v>262.78100000000001</v>
      </c>
      <c r="CD20" s="58">
        <v>107.62</v>
      </c>
      <c r="CE20" s="58">
        <v>155.161</v>
      </c>
      <c r="CF20" s="58">
        <v>254.27500000000001</v>
      </c>
      <c r="CG20" s="58">
        <v>107.938</v>
      </c>
      <c r="CH20" s="58">
        <v>146.33699999999999</v>
      </c>
      <c r="CI20" s="58">
        <v>2323.2359999999999</v>
      </c>
      <c r="CJ20" s="58">
        <v>1235.5409999999999</v>
      </c>
      <c r="CK20" s="58">
        <v>1087.6959999999999</v>
      </c>
      <c r="CL20" s="58">
        <v>1636.5350000000001</v>
      </c>
      <c r="CM20" s="58">
        <v>1030.1469999999999</v>
      </c>
      <c r="CN20" s="58">
        <v>606.38800000000003</v>
      </c>
      <c r="CO20" s="58">
        <v>686.70100000000002</v>
      </c>
      <c r="CP20" s="58">
        <v>205.39400000000001</v>
      </c>
      <c r="CQ20" s="58">
        <v>481.30700000000002</v>
      </c>
      <c r="CR20" s="58">
        <v>369.07100000000003</v>
      </c>
      <c r="CS20" s="58">
        <v>193.238</v>
      </c>
      <c r="CT20" s="58">
        <v>175.833</v>
      </c>
      <c r="CU20" s="58">
        <v>69.674000000000007</v>
      </c>
      <c r="CV20" s="58">
        <v>39.499000000000002</v>
      </c>
      <c r="CW20" s="58">
        <v>30.175000000000001</v>
      </c>
      <c r="CX20" s="58">
        <v>19.117999999999999</v>
      </c>
      <c r="CY20" s="58">
        <v>14.984</v>
      </c>
      <c r="CZ20" s="58">
        <v>4.1340000000000003</v>
      </c>
      <c r="DA20" s="58">
        <v>13.462999999999999</v>
      </c>
      <c r="DB20" s="58">
        <v>10.250999999999999</v>
      </c>
      <c r="DC20" s="58">
        <v>3.2120000000000002</v>
      </c>
      <c r="DD20" s="58">
        <v>5.6539999999999999</v>
      </c>
      <c r="DE20" s="58">
        <v>4.7329999999999997</v>
      </c>
      <c r="DF20" s="58">
        <v>0.92100000000000004</v>
      </c>
      <c r="DG20" s="58">
        <v>50.555999999999997</v>
      </c>
      <c r="DH20" s="58">
        <v>24.515000000000001</v>
      </c>
      <c r="DI20" s="58">
        <v>26.041</v>
      </c>
      <c r="DJ20" s="58">
        <v>336.29700000000003</v>
      </c>
      <c r="DK20" s="58">
        <v>174.012</v>
      </c>
      <c r="DL20" s="58">
        <v>162.28399999999999</v>
      </c>
      <c r="DM20" s="58">
        <v>127.568</v>
      </c>
      <c r="DN20" s="58">
        <v>96.186000000000007</v>
      </c>
      <c r="DO20" s="58">
        <v>31.382000000000001</v>
      </c>
      <c r="DP20" s="58">
        <v>208.72900000000001</v>
      </c>
      <c r="DQ20" s="58">
        <v>77.826999999999998</v>
      </c>
      <c r="DR20" s="58">
        <v>130.90199999999999</v>
      </c>
      <c r="DS20" s="58">
        <v>140.15199999999999</v>
      </c>
      <c r="DT20" s="58">
        <v>106.395</v>
      </c>
      <c r="DU20" s="58">
        <v>33.756999999999998</v>
      </c>
      <c r="DV20" s="58">
        <v>228.91900000000001</v>
      </c>
      <c r="DW20" s="58">
        <v>86.843999999999994</v>
      </c>
      <c r="DX20" s="58">
        <v>142.07499999999999</v>
      </c>
      <c r="DY20" s="58">
        <v>222.19300000000001</v>
      </c>
      <c r="DZ20" s="58">
        <v>88.078000000000003</v>
      </c>
      <c r="EA20" s="58">
        <v>134.114</v>
      </c>
      <c r="EB20" s="58">
        <v>807.94</v>
      </c>
      <c r="EC20" s="58">
        <v>431.75700000000001</v>
      </c>
      <c r="ED20" s="58">
        <v>376.18299999999999</v>
      </c>
      <c r="EE20" s="58">
        <v>533.12400000000002</v>
      </c>
      <c r="EF20" s="58">
        <v>352.608</v>
      </c>
      <c r="EG20" s="58">
        <v>180.51499999999999</v>
      </c>
      <c r="EH20" s="58">
        <v>274.81599999999997</v>
      </c>
      <c r="EI20" s="58">
        <v>79.149000000000001</v>
      </c>
      <c r="EJ20" s="58">
        <v>195.66800000000001</v>
      </c>
      <c r="EK20" s="58">
        <v>115.905</v>
      </c>
      <c r="EL20" s="58">
        <v>54.927999999999997</v>
      </c>
      <c r="EM20" s="58">
        <v>60.978000000000002</v>
      </c>
      <c r="EN20" s="58">
        <v>17.960999999999999</v>
      </c>
      <c r="EO20" s="58">
        <v>9.1820000000000004</v>
      </c>
      <c r="EP20" s="58">
        <v>8.7780000000000005</v>
      </c>
      <c r="EQ20" s="58">
        <v>2.9279999999999999</v>
      </c>
      <c r="ER20" s="58">
        <v>2.5720000000000001</v>
      </c>
      <c r="ES20" s="58">
        <v>0.35599999999999998</v>
      </c>
      <c r="ET20" s="58">
        <v>2.4420000000000002</v>
      </c>
      <c r="EU20" s="58">
        <v>2.0859999999999999</v>
      </c>
      <c r="EV20" s="58">
        <v>0.35599999999999998</v>
      </c>
      <c r="EW20" s="58">
        <v>0.48599999999999999</v>
      </c>
      <c r="EX20" s="58">
        <v>0.48599999999999999</v>
      </c>
      <c r="EY20" s="58">
        <v>0</v>
      </c>
      <c r="EZ20" s="58">
        <v>15.032999999999999</v>
      </c>
      <c r="FA20" s="58">
        <v>6.61</v>
      </c>
      <c r="FB20" s="58">
        <v>8.4220000000000006</v>
      </c>
      <c r="FC20" s="58">
        <v>106.589</v>
      </c>
      <c r="FD20" s="58">
        <v>49.698</v>
      </c>
      <c r="FE20" s="58">
        <v>56.890999999999998</v>
      </c>
      <c r="FF20" s="58">
        <v>36.021000000000001</v>
      </c>
      <c r="FG20" s="58">
        <v>27.234000000000002</v>
      </c>
      <c r="FH20" s="58">
        <v>8.7870000000000008</v>
      </c>
      <c r="FI20" s="58">
        <v>70.567999999999998</v>
      </c>
      <c r="FJ20" s="58">
        <v>22.465</v>
      </c>
      <c r="FK20" s="58">
        <v>48.103999999999999</v>
      </c>
      <c r="FL20" s="58">
        <v>37.834000000000003</v>
      </c>
      <c r="FM20" s="58">
        <v>28.69</v>
      </c>
      <c r="FN20" s="58">
        <v>9.1430000000000007</v>
      </c>
      <c r="FO20" s="58">
        <v>78.072000000000003</v>
      </c>
      <c r="FP20" s="58">
        <v>26.236999999999998</v>
      </c>
      <c r="FQ20" s="58">
        <v>51.834000000000003</v>
      </c>
      <c r="FR20" s="58">
        <v>73.010000000000005</v>
      </c>
      <c r="FS20" s="58">
        <v>24.55</v>
      </c>
      <c r="FT20" s="58">
        <v>48.46</v>
      </c>
      <c r="FU20" s="58">
        <v>1312.5170000000001</v>
      </c>
      <c r="FV20" s="58">
        <v>729.75699999999995</v>
      </c>
      <c r="FW20" s="58">
        <v>582.76</v>
      </c>
      <c r="FX20" s="58">
        <v>919.75</v>
      </c>
      <c r="FY20" s="58">
        <v>608.91200000000003</v>
      </c>
      <c r="FZ20" s="58">
        <v>310.83800000000002</v>
      </c>
      <c r="GA20" s="58">
        <v>392.767</v>
      </c>
      <c r="GB20" s="58">
        <v>120.845</v>
      </c>
      <c r="GC20" s="58">
        <v>271.92200000000003</v>
      </c>
      <c r="GD20" s="58">
        <v>177.65199999999999</v>
      </c>
      <c r="GE20" s="58">
        <v>98.507000000000005</v>
      </c>
      <c r="GF20" s="58">
        <v>79.144999999999996</v>
      </c>
      <c r="GG20" s="58">
        <v>32.026000000000003</v>
      </c>
      <c r="GH20" s="58">
        <v>18.888000000000002</v>
      </c>
      <c r="GI20" s="58">
        <v>13.138</v>
      </c>
      <c r="GJ20" s="58">
        <v>10.596</v>
      </c>
      <c r="GK20" s="58">
        <v>8.4969999999999999</v>
      </c>
      <c r="GL20" s="58">
        <v>2.0990000000000002</v>
      </c>
      <c r="GM20" s="58">
        <v>5.452</v>
      </c>
      <c r="GN20" s="58">
        <v>4.1150000000000002</v>
      </c>
      <c r="GO20" s="58">
        <v>1.337</v>
      </c>
      <c r="GP20" s="58">
        <v>5.1440000000000001</v>
      </c>
      <c r="GQ20" s="58">
        <v>4.3810000000000002</v>
      </c>
      <c r="GR20" s="58">
        <v>0.76300000000000001</v>
      </c>
      <c r="GS20" s="58">
        <v>21.43</v>
      </c>
      <c r="GT20" s="58">
        <v>10.391</v>
      </c>
      <c r="GU20" s="58">
        <v>11.039</v>
      </c>
      <c r="GV20" s="58">
        <v>160.726</v>
      </c>
      <c r="GW20" s="58">
        <v>89.253</v>
      </c>
      <c r="GX20" s="58">
        <v>71.472999999999999</v>
      </c>
      <c r="GY20" s="58">
        <v>65.474999999999994</v>
      </c>
      <c r="GZ20" s="58">
        <v>50.024000000000001</v>
      </c>
      <c r="HA20" s="58">
        <v>15.45</v>
      </c>
      <c r="HB20" s="58">
        <v>95.251999999999995</v>
      </c>
      <c r="HC20" s="58">
        <v>39.228999999999999</v>
      </c>
      <c r="HD20" s="58">
        <v>56.023000000000003</v>
      </c>
      <c r="HE20" s="58">
        <v>72.587999999999994</v>
      </c>
      <c r="HF20" s="58">
        <v>55.037999999999997</v>
      </c>
      <c r="HG20" s="58">
        <v>17.55</v>
      </c>
      <c r="HH20" s="58">
        <v>105.06399999999999</v>
      </c>
      <c r="HI20" s="58">
        <v>43.469000000000001</v>
      </c>
      <c r="HJ20" s="58">
        <v>61.594999999999999</v>
      </c>
      <c r="HK20" s="58">
        <v>100.70399999999999</v>
      </c>
      <c r="HL20" s="58">
        <v>43.344000000000001</v>
      </c>
      <c r="HM20" s="58">
        <v>57.36</v>
      </c>
      <c r="HN20" s="58">
        <v>240.23599999999999</v>
      </c>
      <c r="HO20" s="58">
        <v>127.384</v>
      </c>
      <c r="HP20" s="58">
        <v>112.851</v>
      </c>
      <c r="HQ20" s="58">
        <v>153.334</v>
      </c>
      <c r="HR20" s="58">
        <v>101.38200000000001</v>
      </c>
      <c r="HS20" s="58">
        <v>51.951999999999998</v>
      </c>
      <c r="HT20" s="58">
        <v>86.902000000000001</v>
      </c>
      <c r="HU20" s="58">
        <v>26.003</v>
      </c>
      <c r="HV20" s="58">
        <v>60.899000000000001</v>
      </c>
      <c r="HW20" s="58">
        <v>40.837000000000003</v>
      </c>
      <c r="HX20" s="58">
        <v>21.548999999999999</v>
      </c>
      <c r="HY20" s="58">
        <v>19.288</v>
      </c>
      <c r="HZ20" s="58">
        <v>5.702</v>
      </c>
      <c r="IA20" s="58">
        <v>3.121</v>
      </c>
      <c r="IB20" s="58">
        <v>2.5819999999999999</v>
      </c>
      <c r="IC20" s="58">
        <v>1.482</v>
      </c>
      <c r="ID20" s="58">
        <v>1.252</v>
      </c>
      <c r="IE20" s="58">
        <v>0.23</v>
      </c>
      <c r="IF20" s="58">
        <v>1.2130000000000001</v>
      </c>
      <c r="IG20" s="58">
        <v>1.105</v>
      </c>
      <c r="IH20" s="58">
        <v>0.108</v>
      </c>
      <c r="II20" s="58">
        <v>0.26900000000000002</v>
      </c>
      <c r="IJ20" s="58">
        <v>0.14699999999999999</v>
      </c>
      <c r="IK20" s="58">
        <v>0.122</v>
      </c>
      <c r="IL20" s="58">
        <v>4.2210000000000001</v>
      </c>
      <c r="IM20" s="58">
        <v>1.869</v>
      </c>
      <c r="IN20" s="58">
        <v>2.3519999999999999</v>
      </c>
      <c r="IO20" s="58">
        <v>37.874000000000002</v>
      </c>
      <c r="IP20" s="58">
        <v>20.027000000000001</v>
      </c>
      <c r="IQ20" s="58">
        <v>17.846</v>
      </c>
    </row>
    <row r="21" spans="1:251">
      <c r="A21" s="5">
        <v>42125</v>
      </c>
      <c r="B21" s="58">
        <v>943.63199999999995</v>
      </c>
      <c r="C21" s="58">
        <v>1108.251</v>
      </c>
      <c r="D21" s="58">
        <v>361.58300000000003</v>
      </c>
      <c r="E21" s="58">
        <v>746.66800000000001</v>
      </c>
      <c r="F21" s="58">
        <v>541.55499999999995</v>
      </c>
      <c r="G21" s="58">
        <v>293.80900000000003</v>
      </c>
      <c r="H21" s="58">
        <v>247.74600000000001</v>
      </c>
      <c r="I21" s="58">
        <v>91.953000000000003</v>
      </c>
      <c r="J21" s="58">
        <v>60.072000000000003</v>
      </c>
      <c r="K21" s="58">
        <v>31.88</v>
      </c>
      <c r="L21" s="58">
        <v>40.695999999999998</v>
      </c>
      <c r="M21" s="58">
        <v>34.226999999999997</v>
      </c>
      <c r="N21" s="58">
        <v>6.4690000000000003</v>
      </c>
      <c r="O21" s="58">
        <v>21.082000000000001</v>
      </c>
      <c r="P21" s="58">
        <v>17.061</v>
      </c>
      <c r="Q21" s="58">
        <v>4.0209999999999999</v>
      </c>
      <c r="R21" s="58">
        <v>19.614000000000001</v>
      </c>
      <c r="S21" s="58">
        <v>17.167000000000002</v>
      </c>
      <c r="T21" s="58">
        <v>2.448</v>
      </c>
      <c r="U21" s="58">
        <v>51.256999999999998</v>
      </c>
      <c r="V21" s="58">
        <v>25.844999999999999</v>
      </c>
      <c r="W21" s="58">
        <v>25.411000000000001</v>
      </c>
      <c r="X21" s="58">
        <v>489.73</v>
      </c>
      <c r="Y21" s="58">
        <v>262.49400000000003</v>
      </c>
      <c r="Z21" s="58">
        <v>227.23599999999999</v>
      </c>
      <c r="AA21" s="58">
        <v>193.05500000000001</v>
      </c>
      <c r="AB21" s="58">
        <v>148.49700000000001</v>
      </c>
      <c r="AC21" s="58">
        <v>44.558</v>
      </c>
      <c r="AD21" s="58">
        <v>296.67599999999999</v>
      </c>
      <c r="AE21" s="58">
        <v>113.997</v>
      </c>
      <c r="AF21" s="58">
        <v>182.679</v>
      </c>
      <c r="AG21" s="58">
        <v>219.691</v>
      </c>
      <c r="AH21" s="58">
        <v>170.24</v>
      </c>
      <c r="AI21" s="58">
        <v>49.451000000000001</v>
      </c>
      <c r="AJ21" s="58">
        <v>321.86399999999998</v>
      </c>
      <c r="AK21" s="58">
        <v>123.569</v>
      </c>
      <c r="AL21" s="58">
        <v>198.29499999999999</v>
      </c>
      <c r="AM21" s="58">
        <v>317.75700000000001</v>
      </c>
      <c r="AN21" s="58">
        <v>131.05699999999999</v>
      </c>
      <c r="AO21" s="58">
        <v>186.7</v>
      </c>
      <c r="AP21" s="58">
        <v>3002.15</v>
      </c>
      <c r="AQ21" s="58">
        <v>1618.037</v>
      </c>
      <c r="AR21" s="58">
        <v>1384.1130000000001</v>
      </c>
      <c r="AS21" s="58">
        <v>1982.2249999999999</v>
      </c>
      <c r="AT21" s="58">
        <v>1293.971</v>
      </c>
      <c r="AU21" s="58">
        <v>688.255</v>
      </c>
      <c r="AV21" s="58">
        <v>1019.925</v>
      </c>
      <c r="AW21" s="58">
        <v>324.06700000000001</v>
      </c>
      <c r="AX21" s="58">
        <v>695.85799999999995</v>
      </c>
      <c r="AY21" s="58">
        <v>465.53399999999999</v>
      </c>
      <c r="AZ21" s="58">
        <v>251.39500000000001</v>
      </c>
      <c r="BA21" s="58">
        <v>214.13900000000001</v>
      </c>
      <c r="BB21" s="58">
        <v>85.39</v>
      </c>
      <c r="BC21" s="58">
        <v>44.9</v>
      </c>
      <c r="BD21" s="58">
        <v>40.49</v>
      </c>
      <c r="BE21" s="58">
        <v>29.029</v>
      </c>
      <c r="BF21" s="58">
        <v>20.042999999999999</v>
      </c>
      <c r="BG21" s="58">
        <v>8.9860000000000007</v>
      </c>
      <c r="BH21" s="58">
        <v>16.834</v>
      </c>
      <c r="BI21" s="58">
        <v>9.859</v>
      </c>
      <c r="BJ21" s="58">
        <v>6.9749999999999996</v>
      </c>
      <c r="BK21" s="58">
        <v>12.196</v>
      </c>
      <c r="BL21" s="58">
        <v>10.183999999999999</v>
      </c>
      <c r="BM21" s="58">
        <v>2.0110000000000001</v>
      </c>
      <c r="BN21" s="58">
        <v>56.360999999999997</v>
      </c>
      <c r="BO21" s="58">
        <v>24.856999999999999</v>
      </c>
      <c r="BP21" s="58">
        <v>31.503</v>
      </c>
      <c r="BQ21" s="58">
        <v>414.03500000000003</v>
      </c>
      <c r="BR21" s="58">
        <v>225.94499999999999</v>
      </c>
      <c r="BS21" s="58">
        <v>188.089</v>
      </c>
      <c r="BT21" s="58">
        <v>164.29499999999999</v>
      </c>
      <c r="BU21" s="58">
        <v>127.38200000000001</v>
      </c>
      <c r="BV21" s="58">
        <v>36.912999999999997</v>
      </c>
      <c r="BW21" s="58">
        <v>249.739</v>
      </c>
      <c r="BX21" s="58">
        <v>98.563000000000002</v>
      </c>
      <c r="BY21" s="58">
        <v>151.17599999999999</v>
      </c>
      <c r="BZ21" s="58">
        <v>188.64699999999999</v>
      </c>
      <c r="CA21" s="58">
        <v>142.74799999999999</v>
      </c>
      <c r="CB21" s="58">
        <v>45.9</v>
      </c>
      <c r="CC21" s="58">
        <v>276.887</v>
      </c>
      <c r="CD21" s="58">
        <v>108.648</v>
      </c>
      <c r="CE21" s="58">
        <v>168.239</v>
      </c>
      <c r="CF21" s="58">
        <v>266.57299999999998</v>
      </c>
      <c r="CG21" s="58">
        <v>108.422</v>
      </c>
      <c r="CH21" s="58">
        <v>158.15100000000001</v>
      </c>
      <c r="CI21" s="58">
        <v>2347.6799999999998</v>
      </c>
      <c r="CJ21" s="58">
        <v>1240.674</v>
      </c>
      <c r="CK21" s="58">
        <v>1107.0050000000001</v>
      </c>
      <c r="CL21" s="58">
        <v>1655.393</v>
      </c>
      <c r="CM21" s="58">
        <v>1044.7339999999999</v>
      </c>
      <c r="CN21" s="58">
        <v>610.65899999999999</v>
      </c>
      <c r="CO21" s="58">
        <v>692.28700000000003</v>
      </c>
      <c r="CP21" s="58">
        <v>195.94</v>
      </c>
      <c r="CQ21" s="58">
        <v>496.346</v>
      </c>
      <c r="CR21" s="58">
        <v>367.67</v>
      </c>
      <c r="CS21" s="58">
        <v>199.078</v>
      </c>
      <c r="CT21" s="58">
        <v>168.59200000000001</v>
      </c>
      <c r="CU21" s="58">
        <v>69.138000000000005</v>
      </c>
      <c r="CV21" s="58">
        <v>42.420999999999999</v>
      </c>
      <c r="CW21" s="58">
        <v>26.716999999999999</v>
      </c>
      <c r="CX21" s="58">
        <v>29.283999999999999</v>
      </c>
      <c r="CY21" s="58">
        <v>24.922000000000001</v>
      </c>
      <c r="CZ21" s="58">
        <v>4.3620000000000001</v>
      </c>
      <c r="DA21" s="58">
        <v>17.245999999999999</v>
      </c>
      <c r="DB21" s="58">
        <v>14.773999999999999</v>
      </c>
      <c r="DC21" s="58">
        <v>2.4729999999999999</v>
      </c>
      <c r="DD21" s="58">
        <v>12.038</v>
      </c>
      <c r="DE21" s="58">
        <v>10.148</v>
      </c>
      <c r="DF21" s="58">
        <v>1.89</v>
      </c>
      <c r="DG21" s="58">
        <v>39.853999999999999</v>
      </c>
      <c r="DH21" s="58">
        <v>17.498999999999999</v>
      </c>
      <c r="DI21" s="58">
        <v>22.353999999999999</v>
      </c>
      <c r="DJ21" s="58">
        <v>332.63</v>
      </c>
      <c r="DK21" s="58">
        <v>177.8</v>
      </c>
      <c r="DL21" s="58">
        <v>154.83000000000001</v>
      </c>
      <c r="DM21" s="58">
        <v>139.10300000000001</v>
      </c>
      <c r="DN21" s="58">
        <v>104.4</v>
      </c>
      <c r="DO21" s="58">
        <v>34.703000000000003</v>
      </c>
      <c r="DP21" s="58">
        <v>193.52699999999999</v>
      </c>
      <c r="DQ21" s="58">
        <v>73.400000000000006</v>
      </c>
      <c r="DR21" s="58">
        <v>120.127</v>
      </c>
      <c r="DS21" s="58">
        <v>159.83500000000001</v>
      </c>
      <c r="DT21" s="58">
        <v>121.211</v>
      </c>
      <c r="DU21" s="58">
        <v>38.624000000000002</v>
      </c>
      <c r="DV21" s="58">
        <v>207.83500000000001</v>
      </c>
      <c r="DW21" s="58">
        <v>77.867000000000004</v>
      </c>
      <c r="DX21" s="58">
        <v>129.96799999999999</v>
      </c>
      <c r="DY21" s="58">
        <v>210.773</v>
      </c>
      <c r="DZ21" s="58">
        <v>88.174000000000007</v>
      </c>
      <c r="EA21" s="58">
        <v>122.599</v>
      </c>
      <c r="EB21" s="58">
        <v>810.42600000000004</v>
      </c>
      <c r="EC21" s="58">
        <v>433.52100000000002</v>
      </c>
      <c r="ED21" s="58">
        <v>376.90499999999997</v>
      </c>
      <c r="EE21" s="58">
        <v>527.96400000000006</v>
      </c>
      <c r="EF21" s="58">
        <v>347.58600000000001</v>
      </c>
      <c r="EG21" s="58">
        <v>180.37799999999999</v>
      </c>
      <c r="EH21" s="58">
        <v>282.46199999999999</v>
      </c>
      <c r="EI21" s="58">
        <v>85.935000000000002</v>
      </c>
      <c r="EJ21" s="58">
        <v>196.52699999999999</v>
      </c>
      <c r="EK21" s="58">
        <v>136.41399999999999</v>
      </c>
      <c r="EL21" s="58">
        <v>69.347999999999999</v>
      </c>
      <c r="EM21" s="58">
        <v>67.066000000000003</v>
      </c>
      <c r="EN21" s="58">
        <v>33.820999999999998</v>
      </c>
      <c r="EO21" s="58">
        <v>20.116</v>
      </c>
      <c r="EP21" s="58">
        <v>13.705</v>
      </c>
      <c r="EQ21" s="58">
        <v>11.196</v>
      </c>
      <c r="ER21" s="58">
        <v>9.3789999999999996</v>
      </c>
      <c r="ES21" s="58">
        <v>1.8169999999999999</v>
      </c>
      <c r="ET21" s="58">
        <v>6.5250000000000004</v>
      </c>
      <c r="EU21" s="58">
        <v>5.1849999999999996</v>
      </c>
      <c r="EV21" s="58">
        <v>1.34</v>
      </c>
      <c r="EW21" s="58">
        <v>4.6710000000000003</v>
      </c>
      <c r="EX21" s="58">
        <v>4.194</v>
      </c>
      <c r="EY21" s="58">
        <v>0.47699999999999998</v>
      </c>
      <c r="EZ21" s="58">
        <v>22.625</v>
      </c>
      <c r="FA21" s="58">
        <v>10.737</v>
      </c>
      <c r="FB21" s="58">
        <v>11.888</v>
      </c>
      <c r="FC21" s="58">
        <v>120.361</v>
      </c>
      <c r="FD21" s="58">
        <v>61.121000000000002</v>
      </c>
      <c r="FE21" s="58">
        <v>59.238999999999997</v>
      </c>
      <c r="FF21" s="58">
        <v>41.433999999999997</v>
      </c>
      <c r="FG21" s="58">
        <v>31.672000000000001</v>
      </c>
      <c r="FH21" s="58">
        <v>9.7629999999999999</v>
      </c>
      <c r="FI21" s="58">
        <v>78.926000000000002</v>
      </c>
      <c r="FJ21" s="58">
        <v>29.45</v>
      </c>
      <c r="FK21" s="58">
        <v>49.476999999999997</v>
      </c>
      <c r="FL21" s="58">
        <v>48.252000000000002</v>
      </c>
      <c r="FM21" s="58">
        <v>36.902999999999999</v>
      </c>
      <c r="FN21" s="58">
        <v>11.349</v>
      </c>
      <c r="FO21" s="58">
        <v>88.162000000000006</v>
      </c>
      <c r="FP21" s="58">
        <v>32.444000000000003</v>
      </c>
      <c r="FQ21" s="58">
        <v>55.716999999999999</v>
      </c>
      <c r="FR21" s="58">
        <v>85.450999999999993</v>
      </c>
      <c r="FS21" s="58">
        <v>34.634999999999998</v>
      </c>
      <c r="FT21" s="58">
        <v>50.816000000000003</v>
      </c>
      <c r="FU21" s="58">
        <v>1344.43</v>
      </c>
      <c r="FV21" s="58">
        <v>743.01099999999997</v>
      </c>
      <c r="FW21" s="58">
        <v>601.41899999999998</v>
      </c>
      <c r="FX21" s="58">
        <v>942.65599999999995</v>
      </c>
      <c r="FY21" s="58">
        <v>619.80600000000004</v>
      </c>
      <c r="FZ21" s="58">
        <v>322.85000000000002</v>
      </c>
      <c r="GA21" s="58">
        <v>401.774</v>
      </c>
      <c r="GB21" s="58">
        <v>123.205</v>
      </c>
      <c r="GC21" s="58">
        <v>278.56900000000002</v>
      </c>
      <c r="GD21" s="58">
        <v>204.45500000000001</v>
      </c>
      <c r="GE21" s="58">
        <v>112.11799999999999</v>
      </c>
      <c r="GF21" s="58">
        <v>92.337000000000003</v>
      </c>
      <c r="GG21" s="58">
        <v>39.993000000000002</v>
      </c>
      <c r="GH21" s="58">
        <v>24.521000000000001</v>
      </c>
      <c r="GI21" s="58">
        <v>15.472</v>
      </c>
      <c r="GJ21" s="58">
        <v>20.298999999999999</v>
      </c>
      <c r="GK21" s="58">
        <v>15.977</v>
      </c>
      <c r="GL21" s="58">
        <v>4.3209999999999997</v>
      </c>
      <c r="GM21" s="58">
        <v>8.5470000000000006</v>
      </c>
      <c r="GN21" s="58">
        <v>6.4089999999999998</v>
      </c>
      <c r="GO21" s="58">
        <v>2.137</v>
      </c>
      <c r="GP21" s="58">
        <v>11.752000000000001</v>
      </c>
      <c r="GQ21" s="58">
        <v>9.5679999999999996</v>
      </c>
      <c r="GR21" s="58">
        <v>2.1840000000000002</v>
      </c>
      <c r="GS21" s="58">
        <v>19.693999999999999</v>
      </c>
      <c r="GT21" s="58">
        <v>8.5429999999999993</v>
      </c>
      <c r="GU21" s="58">
        <v>11.151</v>
      </c>
      <c r="GV21" s="58">
        <v>176.50899999999999</v>
      </c>
      <c r="GW21" s="58">
        <v>95.212000000000003</v>
      </c>
      <c r="GX21" s="58">
        <v>81.296000000000006</v>
      </c>
      <c r="GY21" s="58">
        <v>78.742000000000004</v>
      </c>
      <c r="GZ21" s="58">
        <v>59.552999999999997</v>
      </c>
      <c r="HA21" s="58">
        <v>19.190000000000001</v>
      </c>
      <c r="HB21" s="58">
        <v>97.766000000000005</v>
      </c>
      <c r="HC21" s="58">
        <v>35.658999999999999</v>
      </c>
      <c r="HD21" s="58">
        <v>62.106999999999999</v>
      </c>
      <c r="HE21" s="58">
        <v>94.908000000000001</v>
      </c>
      <c r="HF21" s="58">
        <v>72.42</v>
      </c>
      <c r="HG21" s="58">
        <v>22.488</v>
      </c>
      <c r="HH21" s="58">
        <v>109.548</v>
      </c>
      <c r="HI21" s="58">
        <v>39.698</v>
      </c>
      <c r="HJ21" s="58">
        <v>69.849999999999994</v>
      </c>
      <c r="HK21" s="58">
        <v>106.313</v>
      </c>
      <c r="HL21" s="58">
        <v>42.069000000000003</v>
      </c>
      <c r="HM21" s="58">
        <v>64.244</v>
      </c>
      <c r="HN21" s="58">
        <v>239.84399999999999</v>
      </c>
      <c r="HO21" s="58">
        <v>126.65900000000001</v>
      </c>
      <c r="HP21" s="58">
        <v>113.184</v>
      </c>
      <c r="HQ21" s="58">
        <v>152.76300000000001</v>
      </c>
      <c r="HR21" s="58">
        <v>100.036</v>
      </c>
      <c r="HS21" s="58">
        <v>52.726999999999997</v>
      </c>
      <c r="HT21" s="58">
        <v>87.081000000000003</v>
      </c>
      <c r="HU21" s="58">
        <v>26.623000000000001</v>
      </c>
      <c r="HV21" s="58">
        <v>60.457999999999998</v>
      </c>
      <c r="HW21" s="58">
        <v>42.637999999999998</v>
      </c>
      <c r="HX21" s="58">
        <v>21.282</v>
      </c>
      <c r="HY21" s="58">
        <v>21.356000000000002</v>
      </c>
      <c r="HZ21" s="58">
        <v>8.1720000000000006</v>
      </c>
      <c r="IA21" s="58">
        <v>4.1109999999999998</v>
      </c>
      <c r="IB21" s="58">
        <v>4.0609999999999999</v>
      </c>
      <c r="IC21" s="58">
        <v>2.339</v>
      </c>
      <c r="ID21" s="58">
        <v>1.6359999999999999</v>
      </c>
      <c r="IE21" s="58">
        <v>0.70299999999999996</v>
      </c>
      <c r="IF21" s="58">
        <v>1.6819999999999999</v>
      </c>
      <c r="IG21" s="58">
        <v>1.0780000000000001</v>
      </c>
      <c r="IH21" s="58">
        <v>0.60499999999999998</v>
      </c>
      <c r="II21" s="58">
        <v>0.65600000000000003</v>
      </c>
      <c r="IJ21" s="58">
        <v>0.55800000000000005</v>
      </c>
      <c r="IK21" s="58">
        <v>9.8000000000000004E-2</v>
      </c>
      <c r="IL21" s="58">
        <v>5.8330000000000002</v>
      </c>
      <c r="IM21" s="58">
        <v>2.476</v>
      </c>
      <c r="IN21" s="58">
        <v>3.3580000000000001</v>
      </c>
      <c r="IO21" s="58">
        <v>38.332000000000001</v>
      </c>
      <c r="IP21" s="58">
        <v>19.131</v>
      </c>
      <c r="IQ21" s="58">
        <v>19.201000000000001</v>
      </c>
    </row>
    <row r="22" spans="1:251">
      <c r="A22" s="5">
        <v>42156</v>
      </c>
      <c r="B22" s="58">
        <v>957.29499999999996</v>
      </c>
      <c r="C22" s="58">
        <v>1101.4469999999999</v>
      </c>
      <c r="D22" s="58">
        <v>356.55</v>
      </c>
      <c r="E22" s="58">
        <v>744.89700000000005</v>
      </c>
      <c r="F22" s="58">
        <v>531.91200000000003</v>
      </c>
      <c r="G22" s="58">
        <v>291.34199999999998</v>
      </c>
      <c r="H22" s="58">
        <v>240.56899999999999</v>
      </c>
      <c r="I22" s="58">
        <v>82.802000000000007</v>
      </c>
      <c r="J22" s="58">
        <v>52.95</v>
      </c>
      <c r="K22" s="58">
        <v>29.852</v>
      </c>
      <c r="L22" s="58">
        <v>32.143000000000001</v>
      </c>
      <c r="M22" s="58">
        <v>26.387</v>
      </c>
      <c r="N22" s="58">
        <v>5.7560000000000002</v>
      </c>
      <c r="O22" s="58">
        <v>19.358000000000001</v>
      </c>
      <c r="P22" s="58">
        <v>15.071</v>
      </c>
      <c r="Q22" s="58">
        <v>4.2869999999999999</v>
      </c>
      <c r="R22" s="58">
        <v>12.784000000000001</v>
      </c>
      <c r="S22" s="58">
        <v>11.316000000000001</v>
      </c>
      <c r="T22" s="58">
        <v>1.4690000000000001</v>
      </c>
      <c r="U22" s="58">
        <v>50.658999999999999</v>
      </c>
      <c r="V22" s="58">
        <v>26.562999999999999</v>
      </c>
      <c r="W22" s="58">
        <v>24.097000000000001</v>
      </c>
      <c r="X22" s="58">
        <v>487.72399999999999</v>
      </c>
      <c r="Y22" s="58">
        <v>263.49700000000001</v>
      </c>
      <c r="Z22" s="58">
        <v>224.22800000000001</v>
      </c>
      <c r="AA22" s="58">
        <v>191.197</v>
      </c>
      <c r="AB22" s="58">
        <v>138.60900000000001</v>
      </c>
      <c r="AC22" s="58">
        <v>52.588000000000001</v>
      </c>
      <c r="AD22" s="58">
        <v>296.52699999999999</v>
      </c>
      <c r="AE22" s="58">
        <v>124.88800000000001</v>
      </c>
      <c r="AF22" s="58">
        <v>171.63900000000001</v>
      </c>
      <c r="AG22" s="58">
        <v>213.92599999999999</v>
      </c>
      <c r="AH22" s="58">
        <v>157.05099999999999</v>
      </c>
      <c r="AI22" s="58">
        <v>56.875999999999998</v>
      </c>
      <c r="AJ22" s="58">
        <v>317.98500000000001</v>
      </c>
      <c r="AK22" s="58">
        <v>134.292</v>
      </c>
      <c r="AL22" s="58">
        <v>183.69399999999999</v>
      </c>
      <c r="AM22" s="58">
        <v>315.88499999999999</v>
      </c>
      <c r="AN22" s="58">
        <v>139.959</v>
      </c>
      <c r="AO22" s="58">
        <v>175.92599999999999</v>
      </c>
      <c r="AP22" s="58">
        <v>2990.4110000000001</v>
      </c>
      <c r="AQ22" s="58">
        <v>1615.3520000000001</v>
      </c>
      <c r="AR22" s="58">
        <v>1375.059</v>
      </c>
      <c r="AS22" s="58">
        <v>1968.8810000000001</v>
      </c>
      <c r="AT22" s="58">
        <v>1288.0989999999999</v>
      </c>
      <c r="AU22" s="58">
        <v>680.78200000000004</v>
      </c>
      <c r="AV22" s="58">
        <v>1021.53</v>
      </c>
      <c r="AW22" s="58">
        <v>327.25200000000001</v>
      </c>
      <c r="AX22" s="58">
        <v>694.27800000000002</v>
      </c>
      <c r="AY22" s="58">
        <v>481.34699999999998</v>
      </c>
      <c r="AZ22" s="58">
        <v>266.42099999999999</v>
      </c>
      <c r="BA22" s="58">
        <v>214.92599999999999</v>
      </c>
      <c r="BB22" s="58">
        <v>96.051000000000002</v>
      </c>
      <c r="BC22" s="58">
        <v>56.841999999999999</v>
      </c>
      <c r="BD22" s="58">
        <v>39.207999999999998</v>
      </c>
      <c r="BE22" s="58">
        <v>40.770000000000003</v>
      </c>
      <c r="BF22" s="58">
        <v>31.943000000000001</v>
      </c>
      <c r="BG22" s="58">
        <v>8.8260000000000005</v>
      </c>
      <c r="BH22" s="58">
        <v>20.298999999999999</v>
      </c>
      <c r="BI22" s="58">
        <v>13.461</v>
      </c>
      <c r="BJ22" s="58">
        <v>6.8369999999999997</v>
      </c>
      <c r="BK22" s="58">
        <v>20.471</v>
      </c>
      <c r="BL22" s="58">
        <v>18.481999999999999</v>
      </c>
      <c r="BM22" s="58">
        <v>1.9890000000000001</v>
      </c>
      <c r="BN22" s="58">
        <v>55.280999999999999</v>
      </c>
      <c r="BO22" s="58">
        <v>24.899000000000001</v>
      </c>
      <c r="BP22" s="58">
        <v>30.382000000000001</v>
      </c>
      <c r="BQ22" s="58">
        <v>424.48500000000001</v>
      </c>
      <c r="BR22" s="58">
        <v>232.63300000000001</v>
      </c>
      <c r="BS22" s="58">
        <v>191.852</v>
      </c>
      <c r="BT22" s="58">
        <v>169.11</v>
      </c>
      <c r="BU22" s="58">
        <v>134.99</v>
      </c>
      <c r="BV22" s="58">
        <v>34.119999999999997</v>
      </c>
      <c r="BW22" s="58">
        <v>255.375</v>
      </c>
      <c r="BX22" s="58">
        <v>97.643000000000001</v>
      </c>
      <c r="BY22" s="58">
        <v>157.732</v>
      </c>
      <c r="BZ22" s="58">
        <v>199.62899999999999</v>
      </c>
      <c r="CA22" s="58">
        <v>159.09800000000001</v>
      </c>
      <c r="CB22" s="58">
        <v>40.530999999999999</v>
      </c>
      <c r="CC22" s="58">
        <v>281.71800000000002</v>
      </c>
      <c r="CD22" s="58">
        <v>107.32299999999999</v>
      </c>
      <c r="CE22" s="58">
        <v>174.39500000000001</v>
      </c>
      <c r="CF22" s="58">
        <v>275.67399999999998</v>
      </c>
      <c r="CG22" s="58">
        <v>111.105</v>
      </c>
      <c r="CH22" s="58">
        <v>164.56899999999999</v>
      </c>
      <c r="CI22" s="58">
        <v>2341.7629999999999</v>
      </c>
      <c r="CJ22" s="58">
        <v>1233.537</v>
      </c>
      <c r="CK22" s="58">
        <v>1108.2260000000001</v>
      </c>
      <c r="CL22" s="58">
        <v>1653.4010000000001</v>
      </c>
      <c r="CM22" s="58">
        <v>1031.0920000000001</v>
      </c>
      <c r="CN22" s="58">
        <v>622.30899999999997</v>
      </c>
      <c r="CO22" s="58">
        <v>688.36199999999997</v>
      </c>
      <c r="CP22" s="58">
        <v>202.44499999999999</v>
      </c>
      <c r="CQ22" s="58">
        <v>485.91699999999997</v>
      </c>
      <c r="CR22" s="58">
        <v>366.3</v>
      </c>
      <c r="CS22" s="58">
        <v>189.596</v>
      </c>
      <c r="CT22" s="58">
        <v>176.70400000000001</v>
      </c>
      <c r="CU22" s="58">
        <v>56.470999999999997</v>
      </c>
      <c r="CV22" s="58">
        <v>30.613</v>
      </c>
      <c r="CW22" s="58">
        <v>25.859000000000002</v>
      </c>
      <c r="CX22" s="58">
        <v>21.077000000000002</v>
      </c>
      <c r="CY22" s="58">
        <v>17.158999999999999</v>
      </c>
      <c r="CZ22" s="58">
        <v>3.9180000000000001</v>
      </c>
      <c r="DA22" s="58">
        <v>11.497999999999999</v>
      </c>
      <c r="DB22" s="58">
        <v>9.3010000000000002</v>
      </c>
      <c r="DC22" s="58">
        <v>2.1970000000000001</v>
      </c>
      <c r="DD22" s="58">
        <v>9.5790000000000006</v>
      </c>
      <c r="DE22" s="58">
        <v>7.8570000000000002</v>
      </c>
      <c r="DF22" s="58">
        <v>1.722</v>
      </c>
      <c r="DG22" s="58">
        <v>35.393999999999998</v>
      </c>
      <c r="DH22" s="58">
        <v>13.454000000000001</v>
      </c>
      <c r="DI22" s="58">
        <v>21.94</v>
      </c>
      <c r="DJ22" s="58">
        <v>331.834</v>
      </c>
      <c r="DK22" s="58">
        <v>168.77699999999999</v>
      </c>
      <c r="DL22" s="58">
        <v>163.05699999999999</v>
      </c>
      <c r="DM22" s="58">
        <v>136.755</v>
      </c>
      <c r="DN22" s="58">
        <v>100.613</v>
      </c>
      <c r="DO22" s="58">
        <v>36.142000000000003</v>
      </c>
      <c r="DP22" s="58">
        <v>195.07900000000001</v>
      </c>
      <c r="DQ22" s="58">
        <v>68.165000000000006</v>
      </c>
      <c r="DR22" s="58">
        <v>126.914</v>
      </c>
      <c r="DS22" s="58">
        <v>152.44300000000001</v>
      </c>
      <c r="DT22" s="58">
        <v>113.242</v>
      </c>
      <c r="DU22" s="58">
        <v>39.200000000000003</v>
      </c>
      <c r="DV22" s="58">
        <v>213.857</v>
      </c>
      <c r="DW22" s="58">
        <v>76.352999999999994</v>
      </c>
      <c r="DX22" s="58">
        <v>137.50399999999999</v>
      </c>
      <c r="DY22" s="58">
        <v>206.577</v>
      </c>
      <c r="DZ22" s="58">
        <v>77.465999999999994</v>
      </c>
      <c r="EA22" s="58">
        <v>129.11099999999999</v>
      </c>
      <c r="EB22" s="58">
        <v>804.97900000000004</v>
      </c>
      <c r="EC22" s="58">
        <v>424.37900000000002</v>
      </c>
      <c r="ED22" s="58">
        <v>380.6</v>
      </c>
      <c r="EE22" s="58">
        <v>517.39200000000005</v>
      </c>
      <c r="EF22" s="58">
        <v>339.91399999999999</v>
      </c>
      <c r="EG22" s="58">
        <v>177.47800000000001</v>
      </c>
      <c r="EH22" s="58">
        <v>287.58699999999999</v>
      </c>
      <c r="EI22" s="58">
        <v>84.465000000000003</v>
      </c>
      <c r="EJ22" s="58">
        <v>203.12200000000001</v>
      </c>
      <c r="EK22" s="58">
        <v>128.89500000000001</v>
      </c>
      <c r="EL22" s="58">
        <v>66.271000000000001</v>
      </c>
      <c r="EM22" s="58">
        <v>62.624000000000002</v>
      </c>
      <c r="EN22" s="58">
        <v>29.331</v>
      </c>
      <c r="EO22" s="58">
        <v>17.251000000000001</v>
      </c>
      <c r="EP22" s="58">
        <v>12.08</v>
      </c>
      <c r="EQ22" s="58">
        <v>9.0350000000000001</v>
      </c>
      <c r="ER22" s="58">
        <v>7.524</v>
      </c>
      <c r="ES22" s="58">
        <v>1.5109999999999999</v>
      </c>
      <c r="ET22" s="58">
        <v>5.3259999999999996</v>
      </c>
      <c r="EU22" s="58">
        <v>4.5069999999999997</v>
      </c>
      <c r="EV22" s="58">
        <v>0.82</v>
      </c>
      <c r="EW22" s="58">
        <v>3.7080000000000002</v>
      </c>
      <c r="EX22" s="58">
        <v>3.0169999999999999</v>
      </c>
      <c r="EY22" s="58">
        <v>0.69099999999999995</v>
      </c>
      <c r="EZ22" s="58">
        <v>20.295999999999999</v>
      </c>
      <c r="FA22" s="58">
        <v>9.7270000000000003</v>
      </c>
      <c r="FB22" s="58">
        <v>10.569000000000001</v>
      </c>
      <c r="FC22" s="58">
        <v>115.482</v>
      </c>
      <c r="FD22" s="58">
        <v>57.945</v>
      </c>
      <c r="FE22" s="58">
        <v>57.536999999999999</v>
      </c>
      <c r="FF22" s="58">
        <v>32.362000000000002</v>
      </c>
      <c r="FG22" s="58">
        <v>25.713000000000001</v>
      </c>
      <c r="FH22" s="58">
        <v>6.6479999999999997</v>
      </c>
      <c r="FI22" s="58">
        <v>83.12</v>
      </c>
      <c r="FJ22" s="58">
        <v>32.231999999999999</v>
      </c>
      <c r="FK22" s="58">
        <v>50.889000000000003</v>
      </c>
      <c r="FL22" s="58">
        <v>38.738999999999997</v>
      </c>
      <c r="FM22" s="58">
        <v>30.757999999999999</v>
      </c>
      <c r="FN22" s="58">
        <v>7.9809999999999999</v>
      </c>
      <c r="FO22" s="58">
        <v>90.156000000000006</v>
      </c>
      <c r="FP22" s="58">
        <v>35.512999999999998</v>
      </c>
      <c r="FQ22" s="58">
        <v>54.643000000000001</v>
      </c>
      <c r="FR22" s="58">
        <v>88.447000000000003</v>
      </c>
      <c r="FS22" s="58">
        <v>36.738</v>
      </c>
      <c r="FT22" s="58">
        <v>51.707999999999998</v>
      </c>
      <c r="FU22" s="58">
        <v>1323.752</v>
      </c>
      <c r="FV22" s="58">
        <v>732.553</v>
      </c>
      <c r="FW22" s="58">
        <v>591.19899999999996</v>
      </c>
      <c r="FX22" s="58">
        <v>926.404</v>
      </c>
      <c r="FY22" s="58">
        <v>616.77499999999998</v>
      </c>
      <c r="FZ22" s="58">
        <v>309.62900000000002</v>
      </c>
      <c r="GA22" s="58">
        <v>397.34800000000001</v>
      </c>
      <c r="GB22" s="58">
        <v>115.77800000000001</v>
      </c>
      <c r="GC22" s="58">
        <v>281.57</v>
      </c>
      <c r="GD22" s="58">
        <v>201.864</v>
      </c>
      <c r="GE22" s="58">
        <v>109.288</v>
      </c>
      <c r="GF22" s="58">
        <v>92.575999999999993</v>
      </c>
      <c r="GG22" s="58">
        <v>32.558</v>
      </c>
      <c r="GH22" s="58">
        <v>17.337</v>
      </c>
      <c r="GI22" s="58">
        <v>15.221</v>
      </c>
      <c r="GJ22" s="58">
        <v>13.121</v>
      </c>
      <c r="GK22" s="58">
        <v>10.087</v>
      </c>
      <c r="GL22" s="58">
        <v>3.0339999999999998</v>
      </c>
      <c r="GM22" s="58">
        <v>9.6690000000000005</v>
      </c>
      <c r="GN22" s="58">
        <v>7.3520000000000003</v>
      </c>
      <c r="GO22" s="58">
        <v>2.3159999999999998</v>
      </c>
      <c r="GP22" s="58">
        <v>3.452</v>
      </c>
      <c r="GQ22" s="58">
        <v>2.7349999999999999</v>
      </c>
      <c r="GR22" s="58">
        <v>0.71699999999999997</v>
      </c>
      <c r="GS22" s="58">
        <v>19.437000000000001</v>
      </c>
      <c r="GT22" s="58">
        <v>7.25</v>
      </c>
      <c r="GU22" s="58">
        <v>12.186999999999999</v>
      </c>
      <c r="GV22" s="58">
        <v>182.00299999999999</v>
      </c>
      <c r="GW22" s="58">
        <v>99.728999999999999</v>
      </c>
      <c r="GX22" s="58">
        <v>82.274000000000001</v>
      </c>
      <c r="GY22" s="58">
        <v>82.762</v>
      </c>
      <c r="GZ22" s="58">
        <v>62.862000000000002</v>
      </c>
      <c r="HA22" s="58">
        <v>19.899999999999999</v>
      </c>
      <c r="HB22" s="58">
        <v>99.241</v>
      </c>
      <c r="HC22" s="58">
        <v>36.866999999999997</v>
      </c>
      <c r="HD22" s="58">
        <v>62.374000000000002</v>
      </c>
      <c r="HE22" s="58">
        <v>93.49</v>
      </c>
      <c r="HF22" s="58">
        <v>70.879000000000005</v>
      </c>
      <c r="HG22" s="58">
        <v>22.611000000000001</v>
      </c>
      <c r="HH22" s="58">
        <v>108.374</v>
      </c>
      <c r="HI22" s="58">
        <v>38.408999999999999</v>
      </c>
      <c r="HJ22" s="58">
        <v>69.965000000000003</v>
      </c>
      <c r="HK22" s="58">
        <v>108.91</v>
      </c>
      <c r="HL22" s="58">
        <v>44.219000000000001</v>
      </c>
      <c r="HM22" s="58">
        <v>64.691000000000003</v>
      </c>
      <c r="HN22" s="58">
        <v>239.92099999999999</v>
      </c>
      <c r="HO22" s="58">
        <v>126.937</v>
      </c>
      <c r="HP22" s="58">
        <v>112.98399999999999</v>
      </c>
      <c r="HQ22" s="58">
        <v>152.30099999999999</v>
      </c>
      <c r="HR22" s="58">
        <v>98.516000000000005</v>
      </c>
      <c r="HS22" s="58">
        <v>53.784999999999997</v>
      </c>
      <c r="HT22" s="58">
        <v>87.619</v>
      </c>
      <c r="HU22" s="58">
        <v>28.42</v>
      </c>
      <c r="HV22" s="58">
        <v>59.198999999999998</v>
      </c>
      <c r="HW22" s="58">
        <v>45.744</v>
      </c>
      <c r="HX22" s="58">
        <v>22.824999999999999</v>
      </c>
      <c r="HY22" s="58">
        <v>22.919</v>
      </c>
      <c r="HZ22" s="58">
        <v>7.7590000000000003</v>
      </c>
      <c r="IA22" s="58">
        <v>4.3289999999999997</v>
      </c>
      <c r="IB22" s="58">
        <v>3.431</v>
      </c>
      <c r="IC22" s="58">
        <v>2.4369999999999998</v>
      </c>
      <c r="ID22" s="58">
        <v>1.627</v>
      </c>
      <c r="IE22" s="58">
        <v>0.81</v>
      </c>
      <c r="IF22" s="58">
        <v>1.3640000000000001</v>
      </c>
      <c r="IG22" s="58">
        <v>0.872</v>
      </c>
      <c r="IH22" s="58">
        <v>0.49199999999999999</v>
      </c>
      <c r="II22" s="58">
        <v>1.073</v>
      </c>
      <c r="IJ22" s="58">
        <v>0.755</v>
      </c>
      <c r="IK22" s="58">
        <v>0.31900000000000001</v>
      </c>
      <c r="IL22" s="58">
        <v>5.3220000000000001</v>
      </c>
      <c r="IM22" s="58">
        <v>2.702</v>
      </c>
      <c r="IN22" s="58">
        <v>2.62</v>
      </c>
      <c r="IO22" s="58">
        <v>41.095999999999997</v>
      </c>
      <c r="IP22" s="58">
        <v>20.331</v>
      </c>
      <c r="IQ22" s="58">
        <v>20.765000000000001</v>
      </c>
    </row>
    <row r="23" spans="1:251">
      <c r="A23" s="5">
        <v>42186</v>
      </c>
      <c r="B23" s="58">
        <v>973.99699999999996</v>
      </c>
      <c r="C23" s="58">
        <v>1083.7190000000001</v>
      </c>
      <c r="D23" s="58">
        <v>339.90100000000001</v>
      </c>
      <c r="E23" s="58">
        <v>743.81799999999998</v>
      </c>
      <c r="F23" s="58">
        <v>562.76199999999994</v>
      </c>
      <c r="G23" s="58">
        <v>306.54000000000002</v>
      </c>
      <c r="H23" s="58">
        <v>256.221</v>
      </c>
      <c r="I23" s="58">
        <v>91.14</v>
      </c>
      <c r="J23" s="58">
        <v>50.125999999999998</v>
      </c>
      <c r="K23" s="58">
        <v>41.014000000000003</v>
      </c>
      <c r="L23" s="58">
        <v>36.722000000000001</v>
      </c>
      <c r="M23" s="58">
        <v>25.533000000000001</v>
      </c>
      <c r="N23" s="58">
        <v>11.189</v>
      </c>
      <c r="O23" s="58">
        <v>21.538</v>
      </c>
      <c r="P23" s="58">
        <v>15.667</v>
      </c>
      <c r="Q23" s="58">
        <v>5.8710000000000004</v>
      </c>
      <c r="R23" s="58">
        <v>15.183999999999999</v>
      </c>
      <c r="S23" s="58">
        <v>9.8659999999999997</v>
      </c>
      <c r="T23" s="58">
        <v>5.3179999999999996</v>
      </c>
      <c r="U23" s="58">
        <v>54.417000000000002</v>
      </c>
      <c r="V23" s="58">
        <v>24.593</v>
      </c>
      <c r="W23" s="58">
        <v>29.824000000000002</v>
      </c>
      <c r="X23" s="58">
        <v>513.803</v>
      </c>
      <c r="Y23" s="58">
        <v>280.524</v>
      </c>
      <c r="Z23" s="58">
        <v>233.279</v>
      </c>
      <c r="AA23" s="58">
        <v>200.726</v>
      </c>
      <c r="AB23" s="58">
        <v>145.529</v>
      </c>
      <c r="AC23" s="58">
        <v>55.197000000000003</v>
      </c>
      <c r="AD23" s="58">
        <v>313.077</v>
      </c>
      <c r="AE23" s="58">
        <v>134.995</v>
      </c>
      <c r="AF23" s="58">
        <v>178.08199999999999</v>
      </c>
      <c r="AG23" s="58">
        <v>227.922</v>
      </c>
      <c r="AH23" s="58">
        <v>163.797</v>
      </c>
      <c r="AI23" s="58">
        <v>64.125</v>
      </c>
      <c r="AJ23" s="58">
        <v>334.84</v>
      </c>
      <c r="AK23" s="58">
        <v>142.744</v>
      </c>
      <c r="AL23" s="58">
        <v>192.096</v>
      </c>
      <c r="AM23" s="58">
        <v>334.61599999999999</v>
      </c>
      <c r="AN23" s="58">
        <v>150.66300000000001</v>
      </c>
      <c r="AO23" s="58">
        <v>183.953</v>
      </c>
      <c r="AP23" s="58">
        <v>2992.2339999999999</v>
      </c>
      <c r="AQ23" s="58">
        <v>1619.319</v>
      </c>
      <c r="AR23" s="58">
        <v>1372.915</v>
      </c>
      <c r="AS23" s="58">
        <v>1996.3009999999999</v>
      </c>
      <c r="AT23" s="58">
        <v>1307.0229999999999</v>
      </c>
      <c r="AU23" s="58">
        <v>689.27800000000002</v>
      </c>
      <c r="AV23" s="58">
        <v>995.93299999999999</v>
      </c>
      <c r="AW23" s="58">
        <v>312.29599999999999</v>
      </c>
      <c r="AX23" s="58">
        <v>683.63699999999994</v>
      </c>
      <c r="AY23" s="58">
        <v>464.11</v>
      </c>
      <c r="AZ23" s="58">
        <v>256.11500000000001</v>
      </c>
      <c r="BA23" s="58">
        <v>207.995</v>
      </c>
      <c r="BB23" s="58">
        <v>93.888000000000005</v>
      </c>
      <c r="BC23" s="58">
        <v>54.985999999999997</v>
      </c>
      <c r="BD23" s="58">
        <v>38.902000000000001</v>
      </c>
      <c r="BE23" s="58">
        <v>38.235999999999997</v>
      </c>
      <c r="BF23" s="58">
        <v>29.916</v>
      </c>
      <c r="BG23" s="58">
        <v>8.32</v>
      </c>
      <c r="BH23" s="58">
        <v>20.504999999999999</v>
      </c>
      <c r="BI23" s="58">
        <v>15.144</v>
      </c>
      <c r="BJ23" s="58">
        <v>5.3609999999999998</v>
      </c>
      <c r="BK23" s="58">
        <v>17.731000000000002</v>
      </c>
      <c r="BL23" s="58">
        <v>14.772</v>
      </c>
      <c r="BM23" s="58">
        <v>2.9590000000000001</v>
      </c>
      <c r="BN23" s="58">
        <v>55.652000000000001</v>
      </c>
      <c r="BO23" s="58">
        <v>25.07</v>
      </c>
      <c r="BP23" s="58">
        <v>30.582000000000001</v>
      </c>
      <c r="BQ23" s="58">
        <v>416.11900000000003</v>
      </c>
      <c r="BR23" s="58">
        <v>225.959</v>
      </c>
      <c r="BS23" s="58">
        <v>190.16</v>
      </c>
      <c r="BT23" s="58">
        <v>159.07400000000001</v>
      </c>
      <c r="BU23" s="58">
        <v>127.514</v>
      </c>
      <c r="BV23" s="58">
        <v>31.56</v>
      </c>
      <c r="BW23" s="58">
        <v>257.04500000000002</v>
      </c>
      <c r="BX23" s="58">
        <v>98.444999999999993</v>
      </c>
      <c r="BY23" s="58">
        <v>158.6</v>
      </c>
      <c r="BZ23" s="58">
        <v>186.12200000000001</v>
      </c>
      <c r="CA23" s="58">
        <v>147.75399999999999</v>
      </c>
      <c r="CB23" s="58">
        <v>38.369</v>
      </c>
      <c r="CC23" s="58">
        <v>277.988</v>
      </c>
      <c r="CD23" s="58">
        <v>108.361</v>
      </c>
      <c r="CE23" s="58">
        <v>169.62700000000001</v>
      </c>
      <c r="CF23" s="58">
        <v>277.55</v>
      </c>
      <c r="CG23" s="58">
        <v>113.589</v>
      </c>
      <c r="CH23" s="58">
        <v>163.96100000000001</v>
      </c>
      <c r="CI23" s="58">
        <v>2335.415</v>
      </c>
      <c r="CJ23" s="58">
        <v>1235.6089999999999</v>
      </c>
      <c r="CK23" s="58">
        <v>1099.806</v>
      </c>
      <c r="CL23" s="58">
        <v>1648.095</v>
      </c>
      <c r="CM23" s="58">
        <v>1026.5139999999999</v>
      </c>
      <c r="CN23" s="58">
        <v>621.58100000000002</v>
      </c>
      <c r="CO23" s="58">
        <v>687.32</v>
      </c>
      <c r="CP23" s="58">
        <v>209.095</v>
      </c>
      <c r="CQ23" s="58">
        <v>478.22399999999999</v>
      </c>
      <c r="CR23" s="58">
        <v>363.31400000000002</v>
      </c>
      <c r="CS23" s="58">
        <v>194.827</v>
      </c>
      <c r="CT23" s="58">
        <v>168.48699999999999</v>
      </c>
      <c r="CU23" s="58">
        <v>73.509</v>
      </c>
      <c r="CV23" s="58">
        <v>42.234000000000002</v>
      </c>
      <c r="CW23" s="58">
        <v>31.274999999999999</v>
      </c>
      <c r="CX23" s="58">
        <v>34.186</v>
      </c>
      <c r="CY23" s="58">
        <v>25.632999999999999</v>
      </c>
      <c r="CZ23" s="58">
        <v>8.5519999999999996</v>
      </c>
      <c r="DA23" s="58">
        <v>20.5</v>
      </c>
      <c r="DB23" s="58">
        <v>15.997999999999999</v>
      </c>
      <c r="DC23" s="58">
        <v>4.5019999999999998</v>
      </c>
      <c r="DD23" s="58">
        <v>13.686</v>
      </c>
      <c r="DE23" s="58">
        <v>9.6359999999999992</v>
      </c>
      <c r="DF23" s="58">
        <v>4.05</v>
      </c>
      <c r="DG23" s="58">
        <v>39.323</v>
      </c>
      <c r="DH23" s="58">
        <v>16.600999999999999</v>
      </c>
      <c r="DI23" s="58">
        <v>22.722000000000001</v>
      </c>
      <c r="DJ23" s="58">
        <v>319.84100000000001</v>
      </c>
      <c r="DK23" s="58">
        <v>170.08</v>
      </c>
      <c r="DL23" s="58">
        <v>149.761</v>
      </c>
      <c r="DM23" s="58">
        <v>131.54300000000001</v>
      </c>
      <c r="DN23" s="58">
        <v>93.445999999999998</v>
      </c>
      <c r="DO23" s="58">
        <v>38.097000000000001</v>
      </c>
      <c r="DP23" s="58">
        <v>188.298</v>
      </c>
      <c r="DQ23" s="58">
        <v>76.634</v>
      </c>
      <c r="DR23" s="58">
        <v>111.664</v>
      </c>
      <c r="DS23" s="58">
        <v>159.535</v>
      </c>
      <c r="DT23" s="58">
        <v>114.179</v>
      </c>
      <c r="DU23" s="58">
        <v>45.356000000000002</v>
      </c>
      <c r="DV23" s="58">
        <v>203.779</v>
      </c>
      <c r="DW23" s="58">
        <v>80.647999999999996</v>
      </c>
      <c r="DX23" s="58">
        <v>123.13</v>
      </c>
      <c r="DY23" s="58">
        <v>208.798</v>
      </c>
      <c r="DZ23" s="58">
        <v>92.631</v>
      </c>
      <c r="EA23" s="58">
        <v>116.167</v>
      </c>
      <c r="EB23" s="58">
        <v>799.82799999999997</v>
      </c>
      <c r="EC23" s="58">
        <v>419.298</v>
      </c>
      <c r="ED23" s="58">
        <v>380.53</v>
      </c>
      <c r="EE23" s="58">
        <v>522.60699999999997</v>
      </c>
      <c r="EF23" s="58">
        <v>340.95299999999997</v>
      </c>
      <c r="EG23" s="58">
        <v>181.654</v>
      </c>
      <c r="EH23" s="58">
        <v>277.22000000000003</v>
      </c>
      <c r="EI23" s="58">
        <v>78.344999999999999</v>
      </c>
      <c r="EJ23" s="58">
        <v>198.876</v>
      </c>
      <c r="EK23" s="58">
        <v>132.76900000000001</v>
      </c>
      <c r="EL23" s="58">
        <v>67.828000000000003</v>
      </c>
      <c r="EM23" s="58">
        <v>64.941000000000003</v>
      </c>
      <c r="EN23" s="58">
        <v>27.11</v>
      </c>
      <c r="EO23" s="58">
        <v>14.288</v>
      </c>
      <c r="EP23" s="58">
        <v>12.821999999999999</v>
      </c>
      <c r="EQ23" s="58">
        <v>11.868</v>
      </c>
      <c r="ER23" s="58">
        <v>8.7590000000000003</v>
      </c>
      <c r="ES23" s="58">
        <v>3.109</v>
      </c>
      <c r="ET23" s="58">
        <v>6.9820000000000002</v>
      </c>
      <c r="EU23" s="58">
        <v>4.7430000000000003</v>
      </c>
      <c r="EV23" s="58">
        <v>2.2389999999999999</v>
      </c>
      <c r="EW23" s="58">
        <v>4.8860000000000001</v>
      </c>
      <c r="EX23" s="58">
        <v>4.016</v>
      </c>
      <c r="EY23" s="58">
        <v>0.86899999999999999</v>
      </c>
      <c r="EZ23" s="58">
        <v>15.242000000000001</v>
      </c>
      <c r="FA23" s="58">
        <v>5.5279999999999996</v>
      </c>
      <c r="FB23" s="58">
        <v>9.7129999999999992</v>
      </c>
      <c r="FC23" s="58">
        <v>120.629</v>
      </c>
      <c r="FD23" s="58">
        <v>61.588000000000001</v>
      </c>
      <c r="FE23" s="58">
        <v>59.04</v>
      </c>
      <c r="FF23" s="58">
        <v>41.268000000000001</v>
      </c>
      <c r="FG23" s="58">
        <v>32.659999999999997</v>
      </c>
      <c r="FH23" s="58">
        <v>8.6080000000000005</v>
      </c>
      <c r="FI23" s="58">
        <v>79.361000000000004</v>
      </c>
      <c r="FJ23" s="58">
        <v>28.928000000000001</v>
      </c>
      <c r="FK23" s="58">
        <v>50.433</v>
      </c>
      <c r="FL23" s="58">
        <v>48.203000000000003</v>
      </c>
      <c r="FM23" s="58">
        <v>37.128</v>
      </c>
      <c r="FN23" s="58">
        <v>11.074999999999999</v>
      </c>
      <c r="FO23" s="58">
        <v>84.566999999999993</v>
      </c>
      <c r="FP23" s="58">
        <v>30.7</v>
      </c>
      <c r="FQ23" s="58">
        <v>53.866999999999997</v>
      </c>
      <c r="FR23" s="58">
        <v>86.343000000000004</v>
      </c>
      <c r="FS23" s="58">
        <v>33.670999999999999</v>
      </c>
      <c r="FT23" s="58">
        <v>52.671999999999997</v>
      </c>
      <c r="FU23" s="58">
        <v>1318.0360000000001</v>
      </c>
      <c r="FV23" s="58">
        <v>733.32</v>
      </c>
      <c r="FW23" s="58">
        <v>584.71600000000001</v>
      </c>
      <c r="FX23" s="58">
        <v>918.77800000000002</v>
      </c>
      <c r="FY23" s="58">
        <v>612.68399999999997</v>
      </c>
      <c r="FZ23" s="58">
        <v>306.09399999999999</v>
      </c>
      <c r="GA23" s="58">
        <v>399.25799999999998</v>
      </c>
      <c r="GB23" s="58">
        <v>120.636</v>
      </c>
      <c r="GC23" s="58">
        <v>278.62200000000001</v>
      </c>
      <c r="GD23" s="58">
        <v>197.75899999999999</v>
      </c>
      <c r="GE23" s="58">
        <v>107.163</v>
      </c>
      <c r="GF23" s="58">
        <v>90.594999999999999</v>
      </c>
      <c r="GG23" s="58">
        <v>39.732999999999997</v>
      </c>
      <c r="GH23" s="58">
        <v>23.899000000000001</v>
      </c>
      <c r="GI23" s="58">
        <v>15.834</v>
      </c>
      <c r="GJ23" s="58">
        <v>16.216999999999999</v>
      </c>
      <c r="GK23" s="58">
        <v>13.077999999999999</v>
      </c>
      <c r="GL23" s="58">
        <v>3.14</v>
      </c>
      <c r="GM23" s="58">
        <v>8.5399999999999991</v>
      </c>
      <c r="GN23" s="58">
        <v>6.6790000000000003</v>
      </c>
      <c r="GO23" s="58">
        <v>1.8620000000000001</v>
      </c>
      <c r="GP23" s="58">
        <v>7.6769999999999996</v>
      </c>
      <c r="GQ23" s="58">
        <v>6.399</v>
      </c>
      <c r="GR23" s="58">
        <v>1.278</v>
      </c>
      <c r="GS23" s="58">
        <v>23.515000000000001</v>
      </c>
      <c r="GT23" s="58">
        <v>10.821</v>
      </c>
      <c r="GU23" s="58">
        <v>12.694000000000001</v>
      </c>
      <c r="GV23" s="58">
        <v>172.92699999999999</v>
      </c>
      <c r="GW23" s="58">
        <v>92.369</v>
      </c>
      <c r="GX23" s="58">
        <v>80.558000000000007</v>
      </c>
      <c r="GY23" s="58">
        <v>67.143000000000001</v>
      </c>
      <c r="GZ23" s="58">
        <v>53.301000000000002</v>
      </c>
      <c r="HA23" s="58">
        <v>13.843</v>
      </c>
      <c r="HB23" s="58">
        <v>105.783</v>
      </c>
      <c r="HC23" s="58">
        <v>39.067999999999998</v>
      </c>
      <c r="HD23" s="58">
        <v>66.715000000000003</v>
      </c>
      <c r="HE23" s="58">
        <v>79.143000000000001</v>
      </c>
      <c r="HF23" s="58">
        <v>62.161000000000001</v>
      </c>
      <c r="HG23" s="58">
        <v>16.981999999999999</v>
      </c>
      <c r="HH23" s="58">
        <v>118.616</v>
      </c>
      <c r="HI23" s="58">
        <v>45.002000000000002</v>
      </c>
      <c r="HJ23" s="58">
        <v>73.613</v>
      </c>
      <c r="HK23" s="58">
        <v>114.324</v>
      </c>
      <c r="HL23" s="58">
        <v>45.747</v>
      </c>
      <c r="HM23" s="58">
        <v>68.576999999999998</v>
      </c>
      <c r="HN23" s="58">
        <v>238.96799999999999</v>
      </c>
      <c r="HO23" s="58">
        <v>126.919</v>
      </c>
      <c r="HP23" s="58">
        <v>112.05</v>
      </c>
      <c r="HQ23" s="58">
        <v>154.10900000000001</v>
      </c>
      <c r="HR23" s="58">
        <v>100.569</v>
      </c>
      <c r="HS23" s="58">
        <v>53.54</v>
      </c>
      <c r="HT23" s="58">
        <v>84.858999999999995</v>
      </c>
      <c r="HU23" s="58">
        <v>26.349</v>
      </c>
      <c r="HV23" s="58">
        <v>58.51</v>
      </c>
      <c r="HW23" s="58">
        <v>39.473999999999997</v>
      </c>
      <c r="HX23" s="58">
        <v>20.731999999999999</v>
      </c>
      <c r="HY23" s="58">
        <v>18.742000000000001</v>
      </c>
      <c r="HZ23" s="58">
        <v>6.492</v>
      </c>
      <c r="IA23" s="58">
        <v>2.7330000000000001</v>
      </c>
      <c r="IB23" s="58">
        <v>3.7589999999999999</v>
      </c>
      <c r="IC23" s="58">
        <v>1.7110000000000001</v>
      </c>
      <c r="ID23" s="58">
        <v>1.0529999999999999</v>
      </c>
      <c r="IE23" s="58">
        <v>0.65700000000000003</v>
      </c>
      <c r="IF23" s="58">
        <v>0.96299999999999997</v>
      </c>
      <c r="IG23" s="58">
        <v>0.39200000000000002</v>
      </c>
      <c r="IH23" s="58">
        <v>0.57099999999999995</v>
      </c>
      <c r="II23" s="58">
        <v>0.747</v>
      </c>
      <c r="IJ23" s="58">
        <v>0.66100000000000003</v>
      </c>
      <c r="IK23" s="58">
        <v>8.5999999999999993E-2</v>
      </c>
      <c r="IL23" s="58">
        <v>4.782</v>
      </c>
      <c r="IM23" s="58">
        <v>1.68</v>
      </c>
      <c r="IN23" s="58">
        <v>3.1019999999999999</v>
      </c>
      <c r="IO23" s="58">
        <v>36.457999999999998</v>
      </c>
      <c r="IP23" s="58">
        <v>19.335000000000001</v>
      </c>
      <c r="IQ23" s="58">
        <v>17.123000000000001</v>
      </c>
    </row>
    <row r="24" spans="1:251">
      <c r="A24" s="5">
        <v>42217</v>
      </c>
      <c r="B24" s="58">
        <v>958.04300000000001</v>
      </c>
      <c r="C24" s="58">
        <v>1103.992</v>
      </c>
      <c r="D24" s="58">
        <v>340.00799999999998</v>
      </c>
      <c r="E24" s="58">
        <v>763.98400000000004</v>
      </c>
      <c r="F24" s="58">
        <v>548.85900000000004</v>
      </c>
      <c r="G24" s="58">
        <v>289.14299999999997</v>
      </c>
      <c r="H24" s="58">
        <v>259.71499999999997</v>
      </c>
      <c r="I24" s="58">
        <v>96.813000000000002</v>
      </c>
      <c r="J24" s="58">
        <v>57.131</v>
      </c>
      <c r="K24" s="58">
        <v>39.680999999999997</v>
      </c>
      <c r="L24" s="58">
        <v>34.944000000000003</v>
      </c>
      <c r="M24" s="58">
        <v>29.527000000000001</v>
      </c>
      <c r="N24" s="58">
        <v>5.4180000000000001</v>
      </c>
      <c r="O24" s="58">
        <v>19.533999999999999</v>
      </c>
      <c r="P24" s="58">
        <v>15.769</v>
      </c>
      <c r="Q24" s="58">
        <v>3.7650000000000001</v>
      </c>
      <c r="R24" s="58">
        <v>15.41</v>
      </c>
      <c r="S24" s="58">
        <v>13.757999999999999</v>
      </c>
      <c r="T24" s="58">
        <v>1.6519999999999999</v>
      </c>
      <c r="U24" s="58">
        <v>61.869</v>
      </c>
      <c r="V24" s="58">
        <v>27.605</v>
      </c>
      <c r="W24" s="58">
        <v>34.264000000000003</v>
      </c>
      <c r="X24" s="58">
        <v>494.05900000000003</v>
      </c>
      <c r="Y24" s="58">
        <v>256.93299999999999</v>
      </c>
      <c r="Z24" s="58">
        <v>237.126</v>
      </c>
      <c r="AA24" s="58">
        <v>193.84200000000001</v>
      </c>
      <c r="AB24" s="58">
        <v>137.32</v>
      </c>
      <c r="AC24" s="58">
        <v>56.521999999999998</v>
      </c>
      <c r="AD24" s="58">
        <v>300.21699999999998</v>
      </c>
      <c r="AE24" s="58">
        <v>119.613</v>
      </c>
      <c r="AF24" s="58">
        <v>180.60400000000001</v>
      </c>
      <c r="AG24" s="58">
        <v>218.49799999999999</v>
      </c>
      <c r="AH24" s="58">
        <v>157.006</v>
      </c>
      <c r="AI24" s="58">
        <v>61.491</v>
      </c>
      <c r="AJ24" s="58">
        <v>330.36099999999999</v>
      </c>
      <c r="AK24" s="58">
        <v>132.137</v>
      </c>
      <c r="AL24" s="58">
        <v>198.22399999999999</v>
      </c>
      <c r="AM24" s="58">
        <v>319.75099999999998</v>
      </c>
      <c r="AN24" s="58">
        <v>135.38200000000001</v>
      </c>
      <c r="AO24" s="58">
        <v>184.369</v>
      </c>
      <c r="AP24" s="58">
        <v>2960.3939999999998</v>
      </c>
      <c r="AQ24" s="58">
        <v>1601.249</v>
      </c>
      <c r="AR24" s="58">
        <v>1359.146</v>
      </c>
      <c r="AS24" s="58">
        <v>1960.902</v>
      </c>
      <c r="AT24" s="58">
        <v>1289.0160000000001</v>
      </c>
      <c r="AU24" s="58">
        <v>671.88599999999997</v>
      </c>
      <c r="AV24" s="58">
        <v>999.49199999999996</v>
      </c>
      <c r="AW24" s="58">
        <v>312.233</v>
      </c>
      <c r="AX24" s="58">
        <v>687.25900000000001</v>
      </c>
      <c r="AY24" s="58">
        <v>445.666</v>
      </c>
      <c r="AZ24" s="58">
        <v>244.285</v>
      </c>
      <c r="BA24" s="58">
        <v>201.381</v>
      </c>
      <c r="BB24" s="58">
        <v>88.74</v>
      </c>
      <c r="BC24" s="58">
        <v>51.009</v>
      </c>
      <c r="BD24" s="58">
        <v>37.731000000000002</v>
      </c>
      <c r="BE24" s="58">
        <v>32.496000000000002</v>
      </c>
      <c r="BF24" s="58">
        <v>28.611000000000001</v>
      </c>
      <c r="BG24" s="58">
        <v>3.8849999999999998</v>
      </c>
      <c r="BH24" s="58">
        <v>10.644</v>
      </c>
      <c r="BI24" s="58">
        <v>8.8819999999999997</v>
      </c>
      <c r="BJ24" s="58">
        <v>1.762</v>
      </c>
      <c r="BK24" s="58">
        <v>21.852</v>
      </c>
      <c r="BL24" s="58">
        <v>19.728999999999999</v>
      </c>
      <c r="BM24" s="58">
        <v>2.1230000000000002</v>
      </c>
      <c r="BN24" s="58">
        <v>56.244</v>
      </c>
      <c r="BO24" s="58">
        <v>22.398</v>
      </c>
      <c r="BP24" s="58">
        <v>33.845999999999997</v>
      </c>
      <c r="BQ24" s="58">
        <v>397.27199999999999</v>
      </c>
      <c r="BR24" s="58">
        <v>213.84700000000001</v>
      </c>
      <c r="BS24" s="58">
        <v>183.42400000000001</v>
      </c>
      <c r="BT24" s="58">
        <v>151.06</v>
      </c>
      <c r="BU24" s="58">
        <v>120.464</v>
      </c>
      <c r="BV24" s="58">
        <v>30.596</v>
      </c>
      <c r="BW24" s="58">
        <v>246.21199999999999</v>
      </c>
      <c r="BX24" s="58">
        <v>93.382999999999996</v>
      </c>
      <c r="BY24" s="58">
        <v>152.828</v>
      </c>
      <c r="BZ24" s="58">
        <v>175.41900000000001</v>
      </c>
      <c r="CA24" s="58">
        <v>142.09399999999999</v>
      </c>
      <c r="CB24" s="58">
        <v>33.325000000000003</v>
      </c>
      <c r="CC24" s="58">
        <v>270.24700000000001</v>
      </c>
      <c r="CD24" s="58">
        <v>102.191</v>
      </c>
      <c r="CE24" s="58">
        <v>168.05600000000001</v>
      </c>
      <c r="CF24" s="58">
        <v>256.85599999999999</v>
      </c>
      <c r="CG24" s="58">
        <v>102.265</v>
      </c>
      <c r="CH24" s="58">
        <v>154.59</v>
      </c>
      <c r="CI24" s="58">
        <v>2333.998</v>
      </c>
      <c r="CJ24" s="58">
        <v>1237.0039999999999</v>
      </c>
      <c r="CK24" s="58">
        <v>1096.9929999999999</v>
      </c>
      <c r="CL24" s="58">
        <v>1624.874</v>
      </c>
      <c r="CM24" s="58">
        <v>1028.079</v>
      </c>
      <c r="CN24" s="58">
        <v>596.79499999999996</v>
      </c>
      <c r="CO24" s="58">
        <v>709.12400000000002</v>
      </c>
      <c r="CP24" s="58">
        <v>208.92500000000001</v>
      </c>
      <c r="CQ24" s="58">
        <v>500.19799999999998</v>
      </c>
      <c r="CR24" s="58">
        <v>355.40199999999999</v>
      </c>
      <c r="CS24" s="58">
        <v>183.82900000000001</v>
      </c>
      <c r="CT24" s="58">
        <v>171.57300000000001</v>
      </c>
      <c r="CU24" s="58">
        <v>58.838000000000001</v>
      </c>
      <c r="CV24" s="58">
        <v>32.838999999999999</v>
      </c>
      <c r="CW24" s="58">
        <v>25.998999999999999</v>
      </c>
      <c r="CX24" s="58">
        <v>21.798999999999999</v>
      </c>
      <c r="CY24" s="58">
        <v>17.140999999999998</v>
      </c>
      <c r="CZ24" s="58">
        <v>4.6580000000000004</v>
      </c>
      <c r="DA24" s="58">
        <v>12.180999999999999</v>
      </c>
      <c r="DB24" s="58">
        <v>8.4659999999999993</v>
      </c>
      <c r="DC24" s="58">
        <v>3.714</v>
      </c>
      <c r="DD24" s="58">
        <v>9.6189999999999998</v>
      </c>
      <c r="DE24" s="58">
        <v>8.6750000000000007</v>
      </c>
      <c r="DF24" s="58">
        <v>0.94399999999999995</v>
      </c>
      <c r="DG24" s="58">
        <v>37.037999999999997</v>
      </c>
      <c r="DH24" s="58">
        <v>15.698</v>
      </c>
      <c r="DI24" s="58">
        <v>21.341000000000001</v>
      </c>
      <c r="DJ24" s="58">
        <v>322.036</v>
      </c>
      <c r="DK24" s="58">
        <v>164.69200000000001</v>
      </c>
      <c r="DL24" s="58">
        <v>157.34399999999999</v>
      </c>
      <c r="DM24" s="58">
        <v>123.14700000000001</v>
      </c>
      <c r="DN24" s="58">
        <v>89.924999999999997</v>
      </c>
      <c r="DO24" s="58">
        <v>33.222000000000001</v>
      </c>
      <c r="DP24" s="58">
        <v>198.88900000000001</v>
      </c>
      <c r="DQ24" s="58">
        <v>74.768000000000001</v>
      </c>
      <c r="DR24" s="58">
        <v>124.122</v>
      </c>
      <c r="DS24" s="58">
        <v>140.029</v>
      </c>
      <c r="DT24" s="58">
        <v>102.55800000000001</v>
      </c>
      <c r="DU24" s="58">
        <v>37.47</v>
      </c>
      <c r="DV24" s="58">
        <v>215.37299999999999</v>
      </c>
      <c r="DW24" s="58">
        <v>81.27</v>
      </c>
      <c r="DX24" s="58">
        <v>134.10300000000001</v>
      </c>
      <c r="DY24" s="58">
        <v>211.07</v>
      </c>
      <c r="DZ24" s="58">
        <v>83.233999999999995</v>
      </c>
      <c r="EA24" s="58">
        <v>127.836</v>
      </c>
      <c r="EB24" s="58">
        <v>800.05799999999999</v>
      </c>
      <c r="EC24" s="58">
        <v>419.685</v>
      </c>
      <c r="ED24" s="58">
        <v>380.37299999999999</v>
      </c>
      <c r="EE24" s="58">
        <v>520.18200000000002</v>
      </c>
      <c r="EF24" s="58">
        <v>336.35899999999998</v>
      </c>
      <c r="EG24" s="58">
        <v>183.82300000000001</v>
      </c>
      <c r="EH24" s="58">
        <v>279.87599999999998</v>
      </c>
      <c r="EI24" s="58">
        <v>83.325999999999993</v>
      </c>
      <c r="EJ24" s="58">
        <v>196.55</v>
      </c>
      <c r="EK24" s="58">
        <v>122.54</v>
      </c>
      <c r="EL24" s="58">
        <v>62.832000000000001</v>
      </c>
      <c r="EM24" s="58">
        <v>59.707999999999998</v>
      </c>
      <c r="EN24" s="58">
        <v>24.731999999999999</v>
      </c>
      <c r="EO24" s="58">
        <v>11.335000000000001</v>
      </c>
      <c r="EP24" s="58">
        <v>13.396000000000001</v>
      </c>
      <c r="EQ24" s="58">
        <v>7.9210000000000003</v>
      </c>
      <c r="ER24" s="58">
        <v>6.3289999999999997</v>
      </c>
      <c r="ES24" s="58">
        <v>1.5920000000000001</v>
      </c>
      <c r="ET24" s="58">
        <v>3.9390000000000001</v>
      </c>
      <c r="EU24" s="58">
        <v>2.6259999999999999</v>
      </c>
      <c r="EV24" s="58">
        <v>1.3129999999999999</v>
      </c>
      <c r="EW24" s="58">
        <v>3.9809999999999999</v>
      </c>
      <c r="EX24" s="58">
        <v>3.7029999999999998</v>
      </c>
      <c r="EY24" s="58">
        <v>0.27800000000000002</v>
      </c>
      <c r="EZ24" s="58">
        <v>16.811</v>
      </c>
      <c r="FA24" s="58">
        <v>5.0060000000000002</v>
      </c>
      <c r="FB24" s="58">
        <v>11.804</v>
      </c>
      <c r="FC24" s="58">
        <v>111.798</v>
      </c>
      <c r="FD24" s="58">
        <v>56.744999999999997</v>
      </c>
      <c r="FE24" s="58">
        <v>55.052999999999997</v>
      </c>
      <c r="FF24" s="58">
        <v>32.454999999999998</v>
      </c>
      <c r="FG24" s="58">
        <v>26.151</v>
      </c>
      <c r="FH24" s="58">
        <v>6.3040000000000003</v>
      </c>
      <c r="FI24" s="58">
        <v>79.343000000000004</v>
      </c>
      <c r="FJ24" s="58">
        <v>30.594000000000001</v>
      </c>
      <c r="FK24" s="58">
        <v>48.749000000000002</v>
      </c>
      <c r="FL24" s="58">
        <v>38.762</v>
      </c>
      <c r="FM24" s="58">
        <v>31.312999999999999</v>
      </c>
      <c r="FN24" s="58">
        <v>7.4489999999999998</v>
      </c>
      <c r="FO24" s="58">
        <v>83.777000000000001</v>
      </c>
      <c r="FP24" s="58">
        <v>31.518999999999998</v>
      </c>
      <c r="FQ24" s="58">
        <v>52.258000000000003</v>
      </c>
      <c r="FR24" s="58">
        <v>83.281999999999996</v>
      </c>
      <c r="FS24" s="58">
        <v>33.22</v>
      </c>
      <c r="FT24" s="58">
        <v>50.063000000000002</v>
      </c>
      <c r="FU24" s="58">
        <v>1313.471</v>
      </c>
      <c r="FV24" s="58">
        <v>725.25300000000004</v>
      </c>
      <c r="FW24" s="58">
        <v>588.21799999999996</v>
      </c>
      <c r="FX24" s="58">
        <v>922.13099999999997</v>
      </c>
      <c r="FY24" s="58">
        <v>609.03</v>
      </c>
      <c r="FZ24" s="58">
        <v>313.101</v>
      </c>
      <c r="GA24" s="58">
        <v>391.34</v>
      </c>
      <c r="GB24" s="58">
        <v>116.223</v>
      </c>
      <c r="GC24" s="58">
        <v>275.11700000000002</v>
      </c>
      <c r="GD24" s="58">
        <v>190.672</v>
      </c>
      <c r="GE24" s="58">
        <v>103.21599999999999</v>
      </c>
      <c r="GF24" s="58">
        <v>87.454999999999998</v>
      </c>
      <c r="GG24" s="58">
        <v>39.683</v>
      </c>
      <c r="GH24" s="58">
        <v>24.152999999999999</v>
      </c>
      <c r="GI24" s="58">
        <v>15.53</v>
      </c>
      <c r="GJ24" s="58">
        <v>15.537000000000001</v>
      </c>
      <c r="GK24" s="58">
        <v>13.337999999999999</v>
      </c>
      <c r="GL24" s="58">
        <v>2.1989999999999998</v>
      </c>
      <c r="GM24" s="58">
        <v>6.7919999999999998</v>
      </c>
      <c r="GN24" s="58">
        <v>5.7460000000000004</v>
      </c>
      <c r="GO24" s="58">
        <v>1.0449999999999999</v>
      </c>
      <c r="GP24" s="58">
        <v>8.7460000000000004</v>
      </c>
      <c r="GQ24" s="58">
        <v>7.5919999999999996</v>
      </c>
      <c r="GR24" s="58">
        <v>1.1539999999999999</v>
      </c>
      <c r="GS24" s="58">
        <v>24.146000000000001</v>
      </c>
      <c r="GT24" s="58">
        <v>10.815</v>
      </c>
      <c r="GU24" s="58">
        <v>13.331</v>
      </c>
      <c r="GV24" s="58">
        <v>168.96799999999999</v>
      </c>
      <c r="GW24" s="58">
        <v>89.173000000000002</v>
      </c>
      <c r="GX24" s="58">
        <v>79.795000000000002</v>
      </c>
      <c r="GY24" s="58">
        <v>68.643000000000001</v>
      </c>
      <c r="GZ24" s="58">
        <v>51.427</v>
      </c>
      <c r="HA24" s="58">
        <v>17.216000000000001</v>
      </c>
      <c r="HB24" s="58">
        <v>100.325</v>
      </c>
      <c r="HC24" s="58">
        <v>37.746000000000002</v>
      </c>
      <c r="HD24" s="58">
        <v>62.579000000000001</v>
      </c>
      <c r="HE24" s="58">
        <v>80.77</v>
      </c>
      <c r="HF24" s="58">
        <v>62.378</v>
      </c>
      <c r="HG24" s="58">
        <v>18.391999999999999</v>
      </c>
      <c r="HH24" s="58">
        <v>109.902</v>
      </c>
      <c r="HI24" s="58">
        <v>40.838000000000001</v>
      </c>
      <c r="HJ24" s="58">
        <v>69.063000000000002</v>
      </c>
      <c r="HK24" s="58">
        <v>107.117</v>
      </c>
      <c r="HL24" s="58">
        <v>43.493000000000002</v>
      </c>
      <c r="HM24" s="58">
        <v>63.624000000000002</v>
      </c>
      <c r="HN24" s="58">
        <v>240.72800000000001</v>
      </c>
      <c r="HO24" s="58">
        <v>128.096</v>
      </c>
      <c r="HP24" s="58">
        <v>112.63200000000001</v>
      </c>
      <c r="HQ24" s="58">
        <v>155.46899999999999</v>
      </c>
      <c r="HR24" s="58">
        <v>103.43</v>
      </c>
      <c r="HS24" s="58">
        <v>52.039000000000001</v>
      </c>
      <c r="HT24" s="58">
        <v>85.259</v>
      </c>
      <c r="HU24" s="58">
        <v>24.666</v>
      </c>
      <c r="HV24" s="58">
        <v>60.593000000000004</v>
      </c>
      <c r="HW24" s="58">
        <v>39.265000000000001</v>
      </c>
      <c r="HX24" s="58">
        <v>20.202999999999999</v>
      </c>
      <c r="HY24" s="58">
        <v>19.062000000000001</v>
      </c>
      <c r="HZ24" s="58">
        <v>5.3730000000000002</v>
      </c>
      <c r="IA24" s="58">
        <v>2.726</v>
      </c>
      <c r="IB24" s="58">
        <v>2.6469999999999998</v>
      </c>
      <c r="IC24" s="58">
        <v>1.911</v>
      </c>
      <c r="ID24" s="58">
        <v>1.397</v>
      </c>
      <c r="IE24" s="58">
        <v>0.51400000000000001</v>
      </c>
      <c r="IF24" s="58">
        <v>0.753</v>
      </c>
      <c r="IG24" s="58">
        <v>0.34499999999999997</v>
      </c>
      <c r="IH24" s="58">
        <v>0.40799999999999997</v>
      </c>
      <c r="II24" s="58">
        <v>1.1579999999999999</v>
      </c>
      <c r="IJ24" s="58">
        <v>1.0529999999999999</v>
      </c>
      <c r="IK24" s="58">
        <v>0.106</v>
      </c>
      <c r="IL24" s="58">
        <v>3.4609999999999999</v>
      </c>
      <c r="IM24" s="58">
        <v>1.3280000000000001</v>
      </c>
      <c r="IN24" s="58">
        <v>2.133</v>
      </c>
      <c r="IO24" s="58">
        <v>36.066000000000003</v>
      </c>
      <c r="IP24" s="58">
        <v>18.529</v>
      </c>
      <c r="IQ24" s="58">
        <v>17.536999999999999</v>
      </c>
    </row>
    <row r="25" spans="1:251">
      <c r="A25" s="5">
        <v>42248</v>
      </c>
      <c r="B25" s="58">
        <v>983.07899999999995</v>
      </c>
      <c r="C25" s="58">
        <v>1123.1110000000001</v>
      </c>
      <c r="D25" s="58">
        <v>364.49900000000002</v>
      </c>
      <c r="E25" s="58">
        <v>758.61199999999997</v>
      </c>
      <c r="F25" s="58">
        <v>545.53300000000002</v>
      </c>
      <c r="G25" s="58">
        <v>290.07900000000001</v>
      </c>
      <c r="H25" s="58">
        <v>255.45400000000001</v>
      </c>
      <c r="I25" s="58">
        <v>95.587000000000003</v>
      </c>
      <c r="J25" s="58">
        <v>52.238</v>
      </c>
      <c r="K25" s="58">
        <v>43.348999999999997</v>
      </c>
      <c r="L25" s="58">
        <v>34.694000000000003</v>
      </c>
      <c r="M25" s="58">
        <v>25.821000000000002</v>
      </c>
      <c r="N25" s="58">
        <v>8.8740000000000006</v>
      </c>
      <c r="O25" s="58">
        <v>12.489000000000001</v>
      </c>
      <c r="P25" s="58">
        <v>7.5119999999999996</v>
      </c>
      <c r="Q25" s="58">
        <v>4.9770000000000003</v>
      </c>
      <c r="R25" s="58">
        <v>22.204999999999998</v>
      </c>
      <c r="S25" s="58">
        <v>18.309000000000001</v>
      </c>
      <c r="T25" s="58">
        <v>3.8969999999999998</v>
      </c>
      <c r="U25" s="58">
        <v>60.893000000000001</v>
      </c>
      <c r="V25" s="58">
        <v>26.417000000000002</v>
      </c>
      <c r="W25" s="58">
        <v>34.475999999999999</v>
      </c>
      <c r="X25" s="58">
        <v>491.12400000000002</v>
      </c>
      <c r="Y25" s="58">
        <v>256.99299999999999</v>
      </c>
      <c r="Z25" s="58">
        <v>234.131</v>
      </c>
      <c r="AA25" s="58">
        <v>175.321</v>
      </c>
      <c r="AB25" s="58">
        <v>126.59699999999999</v>
      </c>
      <c r="AC25" s="58">
        <v>48.725000000000001</v>
      </c>
      <c r="AD25" s="58">
        <v>315.803</v>
      </c>
      <c r="AE25" s="58">
        <v>130.39599999999999</v>
      </c>
      <c r="AF25" s="58">
        <v>185.40700000000001</v>
      </c>
      <c r="AG25" s="58">
        <v>202.977</v>
      </c>
      <c r="AH25" s="58">
        <v>148.191</v>
      </c>
      <c r="AI25" s="58">
        <v>54.786000000000001</v>
      </c>
      <c r="AJ25" s="58">
        <v>342.55599999999998</v>
      </c>
      <c r="AK25" s="58">
        <v>141.88900000000001</v>
      </c>
      <c r="AL25" s="58">
        <v>200.66800000000001</v>
      </c>
      <c r="AM25" s="58">
        <v>328.29199999999997</v>
      </c>
      <c r="AN25" s="58">
        <v>137.90799999999999</v>
      </c>
      <c r="AO25" s="58">
        <v>190.38300000000001</v>
      </c>
      <c r="AP25" s="58">
        <v>2977.5709999999999</v>
      </c>
      <c r="AQ25" s="58">
        <v>1605</v>
      </c>
      <c r="AR25" s="58">
        <v>1372.5709999999999</v>
      </c>
      <c r="AS25" s="58">
        <v>1978.0219999999999</v>
      </c>
      <c r="AT25" s="58">
        <v>1289.9290000000001</v>
      </c>
      <c r="AU25" s="58">
        <v>688.09299999999996</v>
      </c>
      <c r="AV25" s="58">
        <v>999.54899999999998</v>
      </c>
      <c r="AW25" s="58">
        <v>315.07100000000003</v>
      </c>
      <c r="AX25" s="58">
        <v>684.47900000000004</v>
      </c>
      <c r="AY25" s="58">
        <v>500.10399999999998</v>
      </c>
      <c r="AZ25" s="58">
        <v>255.67400000000001</v>
      </c>
      <c r="BA25" s="58">
        <v>244.43</v>
      </c>
      <c r="BB25" s="58">
        <v>102.021</v>
      </c>
      <c r="BC25" s="58">
        <v>55.884999999999998</v>
      </c>
      <c r="BD25" s="58">
        <v>46.136000000000003</v>
      </c>
      <c r="BE25" s="58">
        <v>49.585000000000001</v>
      </c>
      <c r="BF25" s="58">
        <v>34.470999999999997</v>
      </c>
      <c r="BG25" s="58">
        <v>15.115</v>
      </c>
      <c r="BH25" s="58">
        <v>17.765999999999998</v>
      </c>
      <c r="BI25" s="58">
        <v>12.646000000000001</v>
      </c>
      <c r="BJ25" s="58">
        <v>5.12</v>
      </c>
      <c r="BK25" s="58">
        <v>31.82</v>
      </c>
      <c r="BL25" s="58">
        <v>21.824999999999999</v>
      </c>
      <c r="BM25" s="58">
        <v>9.9949999999999992</v>
      </c>
      <c r="BN25" s="58">
        <v>52.435000000000002</v>
      </c>
      <c r="BO25" s="58">
        <v>21.414000000000001</v>
      </c>
      <c r="BP25" s="58">
        <v>31.021000000000001</v>
      </c>
      <c r="BQ25" s="58">
        <v>434.34</v>
      </c>
      <c r="BR25" s="58">
        <v>219.00200000000001</v>
      </c>
      <c r="BS25" s="58">
        <v>215.33799999999999</v>
      </c>
      <c r="BT25" s="58">
        <v>161.202</v>
      </c>
      <c r="BU25" s="58">
        <v>119.40600000000001</v>
      </c>
      <c r="BV25" s="58">
        <v>41.795999999999999</v>
      </c>
      <c r="BW25" s="58">
        <v>273.13799999999998</v>
      </c>
      <c r="BX25" s="58">
        <v>99.596000000000004</v>
      </c>
      <c r="BY25" s="58">
        <v>173.542</v>
      </c>
      <c r="BZ25" s="58">
        <v>201.39099999999999</v>
      </c>
      <c r="CA25" s="58">
        <v>147.55699999999999</v>
      </c>
      <c r="CB25" s="58">
        <v>53.834000000000003</v>
      </c>
      <c r="CC25" s="58">
        <v>298.71300000000002</v>
      </c>
      <c r="CD25" s="58">
        <v>108.117</v>
      </c>
      <c r="CE25" s="58">
        <v>190.595</v>
      </c>
      <c r="CF25" s="58">
        <v>290.904</v>
      </c>
      <c r="CG25" s="58">
        <v>112.242</v>
      </c>
      <c r="CH25" s="58">
        <v>178.66200000000001</v>
      </c>
      <c r="CI25" s="58">
        <v>2355.2269999999999</v>
      </c>
      <c r="CJ25" s="58">
        <v>1246.68</v>
      </c>
      <c r="CK25" s="58">
        <v>1108.548</v>
      </c>
      <c r="CL25" s="58">
        <v>1645.059</v>
      </c>
      <c r="CM25" s="58">
        <v>1044.0050000000001</v>
      </c>
      <c r="CN25" s="58">
        <v>601.05399999999997</v>
      </c>
      <c r="CO25" s="58">
        <v>710.16899999999998</v>
      </c>
      <c r="CP25" s="58">
        <v>202.67500000000001</v>
      </c>
      <c r="CQ25" s="58">
        <v>507.49400000000003</v>
      </c>
      <c r="CR25" s="58">
        <v>339.68599999999998</v>
      </c>
      <c r="CS25" s="58">
        <v>178.56399999999999</v>
      </c>
      <c r="CT25" s="58">
        <v>161.12200000000001</v>
      </c>
      <c r="CU25" s="58">
        <v>55.189</v>
      </c>
      <c r="CV25" s="58">
        <v>33.518999999999998</v>
      </c>
      <c r="CW25" s="58">
        <v>21.669</v>
      </c>
      <c r="CX25" s="58">
        <v>26.943000000000001</v>
      </c>
      <c r="CY25" s="58">
        <v>21.838000000000001</v>
      </c>
      <c r="CZ25" s="58">
        <v>5.1050000000000004</v>
      </c>
      <c r="DA25" s="58">
        <v>12.37</v>
      </c>
      <c r="DB25" s="58">
        <v>10.590999999999999</v>
      </c>
      <c r="DC25" s="58">
        <v>1.7789999999999999</v>
      </c>
      <c r="DD25" s="58">
        <v>14.573</v>
      </c>
      <c r="DE25" s="58">
        <v>11.247999999999999</v>
      </c>
      <c r="DF25" s="58">
        <v>3.3260000000000001</v>
      </c>
      <c r="DG25" s="58">
        <v>28.245000000000001</v>
      </c>
      <c r="DH25" s="58">
        <v>11.680999999999999</v>
      </c>
      <c r="DI25" s="58">
        <v>16.565000000000001</v>
      </c>
      <c r="DJ25" s="58">
        <v>306.74599999999998</v>
      </c>
      <c r="DK25" s="58">
        <v>159.54400000000001</v>
      </c>
      <c r="DL25" s="58">
        <v>147.203</v>
      </c>
      <c r="DM25" s="58">
        <v>121.254</v>
      </c>
      <c r="DN25" s="58">
        <v>91.891999999999996</v>
      </c>
      <c r="DO25" s="58">
        <v>29.361999999999998</v>
      </c>
      <c r="DP25" s="58">
        <v>185.49199999999999</v>
      </c>
      <c r="DQ25" s="58">
        <v>67.652000000000001</v>
      </c>
      <c r="DR25" s="58">
        <v>117.84099999999999</v>
      </c>
      <c r="DS25" s="58">
        <v>138.50299999999999</v>
      </c>
      <c r="DT25" s="58">
        <v>105.276</v>
      </c>
      <c r="DU25" s="58">
        <v>33.226999999999997</v>
      </c>
      <c r="DV25" s="58">
        <v>201.184</v>
      </c>
      <c r="DW25" s="58">
        <v>73.287999999999997</v>
      </c>
      <c r="DX25" s="58">
        <v>127.895</v>
      </c>
      <c r="DY25" s="58">
        <v>197.86199999999999</v>
      </c>
      <c r="DZ25" s="58">
        <v>78.242000000000004</v>
      </c>
      <c r="EA25" s="58">
        <v>119.62</v>
      </c>
      <c r="EB25" s="58">
        <v>797.63599999999997</v>
      </c>
      <c r="EC25" s="58">
        <v>420.39800000000002</v>
      </c>
      <c r="ED25" s="58">
        <v>377.23700000000002</v>
      </c>
      <c r="EE25" s="58">
        <v>523.27099999999996</v>
      </c>
      <c r="EF25" s="58">
        <v>337.774</v>
      </c>
      <c r="EG25" s="58">
        <v>185.49700000000001</v>
      </c>
      <c r="EH25" s="58">
        <v>274.36399999999998</v>
      </c>
      <c r="EI25" s="58">
        <v>82.623999999999995</v>
      </c>
      <c r="EJ25" s="58">
        <v>191.74</v>
      </c>
      <c r="EK25" s="58">
        <v>123.679</v>
      </c>
      <c r="EL25" s="58">
        <v>63.72</v>
      </c>
      <c r="EM25" s="58">
        <v>59.957999999999998</v>
      </c>
      <c r="EN25" s="58">
        <v>24.91</v>
      </c>
      <c r="EO25" s="58">
        <v>13.624000000000001</v>
      </c>
      <c r="EP25" s="58">
        <v>11.286</v>
      </c>
      <c r="EQ25" s="58">
        <v>10.766999999999999</v>
      </c>
      <c r="ER25" s="58">
        <v>9.1940000000000008</v>
      </c>
      <c r="ES25" s="58">
        <v>1.573</v>
      </c>
      <c r="ET25" s="58">
        <v>6.4119999999999999</v>
      </c>
      <c r="EU25" s="58">
        <v>4.84</v>
      </c>
      <c r="EV25" s="58">
        <v>1.573</v>
      </c>
      <c r="EW25" s="58">
        <v>4.3550000000000004</v>
      </c>
      <c r="EX25" s="58">
        <v>4.3550000000000004</v>
      </c>
      <c r="EY25" s="58">
        <v>0</v>
      </c>
      <c r="EZ25" s="58">
        <v>14.143000000000001</v>
      </c>
      <c r="FA25" s="58">
        <v>4.4290000000000003</v>
      </c>
      <c r="FB25" s="58">
        <v>9.7140000000000004</v>
      </c>
      <c r="FC25" s="58">
        <v>109.92400000000001</v>
      </c>
      <c r="FD25" s="58">
        <v>55.281999999999996</v>
      </c>
      <c r="FE25" s="58">
        <v>54.642000000000003</v>
      </c>
      <c r="FF25" s="58">
        <v>32.152000000000001</v>
      </c>
      <c r="FG25" s="58">
        <v>25.51</v>
      </c>
      <c r="FH25" s="58">
        <v>6.641</v>
      </c>
      <c r="FI25" s="58">
        <v>77.772000000000006</v>
      </c>
      <c r="FJ25" s="58">
        <v>29.771999999999998</v>
      </c>
      <c r="FK25" s="58">
        <v>48</v>
      </c>
      <c r="FL25" s="58">
        <v>40.375</v>
      </c>
      <c r="FM25" s="58">
        <v>32.441000000000003</v>
      </c>
      <c r="FN25" s="58">
        <v>7.9340000000000002</v>
      </c>
      <c r="FO25" s="58">
        <v>83.304000000000002</v>
      </c>
      <c r="FP25" s="58">
        <v>31.279</v>
      </c>
      <c r="FQ25" s="58">
        <v>52.024999999999999</v>
      </c>
      <c r="FR25" s="58">
        <v>84.183999999999997</v>
      </c>
      <c r="FS25" s="58">
        <v>34.610999999999997</v>
      </c>
      <c r="FT25" s="58">
        <v>49.573</v>
      </c>
      <c r="FU25" s="58">
        <v>1310.4280000000001</v>
      </c>
      <c r="FV25" s="58">
        <v>729.05399999999997</v>
      </c>
      <c r="FW25" s="58">
        <v>581.37400000000002</v>
      </c>
      <c r="FX25" s="58">
        <v>921.35799999999995</v>
      </c>
      <c r="FY25" s="58">
        <v>615.64</v>
      </c>
      <c r="FZ25" s="58">
        <v>305.71899999999999</v>
      </c>
      <c r="GA25" s="58">
        <v>389.07</v>
      </c>
      <c r="GB25" s="58">
        <v>113.41500000000001</v>
      </c>
      <c r="GC25" s="58">
        <v>275.65499999999997</v>
      </c>
      <c r="GD25" s="58">
        <v>185.36500000000001</v>
      </c>
      <c r="GE25" s="58">
        <v>96.433000000000007</v>
      </c>
      <c r="GF25" s="58">
        <v>88.932000000000002</v>
      </c>
      <c r="GG25" s="58">
        <v>40.996000000000002</v>
      </c>
      <c r="GH25" s="58">
        <v>23.969000000000001</v>
      </c>
      <c r="GI25" s="58">
        <v>17.027999999999999</v>
      </c>
      <c r="GJ25" s="58">
        <v>17.167999999999999</v>
      </c>
      <c r="GK25" s="58">
        <v>14.678000000000001</v>
      </c>
      <c r="GL25" s="58">
        <v>2.4900000000000002</v>
      </c>
      <c r="GM25" s="58">
        <v>9.6180000000000003</v>
      </c>
      <c r="GN25" s="58">
        <v>7.8250000000000002</v>
      </c>
      <c r="GO25" s="58">
        <v>1.7929999999999999</v>
      </c>
      <c r="GP25" s="58">
        <v>7.5510000000000002</v>
      </c>
      <c r="GQ25" s="58">
        <v>6.8529999999999998</v>
      </c>
      <c r="GR25" s="58">
        <v>0.69699999999999995</v>
      </c>
      <c r="GS25" s="58">
        <v>23.827999999999999</v>
      </c>
      <c r="GT25" s="58">
        <v>9.2899999999999991</v>
      </c>
      <c r="GU25" s="58">
        <v>14.538</v>
      </c>
      <c r="GV25" s="58">
        <v>162.495</v>
      </c>
      <c r="GW25" s="58">
        <v>84.100999999999999</v>
      </c>
      <c r="GX25" s="58">
        <v>78.394000000000005</v>
      </c>
      <c r="GY25" s="58">
        <v>64.41</v>
      </c>
      <c r="GZ25" s="58">
        <v>46.34</v>
      </c>
      <c r="HA25" s="58">
        <v>18.07</v>
      </c>
      <c r="HB25" s="58">
        <v>98.084000000000003</v>
      </c>
      <c r="HC25" s="58">
        <v>37.761000000000003</v>
      </c>
      <c r="HD25" s="58">
        <v>60.323</v>
      </c>
      <c r="HE25" s="58">
        <v>75.596999999999994</v>
      </c>
      <c r="HF25" s="58">
        <v>55.802</v>
      </c>
      <c r="HG25" s="58">
        <v>19.795000000000002</v>
      </c>
      <c r="HH25" s="58">
        <v>109.768</v>
      </c>
      <c r="HI25" s="58">
        <v>40.631</v>
      </c>
      <c r="HJ25" s="58">
        <v>69.137</v>
      </c>
      <c r="HK25" s="58">
        <v>107.702</v>
      </c>
      <c r="HL25" s="58">
        <v>45.585999999999999</v>
      </c>
      <c r="HM25" s="58">
        <v>62.116</v>
      </c>
      <c r="HN25" s="58">
        <v>240.49</v>
      </c>
      <c r="HO25" s="58">
        <v>128.19900000000001</v>
      </c>
      <c r="HP25" s="58">
        <v>112.291</v>
      </c>
      <c r="HQ25" s="58">
        <v>155.40899999999999</v>
      </c>
      <c r="HR25" s="58">
        <v>101.486</v>
      </c>
      <c r="HS25" s="58">
        <v>53.923000000000002</v>
      </c>
      <c r="HT25" s="58">
        <v>85.081000000000003</v>
      </c>
      <c r="HU25" s="58">
        <v>26.712</v>
      </c>
      <c r="HV25" s="58">
        <v>58.369</v>
      </c>
      <c r="HW25" s="58">
        <v>40.970999999999997</v>
      </c>
      <c r="HX25" s="58">
        <v>22.119</v>
      </c>
      <c r="HY25" s="58">
        <v>18.852</v>
      </c>
      <c r="HZ25" s="58">
        <v>7.2869999999999999</v>
      </c>
      <c r="IA25" s="58">
        <v>3.4430000000000001</v>
      </c>
      <c r="IB25" s="58">
        <v>3.843</v>
      </c>
      <c r="IC25" s="58">
        <v>2.226</v>
      </c>
      <c r="ID25" s="58">
        <v>1.65</v>
      </c>
      <c r="IE25" s="58">
        <v>0.57599999999999996</v>
      </c>
      <c r="IF25" s="58">
        <v>1.0609999999999999</v>
      </c>
      <c r="IG25" s="58">
        <v>0.63</v>
      </c>
      <c r="IH25" s="58">
        <v>0.43099999999999999</v>
      </c>
      <c r="II25" s="58">
        <v>1.165</v>
      </c>
      <c r="IJ25" s="58">
        <v>1.02</v>
      </c>
      <c r="IK25" s="58">
        <v>0.14499999999999999</v>
      </c>
      <c r="IL25" s="58">
        <v>5.0599999999999996</v>
      </c>
      <c r="IM25" s="58">
        <v>1.7929999999999999</v>
      </c>
      <c r="IN25" s="58">
        <v>3.2669999999999999</v>
      </c>
      <c r="IO25" s="58">
        <v>36.71</v>
      </c>
      <c r="IP25" s="58">
        <v>19.946000000000002</v>
      </c>
      <c r="IQ25" s="58">
        <v>16.763999999999999</v>
      </c>
    </row>
    <row r="26" spans="1:251">
      <c r="A26" s="5">
        <v>42278</v>
      </c>
      <c r="B26" s="58">
        <v>969.2</v>
      </c>
      <c r="C26" s="58">
        <v>1113.039</v>
      </c>
      <c r="D26" s="58">
        <v>340.71199999999999</v>
      </c>
      <c r="E26" s="58">
        <v>772.32600000000002</v>
      </c>
      <c r="F26" s="58">
        <v>487.73399999999998</v>
      </c>
      <c r="G26" s="58">
        <v>259.44</v>
      </c>
      <c r="H26" s="58">
        <v>228.29400000000001</v>
      </c>
      <c r="I26" s="58">
        <v>79.977999999999994</v>
      </c>
      <c r="J26" s="58">
        <v>43.877000000000002</v>
      </c>
      <c r="K26" s="58">
        <v>36.100999999999999</v>
      </c>
      <c r="L26" s="58">
        <v>30.369</v>
      </c>
      <c r="M26" s="58">
        <v>22.036999999999999</v>
      </c>
      <c r="N26" s="58">
        <v>8.3320000000000007</v>
      </c>
      <c r="O26" s="58">
        <v>19.538</v>
      </c>
      <c r="P26" s="58">
        <v>14.994999999999999</v>
      </c>
      <c r="Q26" s="58">
        <v>4.5439999999999996</v>
      </c>
      <c r="R26" s="58">
        <v>10.831</v>
      </c>
      <c r="S26" s="58">
        <v>7.0430000000000001</v>
      </c>
      <c r="T26" s="58">
        <v>3.7879999999999998</v>
      </c>
      <c r="U26" s="58">
        <v>49.609000000000002</v>
      </c>
      <c r="V26" s="58">
        <v>21.84</v>
      </c>
      <c r="W26" s="58">
        <v>27.768999999999998</v>
      </c>
      <c r="X26" s="58">
        <v>438.50099999999998</v>
      </c>
      <c r="Y26" s="58">
        <v>230.64500000000001</v>
      </c>
      <c r="Z26" s="58">
        <v>207.85599999999999</v>
      </c>
      <c r="AA26" s="58">
        <v>168.45599999999999</v>
      </c>
      <c r="AB26" s="58">
        <v>120.895</v>
      </c>
      <c r="AC26" s="58">
        <v>47.561</v>
      </c>
      <c r="AD26" s="58">
        <v>270.04399999999998</v>
      </c>
      <c r="AE26" s="58">
        <v>109.749</v>
      </c>
      <c r="AF26" s="58">
        <v>160.29499999999999</v>
      </c>
      <c r="AG26" s="58">
        <v>190.36</v>
      </c>
      <c r="AH26" s="58">
        <v>137.566</v>
      </c>
      <c r="AI26" s="58">
        <v>52.793999999999997</v>
      </c>
      <c r="AJ26" s="58">
        <v>297.37400000000002</v>
      </c>
      <c r="AK26" s="58">
        <v>121.874</v>
      </c>
      <c r="AL26" s="58">
        <v>175.5</v>
      </c>
      <c r="AM26" s="58">
        <v>289.58300000000003</v>
      </c>
      <c r="AN26" s="58">
        <v>124.744</v>
      </c>
      <c r="AO26" s="58">
        <v>164.839</v>
      </c>
      <c r="AP26" s="58">
        <v>3019.172</v>
      </c>
      <c r="AQ26" s="58">
        <v>1629.424</v>
      </c>
      <c r="AR26" s="58">
        <v>1389.749</v>
      </c>
      <c r="AS26" s="58">
        <v>1998.588</v>
      </c>
      <c r="AT26" s="58">
        <v>1306.4459999999999</v>
      </c>
      <c r="AU26" s="58">
        <v>692.14200000000005</v>
      </c>
      <c r="AV26" s="58">
        <v>1020.5839999999999</v>
      </c>
      <c r="AW26" s="58">
        <v>322.97699999999998</v>
      </c>
      <c r="AX26" s="58">
        <v>697.60699999999997</v>
      </c>
      <c r="AY26" s="58">
        <v>495.36399999999998</v>
      </c>
      <c r="AZ26" s="58">
        <v>258.17700000000002</v>
      </c>
      <c r="BA26" s="58">
        <v>237.18700000000001</v>
      </c>
      <c r="BB26" s="58">
        <v>91.566999999999993</v>
      </c>
      <c r="BC26" s="58">
        <v>49.19</v>
      </c>
      <c r="BD26" s="58">
        <v>42.377000000000002</v>
      </c>
      <c r="BE26" s="58">
        <v>27.234000000000002</v>
      </c>
      <c r="BF26" s="58">
        <v>19.064</v>
      </c>
      <c r="BG26" s="58">
        <v>8.17</v>
      </c>
      <c r="BH26" s="58">
        <v>14.522</v>
      </c>
      <c r="BI26" s="58">
        <v>9.7439999999999998</v>
      </c>
      <c r="BJ26" s="58">
        <v>4.7789999999999999</v>
      </c>
      <c r="BK26" s="58">
        <v>12.712</v>
      </c>
      <c r="BL26" s="58">
        <v>9.3209999999999997</v>
      </c>
      <c r="BM26" s="58">
        <v>3.391</v>
      </c>
      <c r="BN26" s="58">
        <v>64.332999999999998</v>
      </c>
      <c r="BO26" s="58">
        <v>30.126000000000001</v>
      </c>
      <c r="BP26" s="58">
        <v>34.207000000000001</v>
      </c>
      <c r="BQ26" s="58">
        <v>443.54199999999997</v>
      </c>
      <c r="BR26" s="58">
        <v>232.238</v>
      </c>
      <c r="BS26" s="58">
        <v>211.30500000000001</v>
      </c>
      <c r="BT26" s="58">
        <v>165.05799999999999</v>
      </c>
      <c r="BU26" s="58">
        <v>127.47199999999999</v>
      </c>
      <c r="BV26" s="58">
        <v>37.585999999999999</v>
      </c>
      <c r="BW26" s="58">
        <v>278.48399999999998</v>
      </c>
      <c r="BX26" s="58">
        <v>104.76600000000001</v>
      </c>
      <c r="BY26" s="58">
        <v>173.71899999999999</v>
      </c>
      <c r="BZ26" s="58">
        <v>182.78100000000001</v>
      </c>
      <c r="CA26" s="58">
        <v>139.041</v>
      </c>
      <c r="CB26" s="58">
        <v>43.74</v>
      </c>
      <c r="CC26" s="58">
        <v>312.584</v>
      </c>
      <c r="CD26" s="58">
        <v>119.136</v>
      </c>
      <c r="CE26" s="58">
        <v>193.44800000000001</v>
      </c>
      <c r="CF26" s="58">
        <v>293.00700000000001</v>
      </c>
      <c r="CG26" s="58">
        <v>114.509</v>
      </c>
      <c r="CH26" s="58">
        <v>178.49700000000001</v>
      </c>
      <c r="CI26" s="58">
        <v>2380.4299999999998</v>
      </c>
      <c r="CJ26" s="58">
        <v>1255.9359999999999</v>
      </c>
      <c r="CK26" s="58">
        <v>1124.4939999999999</v>
      </c>
      <c r="CL26" s="58">
        <v>1645.172</v>
      </c>
      <c r="CM26" s="58">
        <v>1039.05</v>
      </c>
      <c r="CN26" s="58">
        <v>606.12300000000005</v>
      </c>
      <c r="CO26" s="58">
        <v>735.25800000000004</v>
      </c>
      <c r="CP26" s="58">
        <v>216.886</v>
      </c>
      <c r="CQ26" s="58">
        <v>518.37199999999996</v>
      </c>
      <c r="CR26" s="58">
        <v>361.738</v>
      </c>
      <c r="CS26" s="58">
        <v>197.77799999999999</v>
      </c>
      <c r="CT26" s="58">
        <v>163.96</v>
      </c>
      <c r="CU26" s="58">
        <v>56.363999999999997</v>
      </c>
      <c r="CV26" s="58">
        <v>33.884</v>
      </c>
      <c r="CW26" s="58">
        <v>22.48</v>
      </c>
      <c r="CX26" s="58">
        <v>24.181000000000001</v>
      </c>
      <c r="CY26" s="58">
        <v>19.155999999999999</v>
      </c>
      <c r="CZ26" s="58">
        <v>5.0259999999999998</v>
      </c>
      <c r="DA26" s="58">
        <v>12.411</v>
      </c>
      <c r="DB26" s="58">
        <v>9.1270000000000007</v>
      </c>
      <c r="DC26" s="58">
        <v>3.2839999999999998</v>
      </c>
      <c r="DD26" s="58">
        <v>11.77</v>
      </c>
      <c r="DE26" s="58">
        <v>10.029</v>
      </c>
      <c r="DF26" s="58">
        <v>1.742</v>
      </c>
      <c r="DG26" s="58">
        <v>32.182000000000002</v>
      </c>
      <c r="DH26" s="58">
        <v>14.728</v>
      </c>
      <c r="DI26" s="58">
        <v>17.454000000000001</v>
      </c>
      <c r="DJ26" s="58">
        <v>326.04399999999998</v>
      </c>
      <c r="DK26" s="58">
        <v>176.54</v>
      </c>
      <c r="DL26" s="58">
        <v>149.50399999999999</v>
      </c>
      <c r="DM26" s="58">
        <v>126.586</v>
      </c>
      <c r="DN26" s="58">
        <v>97.884</v>
      </c>
      <c r="DO26" s="58">
        <v>28.702000000000002</v>
      </c>
      <c r="DP26" s="58">
        <v>199.458</v>
      </c>
      <c r="DQ26" s="58">
        <v>78.656000000000006</v>
      </c>
      <c r="DR26" s="58">
        <v>120.80200000000001</v>
      </c>
      <c r="DS26" s="58">
        <v>145.77699999999999</v>
      </c>
      <c r="DT26" s="58">
        <v>112.41</v>
      </c>
      <c r="DU26" s="58">
        <v>33.366999999999997</v>
      </c>
      <c r="DV26" s="58">
        <v>215.96100000000001</v>
      </c>
      <c r="DW26" s="58">
        <v>85.367999999999995</v>
      </c>
      <c r="DX26" s="58">
        <v>130.59299999999999</v>
      </c>
      <c r="DY26" s="58">
        <v>211.869</v>
      </c>
      <c r="DZ26" s="58">
        <v>87.783000000000001</v>
      </c>
      <c r="EA26" s="58">
        <v>124.086</v>
      </c>
      <c r="EB26" s="58">
        <v>799.96299999999997</v>
      </c>
      <c r="EC26" s="58">
        <v>421.67399999999998</v>
      </c>
      <c r="ED26" s="58">
        <v>378.29</v>
      </c>
      <c r="EE26" s="58">
        <v>513.52700000000004</v>
      </c>
      <c r="EF26" s="58">
        <v>332.68700000000001</v>
      </c>
      <c r="EG26" s="58">
        <v>180.84</v>
      </c>
      <c r="EH26" s="58">
        <v>286.43599999999998</v>
      </c>
      <c r="EI26" s="58">
        <v>88.986999999999995</v>
      </c>
      <c r="EJ26" s="58">
        <v>197.45</v>
      </c>
      <c r="EK26" s="58">
        <v>126.184</v>
      </c>
      <c r="EL26" s="58">
        <v>64.272999999999996</v>
      </c>
      <c r="EM26" s="58">
        <v>61.911000000000001</v>
      </c>
      <c r="EN26" s="58">
        <v>20.821000000000002</v>
      </c>
      <c r="EO26" s="58">
        <v>11.452</v>
      </c>
      <c r="EP26" s="58">
        <v>9.3680000000000003</v>
      </c>
      <c r="EQ26" s="58">
        <v>6.0149999999999997</v>
      </c>
      <c r="ER26" s="58">
        <v>4.3120000000000003</v>
      </c>
      <c r="ES26" s="58">
        <v>1.7030000000000001</v>
      </c>
      <c r="ET26" s="58">
        <v>3.9550000000000001</v>
      </c>
      <c r="EU26" s="58">
        <v>2.476</v>
      </c>
      <c r="EV26" s="58">
        <v>1.4790000000000001</v>
      </c>
      <c r="EW26" s="58">
        <v>2.0590000000000002</v>
      </c>
      <c r="EX26" s="58">
        <v>1.835</v>
      </c>
      <c r="EY26" s="58">
        <v>0.224</v>
      </c>
      <c r="EZ26" s="58">
        <v>14.805999999999999</v>
      </c>
      <c r="FA26" s="58">
        <v>7.141</v>
      </c>
      <c r="FB26" s="58">
        <v>7.665</v>
      </c>
      <c r="FC26" s="58">
        <v>117.026</v>
      </c>
      <c r="FD26" s="58">
        <v>60.258000000000003</v>
      </c>
      <c r="FE26" s="58">
        <v>56.768000000000001</v>
      </c>
      <c r="FF26" s="58">
        <v>32.234999999999999</v>
      </c>
      <c r="FG26" s="58">
        <v>24.045000000000002</v>
      </c>
      <c r="FH26" s="58">
        <v>8.19</v>
      </c>
      <c r="FI26" s="58">
        <v>84.792000000000002</v>
      </c>
      <c r="FJ26" s="58">
        <v>36.213000000000001</v>
      </c>
      <c r="FK26" s="58">
        <v>48.578000000000003</v>
      </c>
      <c r="FL26" s="58">
        <v>36.804000000000002</v>
      </c>
      <c r="FM26" s="58">
        <v>27.334</v>
      </c>
      <c r="FN26" s="58">
        <v>9.4700000000000006</v>
      </c>
      <c r="FO26" s="58">
        <v>89.38</v>
      </c>
      <c r="FP26" s="58">
        <v>36.94</v>
      </c>
      <c r="FQ26" s="58">
        <v>52.441000000000003</v>
      </c>
      <c r="FR26" s="58">
        <v>88.747</v>
      </c>
      <c r="FS26" s="58">
        <v>38.69</v>
      </c>
      <c r="FT26" s="58">
        <v>50.057000000000002</v>
      </c>
      <c r="FU26" s="58">
        <v>1323.549</v>
      </c>
      <c r="FV26" s="58">
        <v>726.71299999999997</v>
      </c>
      <c r="FW26" s="58">
        <v>596.83600000000001</v>
      </c>
      <c r="FX26" s="58">
        <v>921.30600000000004</v>
      </c>
      <c r="FY26" s="58">
        <v>614.65200000000004</v>
      </c>
      <c r="FZ26" s="58">
        <v>306.654</v>
      </c>
      <c r="GA26" s="58">
        <v>402.24299999999999</v>
      </c>
      <c r="GB26" s="58">
        <v>112.062</v>
      </c>
      <c r="GC26" s="58">
        <v>290.18200000000002</v>
      </c>
      <c r="GD26" s="58">
        <v>198.393</v>
      </c>
      <c r="GE26" s="58">
        <v>96.055000000000007</v>
      </c>
      <c r="GF26" s="58">
        <v>102.33799999999999</v>
      </c>
      <c r="GG26" s="58">
        <v>39.5</v>
      </c>
      <c r="GH26" s="58">
        <v>20.763999999999999</v>
      </c>
      <c r="GI26" s="58">
        <v>18.736000000000001</v>
      </c>
      <c r="GJ26" s="58">
        <v>19.515000000000001</v>
      </c>
      <c r="GK26" s="58">
        <v>14.372999999999999</v>
      </c>
      <c r="GL26" s="58">
        <v>5.1429999999999998</v>
      </c>
      <c r="GM26" s="58">
        <v>11.484999999999999</v>
      </c>
      <c r="GN26" s="58">
        <v>8.7409999999999997</v>
      </c>
      <c r="GO26" s="58">
        <v>2.7429999999999999</v>
      </c>
      <c r="GP26" s="58">
        <v>8.0310000000000006</v>
      </c>
      <c r="GQ26" s="58">
        <v>5.6310000000000002</v>
      </c>
      <c r="GR26" s="58">
        <v>2.4</v>
      </c>
      <c r="GS26" s="58">
        <v>19.984999999999999</v>
      </c>
      <c r="GT26" s="58">
        <v>6.391</v>
      </c>
      <c r="GU26" s="58">
        <v>13.593999999999999</v>
      </c>
      <c r="GV26" s="58">
        <v>170.85</v>
      </c>
      <c r="GW26" s="58">
        <v>81.959000000000003</v>
      </c>
      <c r="GX26" s="58">
        <v>88.891000000000005</v>
      </c>
      <c r="GY26" s="58">
        <v>64.816000000000003</v>
      </c>
      <c r="GZ26" s="58">
        <v>44.93</v>
      </c>
      <c r="HA26" s="58">
        <v>19.885000000000002</v>
      </c>
      <c r="HB26" s="58">
        <v>106.03400000000001</v>
      </c>
      <c r="HC26" s="58">
        <v>37.029000000000003</v>
      </c>
      <c r="HD26" s="58">
        <v>69.004999999999995</v>
      </c>
      <c r="HE26" s="58">
        <v>81.257000000000005</v>
      </c>
      <c r="HF26" s="58">
        <v>56.902000000000001</v>
      </c>
      <c r="HG26" s="58">
        <v>24.355</v>
      </c>
      <c r="HH26" s="58">
        <v>117.136</v>
      </c>
      <c r="HI26" s="58">
        <v>39.152999999999999</v>
      </c>
      <c r="HJ26" s="58">
        <v>77.983000000000004</v>
      </c>
      <c r="HK26" s="58">
        <v>117.51900000000001</v>
      </c>
      <c r="HL26" s="58">
        <v>45.77</v>
      </c>
      <c r="HM26" s="58">
        <v>71.748000000000005</v>
      </c>
      <c r="HN26" s="58">
        <v>240.42599999999999</v>
      </c>
      <c r="HO26" s="58">
        <v>127.605</v>
      </c>
      <c r="HP26" s="58">
        <v>112.821</v>
      </c>
      <c r="HQ26" s="58">
        <v>154.85499999999999</v>
      </c>
      <c r="HR26" s="58">
        <v>100.55500000000001</v>
      </c>
      <c r="HS26" s="58">
        <v>54.3</v>
      </c>
      <c r="HT26" s="58">
        <v>85.570999999999998</v>
      </c>
      <c r="HU26" s="58">
        <v>27.05</v>
      </c>
      <c r="HV26" s="58">
        <v>58.521000000000001</v>
      </c>
      <c r="HW26" s="58">
        <v>40.713999999999999</v>
      </c>
      <c r="HX26" s="58">
        <v>23.152999999999999</v>
      </c>
      <c r="HY26" s="58">
        <v>17.561</v>
      </c>
      <c r="HZ26" s="58">
        <v>8.6809999999999992</v>
      </c>
      <c r="IA26" s="58">
        <v>5.1849999999999996</v>
      </c>
      <c r="IB26" s="58">
        <v>3.496</v>
      </c>
      <c r="IC26" s="58">
        <v>2.9249999999999998</v>
      </c>
      <c r="ID26" s="58">
        <v>1.9910000000000001</v>
      </c>
      <c r="IE26" s="58">
        <v>0.93400000000000005</v>
      </c>
      <c r="IF26" s="58">
        <v>1.3580000000000001</v>
      </c>
      <c r="IG26" s="58">
        <v>0.73099999999999998</v>
      </c>
      <c r="IH26" s="58">
        <v>0.628</v>
      </c>
      <c r="II26" s="58">
        <v>1.5660000000000001</v>
      </c>
      <c r="IJ26" s="58">
        <v>1.26</v>
      </c>
      <c r="IK26" s="58">
        <v>0.30599999999999999</v>
      </c>
      <c r="IL26" s="58">
        <v>5.7569999999999997</v>
      </c>
      <c r="IM26" s="58">
        <v>3.194</v>
      </c>
      <c r="IN26" s="58">
        <v>2.5630000000000002</v>
      </c>
      <c r="IO26" s="58">
        <v>35.773000000000003</v>
      </c>
      <c r="IP26" s="58">
        <v>20.198</v>
      </c>
      <c r="IQ26" s="58">
        <v>15.574999999999999</v>
      </c>
    </row>
    <row r="27" spans="1:251">
      <c r="A27" s="5">
        <v>42309</v>
      </c>
      <c r="B27" s="58">
        <v>1006.494</v>
      </c>
      <c r="C27" s="58">
        <v>1122.8810000000001</v>
      </c>
      <c r="D27" s="58">
        <v>352.31099999999998</v>
      </c>
      <c r="E27" s="58">
        <v>770.57</v>
      </c>
      <c r="F27" s="58">
        <v>508.96699999999998</v>
      </c>
      <c r="G27" s="58">
        <v>259.88600000000002</v>
      </c>
      <c r="H27" s="58">
        <v>249.08099999999999</v>
      </c>
      <c r="I27" s="58">
        <v>83.960999999999999</v>
      </c>
      <c r="J27" s="58">
        <v>45.584000000000003</v>
      </c>
      <c r="K27" s="58">
        <v>38.377000000000002</v>
      </c>
      <c r="L27" s="58">
        <v>34.484999999999999</v>
      </c>
      <c r="M27" s="58">
        <v>23.495999999999999</v>
      </c>
      <c r="N27" s="58">
        <v>10.989000000000001</v>
      </c>
      <c r="O27" s="58">
        <v>18.326000000000001</v>
      </c>
      <c r="P27" s="58">
        <v>13.877000000000001</v>
      </c>
      <c r="Q27" s="58">
        <v>4.4489999999999998</v>
      </c>
      <c r="R27" s="58">
        <v>16.158999999999999</v>
      </c>
      <c r="S27" s="58">
        <v>9.6189999999999998</v>
      </c>
      <c r="T27" s="58">
        <v>6.54</v>
      </c>
      <c r="U27" s="58">
        <v>49.475000000000001</v>
      </c>
      <c r="V27" s="58">
        <v>22.087</v>
      </c>
      <c r="W27" s="58">
        <v>27.388000000000002</v>
      </c>
      <c r="X27" s="58">
        <v>461.66500000000002</v>
      </c>
      <c r="Y27" s="58">
        <v>234.73699999999999</v>
      </c>
      <c r="Z27" s="58">
        <v>226.928</v>
      </c>
      <c r="AA27" s="58">
        <v>173.49</v>
      </c>
      <c r="AB27" s="58">
        <v>121.172</v>
      </c>
      <c r="AC27" s="58">
        <v>52.317999999999998</v>
      </c>
      <c r="AD27" s="58">
        <v>288.17500000000001</v>
      </c>
      <c r="AE27" s="58">
        <v>113.56399999999999</v>
      </c>
      <c r="AF27" s="58">
        <v>174.61099999999999</v>
      </c>
      <c r="AG27" s="58">
        <v>199.36</v>
      </c>
      <c r="AH27" s="58">
        <v>137.494</v>
      </c>
      <c r="AI27" s="58">
        <v>61.866</v>
      </c>
      <c r="AJ27" s="58">
        <v>309.60700000000003</v>
      </c>
      <c r="AK27" s="58">
        <v>122.392</v>
      </c>
      <c r="AL27" s="58">
        <v>187.215</v>
      </c>
      <c r="AM27" s="58">
        <v>306.50099999999998</v>
      </c>
      <c r="AN27" s="58">
        <v>127.441</v>
      </c>
      <c r="AO27" s="58">
        <v>179.059</v>
      </c>
      <c r="AP27" s="58">
        <v>3034.7629999999999</v>
      </c>
      <c r="AQ27" s="58">
        <v>1628.087</v>
      </c>
      <c r="AR27" s="58">
        <v>1406.6759999999999</v>
      </c>
      <c r="AS27" s="58">
        <v>2024.7570000000001</v>
      </c>
      <c r="AT27" s="58">
        <v>1316.93</v>
      </c>
      <c r="AU27" s="58">
        <v>707.82600000000002</v>
      </c>
      <c r="AV27" s="58">
        <v>1010.006</v>
      </c>
      <c r="AW27" s="58">
        <v>311.15600000000001</v>
      </c>
      <c r="AX27" s="58">
        <v>698.85</v>
      </c>
      <c r="AY27" s="58">
        <v>503.42200000000003</v>
      </c>
      <c r="AZ27" s="58">
        <v>259.642</v>
      </c>
      <c r="BA27" s="58">
        <v>243.78</v>
      </c>
      <c r="BB27" s="58">
        <v>92.415999999999997</v>
      </c>
      <c r="BC27" s="58">
        <v>50.167000000000002</v>
      </c>
      <c r="BD27" s="58">
        <v>42.249000000000002</v>
      </c>
      <c r="BE27" s="58">
        <v>32.787999999999997</v>
      </c>
      <c r="BF27" s="58">
        <v>23.376999999999999</v>
      </c>
      <c r="BG27" s="58">
        <v>9.4109999999999996</v>
      </c>
      <c r="BH27" s="58">
        <v>18.187999999999999</v>
      </c>
      <c r="BI27" s="58">
        <v>11.821999999999999</v>
      </c>
      <c r="BJ27" s="58">
        <v>6.3659999999999997</v>
      </c>
      <c r="BK27" s="58">
        <v>14.6</v>
      </c>
      <c r="BL27" s="58">
        <v>11.555</v>
      </c>
      <c r="BM27" s="58">
        <v>3.0449999999999999</v>
      </c>
      <c r="BN27" s="58">
        <v>59.628</v>
      </c>
      <c r="BO27" s="58">
        <v>26.79</v>
      </c>
      <c r="BP27" s="58">
        <v>32.838000000000001</v>
      </c>
      <c r="BQ27" s="58">
        <v>452.46199999999999</v>
      </c>
      <c r="BR27" s="58">
        <v>230.613</v>
      </c>
      <c r="BS27" s="58">
        <v>221.84899999999999</v>
      </c>
      <c r="BT27" s="58">
        <v>159.077</v>
      </c>
      <c r="BU27" s="58">
        <v>121.49</v>
      </c>
      <c r="BV27" s="58">
        <v>37.588000000000001</v>
      </c>
      <c r="BW27" s="58">
        <v>293.38499999999999</v>
      </c>
      <c r="BX27" s="58">
        <v>109.123</v>
      </c>
      <c r="BY27" s="58">
        <v>184.262</v>
      </c>
      <c r="BZ27" s="58">
        <v>183.82499999999999</v>
      </c>
      <c r="CA27" s="58">
        <v>139.60900000000001</v>
      </c>
      <c r="CB27" s="58">
        <v>44.216999999999999</v>
      </c>
      <c r="CC27" s="58">
        <v>319.596</v>
      </c>
      <c r="CD27" s="58">
        <v>120.033</v>
      </c>
      <c r="CE27" s="58">
        <v>199.56299999999999</v>
      </c>
      <c r="CF27" s="58">
        <v>311.57299999999998</v>
      </c>
      <c r="CG27" s="58">
        <v>120.946</v>
      </c>
      <c r="CH27" s="58">
        <v>190.62700000000001</v>
      </c>
      <c r="CI27" s="58">
        <v>2376.5129999999999</v>
      </c>
      <c r="CJ27" s="58">
        <v>1254.3150000000001</v>
      </c>
      <c r="CK27" s="58">
        <v>1122.1980000000001</v>
      </c>
      <c r="CL27" s="58">
        <v>1654.412</v>
      </c>
      <c r="CM27" s="58">
        <v>1041.8689999999999</v>
      </c>
      <c r="CN27" s="58">
        <v>612.54399999999998</v>
      </c>
      <c r="CO27" s="58">
        <v>722.1</v>
      </c>
      <c r="CP27" s="58">
        <v>212.447</v>
      </c>
      <c r="CQ27" s="58">
        <v>509.654</v>
      </c>
      <c r="CR27" s="58">
        <v>347.125</v>
      </c>
      <c r="CS27" s="58">
        <v>184.929</v>
      </c>
      <c r="CT27" s="58">
        <v>162.196</v>
      </c>
      <c r="CU27" s="58">
        <v>54.308999999999997</v>
      </c>
      <c r="CV27" s="58">
        <v>29.533000000000001</v>
      </c>
      <c r="CW27" s="58">
        <v>24.776</v>
      </c>
      <c r="CX27" s="58">
        <v>25.015999999999998</v>
      </c>
      <c r="CY27" s="58">
        <v>17.582999999999998</v>
      </c>
      <c r="CZ27" s="58">
        <v>7.4329999999999998</v>
      </c>
      <c r="DA27" s="58">
        <v>15.723000000000001</v>
      </c>
      <c r="DB27" s="58">
        <v>11.692</v>
      </c>
      <c r="DC27" s="58">
        <v>4.0309999999999997</v>
      </c>
      <c r="DD27" s="58">
        <v>9.2940000000000005</v>
      </c>
      <c r="DE27" s="58">
        <v>5.8920000000000003</v>
      </c>
      <c r="DF27" s="58">
        <v>3.4020000000000001</v>
      </c>
      <c r="DG27" s="58">
        <v>29.292999999999999</v>
      </c>
      <c r="DH27" s="58">
        <v>11.95</v>
      </c>
      <c r="DI27" s="58">
        <v>17.343</v>
      </c>
      <c r="DJ27" s="58">
        <v>316.61700000000002</v>
      </c>
      <c r="DK27" s="58">
        <v>168.39699999999999</v>
      </c>
      <c r="DL27" s="58">
        <v>148.22</v>
      </c>
      <c r="DM27" s="58">
        <v>124.431</v>
      </c>
      <c r="DN27" s="58">
        <v>91.477999999999994</v>
      </c>
      <c r="DO27" s="58">
        <v>32.951999999999998</v>
      </c>
      <c r="DP27" s="58">
        <v>192.18600000000001</v>
      </c>
      <c r="DQ27" s="58">
        <v>76.918999999999997</v>
      </c>
      <c r="DR27" s="58">
        <v>115.267</v>
      </c>
      <c r="DS27" s="58">
        <v>142.90199999999999</v>
      </c>
      <c r="DT27" s="58">
        <v>104.224</v>
      </c>
      <c r="DU27" s="58">
        <v>38.677999999999997</v>
      </c>
      <c r="DV27" s="58">
        <v>204.22300000000001</v>
      </c>
      <c r="DW27" s="58">
        <v>80.706000000000003</v>
      </c>
      <c r="DX27" s="58">
        <v>123.518</v>
      </c>
      <c r="DY27" s="58">
        <v>207.90899999999999</v>
      </c>
      <c r="DZ27" s="58">
        <v>88.61</v>
      </c>
      <c r="EA27" s="58">
        <v>119.298</v>
      </c>
      <c r="EB27" s="58">
        <v>810.745</v>
      </c>
      <c r="EC27" s="58">
        <v>426.27499999999998</v>
      </c>
      <c r="ED27" s="58">
        <v>384.46899999999999</v>
      </c>
      <c r="EE27" s="58">
        <v>526.053</v>
      </c>
      <c r="EF27" s="58">
        <v>337.96699999999998</v>
      </c>
      <c r="EG27" s="58">
        <v>188.08600000000001</v>
      </c>
      <c r="EH27" s="58">
        <v>284.69200000000001</v>
      </c>
      <c r="EI27" s="58">
        <v>88.308999999999997</v>
      </c>
      <c r="EJ27" s="58">
        <v>196.38399999999999</v>
      </c>
      <c r="EK27" s="58">
        <v>137.167</v>
      </c>
      <c r="EL27" s="58">
        <v>69.284000000000006</v>
      </c>
      <c r="EM27" s="58">
        <v>67.882999999999996</v>
      </c>
      <c r="EN27" s="58">
        <v>28.815000000000001</v>
      </c>
      <c r="EO27" s="58">
        <v>14.205</v>
      </c>
      <c r="EP27" s="58">
        <v>14.61</v>
      </c>
      <c r="EQ27" s="58">
        <v>8.1829999999999998</v>
      </c>
      <c r="ER27" s="58">
        <v>5.5810000000000004</v>
      </c>
      <c r="ES27" s="58">
        <v>2.6019999999999999</v>
      </c>
      <c r="ET27" s="58">
        <v>5.4489999999999998</v>
      </c>
      <c r="EU27" s="58">
        <v>3.6989999999999998</v>
      </c>
      <c r="EV27" s="58">
        <v>1.75</v>
      </c>
      <c r="EW27" s="58">
        <v>2.734</v>
      </c>
      <c r="EX27" s="58">
        <v>1.8819999999999999</v>
      </c>
      <c r="EY27" s="58">
        <v>0.85199999999999998</v>
      </c>
      <c r="EZ27" s="58">
        <v>20.632000000000001</v>
      </c>
      <c r="FA27" s="58">
        <v>8.6240000000000006</v>
      </c>
      <c r="FB27" s="58">
        <v>12.007999999999999</v>
      </c>
      <c r="FC27" s="58">
        <v>124.696</v>
      </c>
      <c r="FD27" s="58">
        <v>64.066000000000003</v>
      </c>
      <c r="FE27" s="58">
        <v>60.628999999999998</v>
      </c>
      <c r="FF27" s="58">
        <v>34.130000000000003</v>
      </c>
      <c r="FG27" s="58">
        <v>25.274000000000001</v>
      </c>
      <c r="FH27" s="58">
        <v>8.8559999999999999</v>
      </c>
      <c r="FI27" s="58">
        <v>90.566000000000003</v>
      </c>
      <c r="FJ27" s="58">
        <v>38.792999999999999</v>
      </c>
      <c r="FK27" s="58">
        <v>51.773000000000003</v>
      </c>
      <c r="FL27" s="58">
        <v>40.286999999999999</v>
      </c>
      <c r="FM27" s="58">
        <v>29.081</v>
      </c>
      <c r="FN27" s="58">
        <v>11.206</v>
      </c>
      <c r="FO27" s="58">
        <v>96.88</v>
      </c>
      <c r="FP27" s="58">
        <v>40.203000000000003</v>
      </c>
      <c r="FQ27" s="58">
        <v>56.677</v>
      </c>
      <c r="FR27" s="58">
        <v>96.015000000000001</v>
      </c>
      <c r="FS27" s="58">
        <v>42.491</v>
      </c>
      <c r="FT27" s="58">
        <v>53.524000000000001</v>
      </c>
      <c r="FU27" s="58">
        <v>1312.0429999999999</v>
      </c>
      <c r="FV27" s="58">
        <v>723.62199999999996</v>
      </c>
      <c r="FW27" s="58">
        <v>588.42100000000005</v>
      </c>
      <c r="FX27" s="58">
        <v>909.69200000000001</v>
      </c>
      <c r="FY27" s="58">
        <v>609.17499999999995</v>
      </c>
      <c r="FZ27" s="58">
        <v>300.517</v>
      </c>
      <c r="GA27" s="58">
        <v>402.351</v>
      </c>
      <c r="GB27" s="58">
        <v>114.447</v>
      </c>
      <c r="GC27" s="58">
        <v>287.904</v>
      </c>
      <c r="GD27" s="58">
        <v>200.12100000000001</v>
      </c>
      <c r="GE27" s="58">
        <v>102.08499999999999</v>
      </c>
      <c r="GF27" s="58">
        <v>98.036000000000001</v>
      </c>
      <c r="GG27" s="58">
        <v>40.369999999999997</v>
      </c>
      <c r="GH27" s="58">
        <v>27.015000000000001</v>
      </c>
      <c r="GI27" s="58">
        <v>13.353999999999999</v>
      </c>
      <c r="GJ27" s="58">
        <v>21.388999999999999</v>
      </c>
      <c r="GK27" s="58">
        <v>17.667999999999999</v>
      </c>
      <c r="GL27" s="58">
        <v>3.7210000000000001</v>
      </c>
      <c r="GM27" s="58">
        <v>13.648</v>
      </c>
      <c r="GN27" s="58">
        <v>10.744999999999999</v>
      </c>
      <c r="GO27" s="58">
        <v>2.903</v>
      </c>
      <c r="GP27" s="58">
        <v>7.7409999999999997</v>
      </c>
      <c r="GQ27" s="58">
        <v>6.923</v>
      </c>
      <c r="GR27" s="58">
        <v>0.81799999999999995</v>
      </c>
      <c r="GS27" s="58">
        <v>18.981000000000002</v>
      </c>
      <c r="GT27" s="58">
        <v>9.3480000000000008</v>
      </c>
      <c r="GU27" s="58">
        <v>9.6329999999999991</v>
      </c>
      <c r="GV27" s="58">
        <v>178.19800000000001</v>
      </c>
      <c r="GW27" s="58">
        <v>87.167000000000002</v>
      </c>
      <c r="GX27" s="58">
        <v>91.03</v>
      </c>
      <c r="GY27" s="58">
        <v>66.983000000000004</v>
      </c>
      <c r="GZ27" s="58">
        <v>46.295999999999999</v>
      </c>
      <c r="HA27" s="58">
        <v>20.687000000000001</v>
      </c>
      <c r="HB27" s="58">
        <v>111.214</v>
      </c>
      <c r="HC27" s="58">
        <v>40.871000000000002</v>
      </c>
      <c r="HD27" s="58">
        <v>70.343000000000004</v>
      </c>
      <c r="HE27" s="58">
        <v>81.31</v>
      </c>
      <c r="HF27" s="58">
        <v>58.412999999999997</v>
      </c>
      <c r="HG27" s="58">
        <v>22.896999999999998</v>
      </c>
      <c r="HH27" s="58">
        <v>118.81100000000001</v>
      </c>
      <c r="HI27" s="58">
        <v>43.671999999999997</v>
      </c>
      <c r="HJ27" s="58">
        <v>75.138999999999996</v>
      </c>
      <c r="HK27" s="58">
        <v>124.86199999999999</v>
      </c>
      <c r="HL27" s="58">
        <v>51.616</v>
      </c>
      <c r="HM27" s="58">
        <v>73.245999999999995</v>
      </c>
      <c r="HN27" s="58">
        <v>241.339</v>
      </c>
      <c r="HO27" s="58">
        <v>127.726</v>
      </c>
      <c r="HP27" s="58">
        <v>113.613</v>
      </c>
      <c r="HQ27" s="58">
        <v>155.21100000000001</v>
      </c>
      <c r="HR27" s="58">
        <v>101.18300000000001</v>
      </c>
      <c r="HS27" s="58">
        <v>54.027999999999999</v>
      </c>
      <c r="HT27" s="58">
        <v>86.128</v>
      </c>
      <c r="HU27" s="58">
        <v>26.542999999999999</v>
      </c>
      <c r="HV27" s="58">
        <v>59.585000000000001</v>
      </c>
      <c r="HW27" s="58">
        <v>42.548000000000002</v>
      </c>
      <c r="HX27" s="58">
        <v>22.721</v>
      </c>
      <c r="HY27" s="58">
        <v>19.827000000000002</v>
      </c>
      <c r="HZ27" s="58">
        <v>5.9</v>
      </c>
      <c r="IA27" s="58">
        <v>3.69</v>
      </c>
      <c r="IB27" s="58">
        <v>2.2090000000000001</v>
      </c>
      <c r="IC27" s="58">
        <v>2.3380000000000001</v>
      </c>
      <c r="ID27" s="58">
        <v>1.9</v>
      </c>
      <c r="IE27" s="58">
        <v>0.438</v>
      </c>
      <c r="IF27" s="58">
        <v>1.07</v>
      </c>
      <c r="IG27" s="58">
        <v>0.82099999999999995</v>
      </c>
      <c r="IH27" s="58">
        <v>0.249</v>
      </c>
      <c r="II27" s="58">
        <v>1.268</v>
      </c>
      <c r="IJ27" s="58">
        <v>1.0780000000000001</v>
      </c>
      <c r="IK27" s="58">
        <v>0.189</v>
      </c>
      <c r="IL27" s="58">
        <v>3.5619999999999998</v>
      </c>
      <c r="IM27" s="58">
        <v>1.7909999999999999</v>
      </c>
      <c r="IN27" s="58">
        <v>1.7709999999999999</v>
      </c>
      <c r="IO27" s="58">
        <v>40.146999999999998</v>
      </c>
      <c r="IP27" s="58">
        <v>21.213999999999999</v>
      </c>
      <c r="IQ27" s="58">
        <v>18.933</v>
      </c>
    </row>
    <row r="28" spans="1:251">
      <c r="A28" s="5">
        <v>42339</v>
      </c>
      <c r="B28" s="58">
        <v>1028.076</v>
      </c>
      <c r="C28" s="58">
        <v>1110.5809999999999</v>
      </c>
      <c r="D28" s="58">
        <v>343.53699999999998</v>
      </c>
      <c r="E28" s="58">
        <v>767.04399999999998</v>
      </c>
      <c r="F28" s="58">
        <v>528.39</v>
      </c>
      <c r="G28" s="58">
        <v>269.476</v>
      </c>
      <c r="H28" s="58">
        <v>258.91399999999999</v>
      </c>
      <c r="I28" s="58">
        <v>90.960999999999999</v>
      </c>
      <c r="J28" s="58">
        <v>54.418999999999997</v>
      </c>
      <c r="K28" s="58">
        <v>36.540999999999997</v>
      </c>
      <c r="L28" s="58">
        <v>33.533999999999999</v>
      </c>
      <c r="M28" s="58">
        <v>25.689</v>
      </c>
      <c r="N28" s="58">
        <v>7.8460000000000001</v>
      </c>
      <c r="O28" s="58">
        <v>15.833</v>
      </c>
      <c r="P28" s="58">
        <v>12.208</v>
      </c>
      <c r="Q28" s="58">
        <v>3.625</v>
      </c>
      <c r="R28" s="58">
        <v>17.701000000000001</v>
      </c>
      <c r="S28" s="58">
        <v>13.481</v>
      </c>
      <c r="T28" s="58">
        <v>4.2210000000000001</v>
      </c>
      <c r="U28" s="58">
        <v>57.427</v>
      </c>
      <c r="V28" s="58">
        <v>28.731000000000002</v>
      </c>
      <c r="W28" s="58">
        <v>28.696000000000002</v>
      </c>
      <c r="X28" s="58">
        <v>480.04199999999997</v>
      </c>
      <c r="Y28" s="58">
        <v>240.721</v>
      </c>
      <c r="Z28" s="58">
        <v>239.321</v>
      </c>
      <c r="AA28" s="58">
        <v>177.23099999999999</v>
      </c>
      <c r="AB28" s="58">
        <v>129.10499999999999</v>
      </c>
      <c r="AC28" s="58">
        <v>48.125999999999998</v>
      </c>
      <c r="AD28" s="58">
        <v>302.81099999999998</v>
      </c>
      <c r="AE28" s="58">
        <v>111.616</v>
      </c>
      <c r="AF28" s="58">
        <v>191.19499999999999</v>
      </c>
      <c r="AG28" s="58">
        <v>201.06700000000001</v>
      </c>
      <c r="AH28" s="58">
        <v>146.37100000000001</v>
      </c>
      <c r="AI28" s="58">
        <v>54.695999999999998</v>
      </c>
      <c r="AJ28" s="58">
        <v>327.32299999999998</v>
      </c>
      <c r="AK28" s="58">
        <v>123.10599999999999</v>
      </c>
      <c r="AL28" s="58">
        <v>204.21700000000001</v>
      </c>
      <c r="AM28" s="58">
        <v>318.64400000000001</v>
      </c>
      <c r="AN28" s="58">
        <v>123.824</v>
      </c>
      <c r="AO28" s="58">
        <v>194.82</v>
      </c>
      <c r="AP28" s="58">
        <v>3046.9250000000002</v>
      </c>
      <c r="AQ28" s="58">
        <v>1659.4059999999999</v>
      </c>
      <c r="AR28" s="58">
        <v>1387.519</v>
      </c>
      <c r="AS28" s="58">
        <v>2075.6990000000001</v>
      </c>
      <c r="AT28" s="58">
        <v>1355.64</v>
      </c>
      <c r="AU28" s="58">
        <v>720.05899999999997</v>
      </c>
      <c r="AV28" s="58">
        <v>971.226</v>
      </c>
      <c r="AW28" s="58">
        <v>303.76600000000002</v>
      </c>
      <c r="AX28" s="58">
        <v>667.46</v>
      </c>
      <c r="AY28" s="58">
        <v>517.00199999999995</v>
      </c>
      <c r="AZ28" s="58">
        <v>277.67700000000002</v>
      </c>
      <c r="BA28" s="58">
        <v>239.32499999999999</v>
      </c>
      <c r="BB28" s="58">
        <v>94.652000000000001</v>
      </c>
      <c r="BC28" s="58">
        <v>52.776000000000003</v>
      </c>
      <c r="BD28" s="58">
        <v>41.875999999999998</v>
      </c>
      <c r="BE28" s="58">
        <v>40.558999999999997</v>
      </c>
      <c r="BF28" s="58">
        <v>29.698</v>
      </c>
      <c r="BG28" s="58">
        <v>10.86</v>
      </c>
      <c r="BH28" s="58">
        <v>22.341999999999999</v>
      </c>
      <c r="BI28" s="58">
        <v>15.692</v>
      </c>
      <c r="BJ28" s="58">
        <v>6.65</v>
      </c>
      <c r="BK28" s="58">
        <v>18.216999999999999</v>
      </c>
      <c r="BL28" s="58">
        <v>14.007</v>
      </c>
      <c r="BM28" s="58">
        <v>4.21</v>
      </c>
      <c r="BN28" s="58">
        <v>54.093000000000004</v>
      </c>
      <c r="BO28" s="58">
        <v>23.077999999999999</v>
      </c>
      <c r="BP28" s="58">
        <v>31.015000000000001</v>
      </c>
      <c r="BQ28" s="58">
        <v>461.01499999999999</v>
      </c>
      <c r="BR28" s="58">
        <v>244.98</v>
      </c>
      <c r="BS28" s="58">
        <v>216.035</v>
      </c>
      <c r="BT28" s="58">
        <v>168.536</v>
      </c>
      <c r="BU28" s="58">
        <v>131.57900000000001</v>
      </c>
      <c r="BV28" s="58">
        <v>36.957000000000001</v>
      </c>
      <c r="BW28" s="58">
        <v>292.47899999999998</v>
      </c>
      <c r="BX28" s="58">
        <v>113.401</v>
      </c>
      <c r="BY28" s="58">
        <v>179.078</v>
      </c>
      <c r="BZ28" s="58">
        <v>199.41900000000001</v>
      </c>
      <c r="CA28" s="58">
        <v>153.54</v>
      </c>
      <c r="CB28" s="58">
        <v>45.878999999999998</v>
      </c>
      <c r="CC28" s="58">
        <v>317.58300000000003</v>
      </c>
      <c r="CD28" s="58">
        <v>124.137</v>
      </c>
      <c r="CE28" s="58">
        <v>193.446</v>
      </c>
      <c r="CF28" s="58">
        <v>314.82</v>
      </c>
      <c r="CG28" s="58">
        <v>129.09200000000001</v>
      </c>
      <c r="CH28" s="58">
        <v>185.72800000000001</v>
      </c>
      <c r="CI28" s="58">
        <v>2399.9850000000001</v>
      </c>
      <c r="CJ28" s="58">
        <v>1269.7860000000001</v>
      </c>
      <c r="CK28" s="58">
        <v>1130.1990000000001</v>
      </c>
      <c r="CL28" s="58">
        <v>1671.355</v>
      </c>
      <c r="CM28" s="58">
        <v>1055.4860000000001</v>
      </c>
      <c r="CN28" s="58">
        <v>615.86900000000003</v>
      </c>
      <c r="CO28" s="58">
        <v>728.62900000000002</v>
      </c>
      <c r="CP28" s="58">
        <v>214.3</v>
      </c>
      <c r="CQ28" s="58">
        <v>514.32899999999995</v>
      </c>
      <c r="CR28" s="58">
        <v>364.39699999999999</v>
      </c>
      <c r="CS28" s="58">
        <v>179.82</v>
      </c>
      <c r="CT28" s="58">
        <v>184.577</v>
      </c>
      <c r="CU28" s="58">
        <v>72.962999999999994</v>
      </c>
      <c r="CV28" s="58">
        <v>36.103999999999999</v>
      </c>
      <c r="CW28" s="58">
        <v>36.859000000000002</v>
      </c>
      <c r="CX28" s="58">
        <v>31.754000000000001</v>
      </c>
      <c r="CY28" s="58">
        <v>23.087</v>
      </c>
      <c r="CZ28" s="58">
        <v>8.6669999999999998</v>
      </c>
      <c r="DA28" s="58">
        <v>11.343999999999999</v>
      </c>
      <c r="DB28" s="58">
        <v>8.2520000000000007</v>
      </c>
      <c r="DC28" s="58">
        <v>3.0910000000000002</v>
      </c>
      <c r="DD28" s="58">
        <v>20.41</v>
      </c>
      <c r="DE28" s="58">
        <v>14.835000000000001</v>
      </c>
      <c r="DF28" s="58">
        <v>5.5750000000000002</v>
      </c>
      <c r="DG28" s="58">
        <v>41.209000000000003</v>
      </c>
      <c r="DH28" s="58">
        <v>13.016999999999999</v>
      </c>
      <c r="DI28" s="58">
        <v>28.193000000000001</v>
      </c>
      <c r="DJ28" s="58">
        <v>318.85399999999998</v>
      </c>
      <c r="DK28" s="58">
        <v>155.982</v>
      </c>
      <c r="DL28" s="58">
        <v>162.87200000000001</v>
      </c>
      <c r="DM28" s="58">
        <v>103.79300000000001</v>
      </c>
      <c r="DN28" s="58">
        <v>78.215000000000003</v>
      </c>
      <c r="DO28" s="58">
        <v>25.577999999999999</v>
      </c>
      <c r="DP28" s="58">
        <v>215.06100000000001</v>
      </c>
      <c r="DQ28" s="58">
        <v>77.766000000000005</v>
      </c>
      <c r="DR28" s="58">
        <v>137.29400000000001</v>
      </c>
      <c r="DS28" s="58">
        <v>128.78100000000001</v>
      </c>
      <c r="DT28" s="58">
        <v>96.302999999999997</v>
      </c>
      <c r="DU28" s="58">
        <v>32.478000000000002</v>
      </c>
      <c r="DV28" s="58">
        <v>235.61500000000001</v>
      </c>
      <c r="DW28" s="58">
        <v>83.516000000000005</v>
      </c>
      <c r="DX28" s="58">
        <v>152.09899999999999</v>
      </c>
      <c r="DY28" s="58">
        <v>226.405</v>
      </c>
      <c r="DZ28" s="58">
        <v>86.019000000000005</v>
      </c>
      <c r="EA28" s="58">
        <v>140.386</v>
      </c>
      <c r="EB28" s="58">
        <v>816.01499999999999</v>
      </c>
      <c r="EC28" s="58">
        <v>427.55900000000003</v>
      </c>
      <c r="ED28" s="58">
        <v>388.45499999999998</v>
      </c>
      <c r="EE28" s="58">
        <v>531.91300000000001</v>
      </c>
      <c r="EF28" s="58">
        <v>340.7</v>
      </c>
      <c r="EG28" s="58">
        <v>191.21299999999999</v>
      </c>
      <c r="EH28" s="58">
        <v>284.10199999999998</v>
      </c>
      <c r="EI28" s="58">
        <v>86.858999999999995</v>
      </c>
      <c r="EJ28" s="58">
        <v>197.24299999999999</v>
      </c>
      <c r="EK28" s="58">
        <v>132.57400000000001</v>
      </c>
      <c r="EL28" s="58">
        <v>65.497</v>
      </c>
      <c r="EM28" s="58">
        <v>67.078000000000003</v>
      </c>
      <c r="EN28" s="58">
        <v>23.716999999999999</v>
      </c>
      <c r="EO28" s="58">
        <v>11.835000000000001</v>
      </c>
      <c r="EP28" s="58">
        <v>11.881</v>
      </c>
      <c r="EQ28" s="58">
        <v>8.3279999999999994</v>
      </c>
      <c r="ER28" s="58">
        <v>5.6509999999999998</v>
      </c>
      <c r="ES28" s="58">
        <v>2.677</v>
      </c>
      <c r="ET28" s="58">
        <v>4.5990000000000002</v>
      </c>
      <c r="EU28" s="58">
        <v>3.069</v>
      </c>
      <c r="EV28" s="58">
        <v>1.53</v>
      </c>
      <c r="EW28" s="58">
        <v>3.7290000000000001</v>
      </c>
      <c r="EX28" s="58">
        <v>2.5819999999999999</v>
      </c>
      <c r="EY28" s="58">
        <v>1.147</v>
      </c>
      <c r="EZ28" s="58">
        <v>15.388</v>
      </c>
      <c r="FA28" s="58">
        <v>6.1840000000000002</v>
      </c>
      <c r="FB28" s="58">
        <v>9.2040000000000006</v>
      </c>
      <c r="FC28" s="58">
        <v>118.625</v>
      </c>
      <c r="FD28" s="58">
        <v>58.655000000000001</v>
      </c>
      <c r="FE28" s="58">
        <v>59.97</v>
      </c>
      <c r="FF28" s="58">
        <v>32.07</v>
      </c>
      <c r="FG28" s="58">
        <v>22.152999999999999</v>
      </c>
      <c r="FH28" s="58">
        <v>9.9169999999999998</v>
      </c>
      <c r="FI28" s="58">
        <v>86.555000000000007</v>
      </c>
      <c r="FJ28" s="58">
        <v>36.502000000000002</v>
      </c>
      <c r="FK28" s="58">
        <v>50.052999999999997</v>
      </c>
      <c r="FL28" s="58">
        <v>38.564</v>
      </c>
      <c r="FM28" s="58">
        <v>26.550999999999998</v>
      </c>
      <c r="FN28" s="58">
        <v>12.013</v>
      </c>
      <c r="FO28" s="58">
        <v>94.010999999999996</v>
      </c>
      <c r="FP28" s="58">
        <v>38.945999999999998</v>
      </c>
      <c r="FQ28" s="58">
        <v>55.064999999999998</v>
      </c>
      <c r="FR28" s="58">
        <v>91.155000000000001</v>
      </c>
      <c r="FS28" s="58">
        <v>39.570999999999998</v>
      </c>
      <c r="FT28" s="58">
        <v>51.582999999999998</v>
      </c>
      <c r="FU28" s="58">
        <v>1333.5060000000001</v>
      </c>
      <c r="FV28" s="58">
        <v>731.59500000000003</v>
      </c>
      <c r="FW28" s="58">
        <v>601.91099999999994</v>
      </c>
      <c r="FX28" s="58">
        <v>922.79600000000005</v>
      </c>
      <c r="FY28" s="58">
        <v>613.57399999999996</v>
      </c>
      <c r="FZ28" s="58">
        <v>309.22300000000001</v>
      </c>
      <c r="GA28" s="58">
        <v>410.71</v>
      </c>
      <c r="GB28" s="58">
        <v>118.021</v>
      </c>
      <c r="GC28" s="58">
        <v>292.68799999999999</v>
      </c>
      <c r="GD28" s="58">
        <v>215.52799999999999</v>
      </c>
      <c r="GE28" s="58">
        <v>109.217</v>
      </c>
      <c r="GF28" s="58">
        <v>106.312</v>
      </c>
      <c r="GG28" s="58">
        <v>40.962000000000003</v>
      </c>
      <c r="GH28" s="58">
        <v>22.718</v>
      </c>
      <c r="GI28" s="58">
        <v>18.244</v>
      </c>
      <c r="GJ28" s="58">
        <v>18.741</v>
      </c>
      <c r="GK28" s="58">
        <v>13.741</v>
      </c>
      <c r="GL28" s="58">
        <v>5</v>
      </c>
      <c r="GM28" s="58">
        <v>13.307</v>
      </c>
      <c r="GN28" s="58">
        <v>9.3119999999999994</v>
      </c>
      <c r="GO28" s="58">
        <v>3.9950000000000001</v>
      </c>
      <c r="GP28" s="58">
        <v>5.4340000000000002</v>
      </c>
      <c r="GQ28" s="58">
        <v>4.4290000000000003</v>
      </c>
      <c r="GR28" s="58">
        <v>1.0049999999999999</v>
      </c>
      <c r="GS28" s="58">
        <v>22.222000000000001</v>
      </c>
      <c r="GT28" s="58">
        <v>8.9770000000000003</v>
      </c>
      <c r="GU28" s="58">
        <v>13.244</v>
      </c>
      <c r="GV28" s="58">
        <v>188.59200000000001</v>
      </c>
      <c r="GW28" s="58">
        <v>94.763000000000005</v>
      </c>
      <c r="GX28" s="58">
        <v>93.828999999999994</v>
      </c>
      <c r="GY28" s="58">
        <v>67.367999999999995</v>
      </c>
      <c r="GZ28" s="58">
        <v>48.838000000000001</v>
      </c>
      <c r="HA28" s="58">
        <v>18.53</v>
      </c>
      <c r="HB28" s="58">
        <v>121.224</v>
      </c>
      <c r="HC28" s="58">
        <v>45.924999999999997</v>
      </c>
      <c r="HD28" s="58">
        <v>75.299000000000007</v>
      </c>
      <c r="HE28" s="58">
        <v>81.495999999999995</v>
      </c>
      <c r="HF28" s="58">
        <v>58.329000000000001</v>
      </c>
      <c r="HG28" s="58">
        <v>23.167000000000002</v>
      </c>
      <c r="HH28" s="58">
        <v>134.03299999999999</v>
      </c>
      <c r="HI28" s="58">
        <v>50.887999999999998</v>
      </c>
      <c r="HJ28" s="58">
        <v>83.144999999999996</v>
      </c>
      <c r="HK28" s="58">
        <v>134.53100000000001</v>
      </c>
      <c r="HL28" s="58">
        <v>55.237000000000002</v>
      </c>
      <c r="HM28" s="58">
        <v>79.293000000000006</v>
      </c>
      <c r="HN28" s="58">
        <v>239.66800000000001</v>
      </c>
      <c r="HO28" s="58">
        <v>126.105</v>
      </c>
      <c r="HP28" s="58">
        <v>113.563</v>
      </c>
      <c r="HQ28" s="58">
        <v>155.98500000000001</v>
      </c>
      <c r="HR28" s="58">
        <v>100.919</v>
      </c>
      <c r="HS28" s="58">
        <v>55.066000000000003</v>
      </c>
      <c r="HT28" s="58">
        <v>83.683000000000007</v>
      </c>
      <c r="HU28" s="58">
        <v>25.186</v>
      </c>
      <c r="HV28" s="58">
        <v>58.496000000000002</v>
      </c>
      <c r="HW28" s="58">
        <v>41.039000000000001</v>
      </c>
      <c r="HX28" s="58">
        <v>19.213000000000001</v>
      </c>
      <c r="HY28" s="58">
        <v>21.827000000000002</v>
      </c>
      <c r="HZ28" s="58">
        <v>6.5279999999999996</v>
      </c>
      <c r="IA28" s="58">
        <v>2.67</v>
      </c>
      <c r="IB28" s="58">
        <v>3.8570000000000002</v>
      </c>
      <c r="IC28" s="58">
        <v>1.375</v>
      </c>
      <c r="ID28" s="58">
        <v>1.0309999999999999</v>
      </c>
      <c r="IE28" s="58">
        <v>0.34399999999999997</v>
      </c>
      <c r="IF28" s="58">
        <v>0.63600000000000001</v>
      </c>
      <c r="IG28" s="58">
        <v>0.39600000000000002</v>
      </c>
      <c r="IH28" s="58">
        <v>0.24</v>
      </c>
      <c r="II28" s="58">
        <v>0.73799999999999999</v>
      </c>
      <c r="IJ28" s="58">
        <v>0.63500000000000001</v>
      </c>
      <c r="IK28" s="58">
        <v>0.104</v>
      </c>
      <c r="IL28" s="58">
        <v>5.1529999999999996</v>
      </c>
      <c r="IM28" s="58">
        <v>1.639</v>
      </c>
      <c r="IN28" s="58">
        <v>3.5129999999999999</v>
      </c>
      <c r="IO28" s="58">
        <v>37.262</v>
      </c>
      <c r="IP28" s="58">
        <v>17.734000000000002</v>
      </c>
      <c r="IQ28" s="58">
        <v>19.527999999999999</v>
      </c>
    </row>
    <row r="29" spans="1:251">
      <c r="A29" s="5">
        <v>42370</v>
      </c>
      <c r="B29" s="58">
        <v>982.58100000000002</v>
      </c>
      <c r="C29" s="58">
        <v>1105.4770000000001</v>
      </c>
      <c r="D29" s="58">
        <v>351.92399999999998</v>
      </c>
      <c r="E29" s="58">
        <v>753.55399999999997</v>
      </c>
      <c r="F29" s="58">
        <v>541.41899999999998</v>
      </c>
      <c r="G29" s="58">
        <v>283.98700000000002</v>
      </c>
      <c r="H29" s="58">
        <v>257.43200000000002</v>
      </c>
      <c r="I29" s="58">
        <v>97.807000000000002</v>
      </c>
      <c r="J29" s="58">
        <v>55.121000000000002</v>
      </c>
      <c r="K29" s="58">
        <v>42.686</v>
      </c>
      <c r="L29" s="58">
        <v>47.101999999999997</v>
      </c>
      <c r="M29" s="58">
        <v>33.985999999999997</v>
      </c>
      <c r="N29" s="58">
        <v>13.116</v>
      </c>
      <c r="O29" s="58">
        <v>24.64</v>
      </c>
      <c r="P29" s="58">
        <v>18.623000000000001</v>
      </c>
      <c r="Q29" s="58">
        <v>6.0170000000000003</v>
      </c>
      <c r="R29" s="58">
        <v>22.463000000000001</v>
      </c>
      <c r="S29" s="58">
        <v>15.363</v>
      </c>
      <c r="T29" s="58">
        <v>7.1</v>
      </c>
      <c r="U29" s="58">
        <v>50.704999999999998</v>
      </c>
      <c r="V29" s="58">
        <v>21.135000000000002</v>
      </c>
      <c r="W29" s="58">
        <v>29.568999999999999</v>
      </c>
      <c r="X29" s="58">
        <v>474.21699999999998</v>
      </c>
      <c r="Y29" s="58">
        <v>241.434</v>
      </c>
      <c r="Z29" s="58">
        <v>232.78299999999999</v>
      </c>
      <c r="AA29" s="58">
        <v>178.06299999999999</v>
      </c>
      <c r="AB29" s="58">
        <v>128.221</v>
      </c>
      <c r="AC29" s="58">
        <v>49.841999999999999</v>
      </c>
      <c r="AD29" s="58">
        <v>296.154</v>
      </c>
      <c r="AE29" s="58">
        <v>113.21299999999999</v>
      </c>
      <c r="AF29" s="58">
        <v>182.941</v>
      </c>
      <c r="AG29" s="58">
        <v>219.25399999999999</v>
      </c>
      <c r="AH29" s="58">
        <v>158.726</v>
      </c>
      <c r="AI29" s="58">
        <v>60.527999999999999</v>
      </c>
      <c r="AJ29" s="58">
        <v>322.16500000000002</v>
      </c>
      <c r="AK29" s="58">
        <v>125.261</v>
      </c>
      <c r="AL29" s="58">
        <v>196.904</v>
      </c>
      <c r="AM29" s="58">
        <v>320.79399999999998</v>
      </c>
      <c r="AN29" s="58">
        <v>131.83600000000001</v>
      </c>
      <c r="AO29" s="58">
        <v>188.958</v>
      </c>
      <c r="AP29" s="58">
        <v>2980.819</v>
      </c>
      <c r="AQ29" s="58">
        <v>1623.307</v>
      </c>
      <c r="AR29" s="58">
        <v>1357.5119999999999</v>
      </c>
      <c r="AS29" s="58">
        <v>2021.663</v>
      </c>
      <c r="AT29" s="58">
        <v>1312.752</v>
      </c>
      <c r="AU29" s="58">
        <v>708.91</v>
      </c>
      <c r="AV29" s="58">
        <v>959.15599999999995</v>
      </c>
      <c r="AW29" s="58">
        <v>310.55500000000001</v>
      </c>
      <c r="AX29" s="58">
        <v>648.601</v>
      </c>
      <c r="AY29" s="58">
        <v>490.04399999999998</v>
      </c>
      <c r="AZ29" s="58">
        <v>263.60899999999998</v>
      </c>
      <c r="BA29" s="58">
        <v>226.435</v>
      </c>
      <c r="BB29" s="58">
        <v>109.465</v>
      </c>
      <c r="BC29" s="58">
        <v>66.463999999999999</v>
      </c>
      <c r="BD29" s="58">
        <v>43.000999999999998</v>
      </c>
      <c r="BE29" s="58">
        <v>52.500999999999998</v>
      </c>
      <c r="BF29" s="58">
        <v>39.893000000000001</v>
      </c>
      <c r="BG29" s="58">
        <v>12.606999999999999</v>
      </c>
      <c r="BH29" s="58">
        <v>28.013999999999999</v>
      </c>
      <c r="BI29" s="58">
        <v>21.651</v>
      </c>
      <c r="BJ29" s="58">
        <v>6.3630000000000004</v>
      </c>
      <c r="BK29" s="58">
        <v>24.486999999999998</v>
      </c>
      <c r="BL29" s="58">
        <v>18.242000000000001</v>
      </c>
      <c r="BM29" s="58">
        <v>6.2450000000000001</v>
      </c>
      <c r="BN29" s="58">
        <v>56.963999999999999</v>
      </c>
      <c r="BO29" s="58">
        <v>26.571000000000002</v>
      </c>
      <c r="BP29" s="58">
        <v>30.393999999999998</v>
      </c>
      <c r="BQ29" s="58">
        <v>423.85399999999998</v>
      </c>
      <c r="BR29" s="58">
        <v>221.238</v>
      </c>
      <c r="BS29" s="58">
        <v>202.61600000000001</v>
      </c>
      <c r="BT29" s="58">
        <v>151.95599999999999</v>
      </c>
      <c r="BU29" s="58">
        <v>118.238</v>
      </c>
      <c r="BV29" s="58">
        <v>33.718000000000004</v>
      </c>
      <c r="BW29" s="58">
        <v>271.89800000000002</v>
      </c>
      <c r="BX29" s="58">
        <v>103</v>
      </c>
      <c r="BY29" s="58">
        <v>168.89699999999999</v>
      </c>
      <c r="BZ29" s="58">
        <v>195.72499999999999</v>
      </c>
      <c r="CA29" s="58">
        <v>150.339</v>
      </c>
      <c r="CB29" s="58">
        <v>45.386000000000003</v>
      </c>
      <c r="CC29" s="58">
        <v>294.31900000000002</v>
      </c>
      <c r="CD29" s="58">
        <v>113.27</v>
      </c>
      <c r="CE29" s="58">
        <v>181.04900000000001</v>
      </c>
      <c r="CF29" s="58">
        <v>299.911</v>
      </c>
      <c r="CG29" s="58">
        <v>124.651</v>
      </c>
      <c r="CH29" s="58">
        <v>175.26</v>
      </c>
      <c r="CI29" s="58">
        <v>2352.4450000000002</v>
      </c>
      <c r="CJ29" s="58">
        <v>1253.5440000000001</v>
      </c>
      <c r="CK29" s="58">
        <v>1098.9010000000001</v>
      </c>
      <c r="CL29" s="58">
        <v>1645.7429999999999</v>
      </c>
      <c r="CM29" s="58">
        <v>1045.4159999999999</v>
      </c>
      <c r="CN29" s="58">
        <v>600.327</v>
      </c>
      <c r="CO29" s="58">
        <v>706.702</v>
      </c>
      <c r="CP29" s="58">
        <v>208.12799999999999</v>
      </c>
      <c r="CQ29" s="58">
        <v>498.57400000000001</v>
      </c>
      <c r="CR29" s="58">
        <v>369.09300000000002</v>
      </c>
      <c r="CS29" s="58">
        <v>201.4</v>
      </c>
      <c r="CT29" s="58">
        <v>167.69300000000001</v>
      </c>
      <c r="CU29" s="58">
        <v>79.248000000000005</v>
      </c>
      <c r="CV29" s="58">
        <v>46.424999999999997</v>
      </c>
      <c r="CW29" s="58">
        <v>32.823</v>
      </c>
      <c r="CX29" s="58">
        <v>41.444000000000003</v>
      </c>
      <c r="CY29" s="58">
        <v>28.323</v>
      </c>
      <c r="CZ29" s="58">
        <v>13.122</v>
      </c>
      <c r="DA29" s="58">
        <v>24.061</v>
      </c>
      <c r="DB29" s="58">
        <v>15.904999999999999</v>
      </c>
      <c r="DC29" s="58">
        <v>8.1560000000000006</v>
      </c>
      <c r="DD29" s="58">
        <v>17.384</v>
      </c>
      <c r="DE29" s="58">
        <v>12.417999999999999</v>
      </c>
      <c r="DF29" s="58">
        <v>4.9660000000000002</v>
      </c>
      <c r="DG29" s="58">
        <v>37.804000000000002</v>
      </c>
      <c r="DH29" s="58">
        <v>18.102</v>
      </c>
      <c r="DI29" s="58">
        <v>19.701000000000001</v>
      </c>
      <c r="DJ29" s="58">
        <v>319.89800000000002</v>
      </c>
      <c r="DK29" s="58">
        <v>172.65700000000001</v>
      </c>
      <c r="DL29" s="58">
        <v>147.24100000000001</v>
      </c>
      <c r="DM29" s="58">
        <v>121.967</v>
      </c>
      <c r="DN29" s="58">
        <v>93.724000000000004</v>
      </c>
      <c r="DO29" s="58">
        <v>28.244</v>
      </c>
      <c r="DP29" s="58">
        <v>197.93</v>
      </c>
      <c r="DQ29" s="58">
        <v>78.933000000000007</v>
      </c>
      <c r="DR29" s="58">
        <v>118.997</v>
      </c>
      <c r="DS29" s="58">
        <v>157.363</v>
      </c>
      <c r="DT29" s="58">
        <v>117.274</v>
      </c>
      <c r="DU29" s="58">
        <v>40.088999999999999</v>
      </c>
      <c r="DV29" s="58">
        <v>211.72900000000001</v>
      </c>
      <c r="DW29" s="58">
        <v>84.126000000000005</v>
      </c>
      <c r="DX29" s="58">
        <v>127.60299999999999</v>
      </c>
      <c r="DY29" s="58">
        <v>221.99100000000001</v>
      </c>
      <c r="DZ29" s="58">
        <v>94.837999999999994</v>
      </c>
      <c r="EA29" s="58">
        <v>127.15300000000001</v>
      </c>
      <c r="EB29" s="58">
        <v>795.82299999999998</v>
      </c>
      <c r="EC29" s="58">
        <v>422.21</v>
      </c>
      <c r="ED29" s="58">
        <v>373.61200000000002</v>
      </c>
      <c r="EE29" s="58">
        <v>521.30700000000002</v>
      </c>
      <c r="EF29" s="58">
        <v>339.47500000000002</v>
      </c>
      <c r="EG29" s="58">
        <v>181.83099999999999</v>
      </c>
      <c r="EH29" s="58">
        <v>274.51600000000002</v>
      </c>
      <c r="EI29" s="58">
        <v>82.734999999999999</v>
      </c>
      <c r="EJ29" s="58">
        <v>191.78100000000001</v>
      </c>
      <c r="EK29" s="58">
        <v>138.209</v>
      </c>
      <c r="EL29" s="58">
        <v>70.965999999999994</v>
      </c>
      <c r="EM29" s="58">
        <v>67.242999999999995</v>
      </c>
      <c r="EN29" s="58">
        <v>31.786999999999999</v>
      </c>
      <c r="EO29" s="58">
        <v>17.809999999999999</v>
      </c>
      <c r="EP29" s="58">
        <v>13.978</v>
      </c>
      <c r="EQ29" s="58">
        <v>14.066000000000001</v>
      </c>
      <c r="ER29" s="58">
        <v>10.554</v>
      </c>
      <c r="ES29" s="58">
        <v>3.512</v>
      </c>
      <c r="ET29" s="58">
        <v>7.5170000000000003</v>
      </c>
      <c r="EU29" s="58">
        <v>5.4960000000000004</v>
      </c>
      <c r="EV29" s="58">
        <v>2.0209999999999999</v>
      </c>
      <c r="EW29" s="58">
        <v>6.5490000000000004</v>
      </c>
      <c r="EX29" s="58">
        <v>5.0579999999999998</v>
      </c>
      <c r="EY29" s="58">
        <v>1.4910000000000001</v>
      </c>
      <c r="EZ29" s="58">
        <v>17.722000000000001</v>
      </c>
      <c r="FA29" s="58">
        <v>7.2560000000000002</v>
      </c>
      <c r="FB29" s="58">
        <v>10.465999999999999</v>
      </c>
      <c r="FC29" s="58">
        <v>119.471</v>
      </c>
      <c r="FD29" s="58">
        <v>60.164999999999999</v>
      </c>
      <c r="FE29" s="58">
        <v>59.305999999999997</v>
      </c>
      <c r="FF29" s="58">
        <v>31.65</v>
      </c>
      <c r="FG29" s="58">
        <v>23.225999999999999</v>
      </c>
      <c r="FH29" s="58">
        <v>8.4239999999999995</v>
      </c>
      <c r="FI29" s="58">
        <v>87.820999999999998</v>
      </c>
      <c r="FJ29" s="58">
        <v>36.939</v>
      </c>
      <c r="FK29" s="58">
        <v>50.881999999999998</v>
      </c>
      <c r="FL29" s="58">
        <v>43.259</v>
      </c>
      <c r="FM29" s="58">
        <v>31.585000000000001</v>
      </c>
      <c r="FN29" s="58">
        <v>11.673999999999999</v>
      </c>
      <c r="FO29" s="58">
        <v>94.95</v>
      </c>
      <c r="FP29" s="58">
        <v>39.381</v>
      </c>
      <c r="FQ29" s="58">
        <v>55.569000000000003</v>
      </c>
      <c r="FR29" s="58">
        <v>95.337999999999994</v>
      </c>
      <c r="FS29" s="58">
        <v>42.435000000000002</v>
      </c>
      <c r="FT29" s="58">
        <v>52.902000000000001</v>
      </c>
      <c r="FU29" s="58">
        <v>1306.2819999999999</v>
      </c>
      <c r="FV29" s="58">
        <v>720.22900000000004</v>
      </c>
      <c r="FW29" s="58">
        <v>586.05200000000002</v>
      </c>
      <c r="FX29" s="58">
        <v>907.25</v>
      </c>
      <c r="FY29" s="58">
        <v>605.63199999999995</v>
      </c>
      <c r="FZ29" s="58">
        <v>301.61700000000002</v>
      </c>
      <c r="GA29" s="58">
        <v>399.03199999999998</v>
      </c>
      <c r="GB29" s="58">
        <v>114.59699999999999</v>
      </c>
      <c r="GC29" s="58">
        <v>284.435</v>
      </c>
      <c r="GD29" s="58">
        <v>227.751</v>
      </c>
      <c r="GE29" s="58">
        <v>124.855</v>
      </c>
      <c r="GF29" s="58">
        <v>102.896</v>
      </c>
      <c r="GG29" s="58">
        <v>56.402999999999999</v>
      </c>
      <c r="GH29" s="58">
        <v>36.991999999999997</v>
      </c>
      <c r="GI29" s="58">
        <v>19.411000000000001</v>
      </c>
      <c r="GJ29" s="58">
        <v>28.501000000000001</v>
      </c>
      <c r="GK29" s="58">
        <v>23.762</v>
      </c>
      <c r="GL29" s="58">
        <v>4.74</v>
      </c>
      <c r="GM29" s="58">
        <v>13.193</v>
      </c>
      <c r="GN29" s="58">
        <v>11.4</v>
      </c>
      <c r="GO29" s="58">
        <v>1.792</v>
      </c>
      <c r="GP29" s="58">
        <v>15.308999999999999</v>
      </c>
      <c r="GQ29" s="58">
        <v>12.361000000000001</v>
      </c>
      <c r="GR29" s="58">
        <v>2.9470000000000001</v>
      </c>
      <c r="GS29" s="58">
        <v>27.901</v>
      </c>
      <c r="GT29" s="58">
        <v>13.23</v>
      </c>
      <c r="GU29" s="58">
        <v>14.670999999999999</v>
      </c>
      <c r="GV29" s="58">
        <v>186.8</v>
      </c>
      <c r="GW29" s="58">
        <v>96.956999999999994</v>
      </c>
      <c r="GX29" s="58">
        <v>89.843999999999994</v>
      </c>
      <c r="GY29" s="58">
        <v>71.563999999999993</v>
      </c>
      <c r="GZ29" s="58">
        <v>56.033999999999999</v>
      </c>
      <c r="HA29" s="58">
        <v>15.529</v>
      </c>
      <c r="HB29" s="58">
        <v>115.23699999999999</v>
      </c>
      <c r="HC29" s="58">
        <v>40.921999999999997</v>
      </c>
      <c r="HD29" s="58">
        <v>74.313999999999993</v>
      </c>
      <c r="HE29" s="58">
        <v>96.016000000000005</v>
      </c>
      <c r="HF29" s="58">
        <v>76.072000000000003</v>
      </c>
      <c r="HG29" s="58">
        <v>19.943999999999999</v>
      </c>
      <c r="HH29" s="58">
        <v>131.73500000000001</v>
      </c>
      <c r="HI29" s="58">
        <v>48.783000000000001</v>
      </c>
      <c r="HJ29" s="58">
        <v>82.951999999999998</v>
      </c>
      <c r="HK29" s="58">
        <v>128.429</v>
      </c>
      <c r="HL29" s="58">
        <v>52.323</v>
      </c>
      <c r="HM29" s="58">
        <v>76.106999999999999</v>
      </c>
      <c r="HN29" s="58">
        <v>236.59700000000001</v>
      </c>
      <c r="HO29" s="58">
        <v>126.774</v>
      </c>
      <c r="HP29" s="58">
        <v>109.822</v>
      </c>
      <c r="HQ29" s="58">
        <v>155.523</v>
      </c>
      <c r="HR29" s="58">
        <v>101.167</v>
      </c>
      <c r="HS29" s="58">
        <v>54.356000000000002</v>
      </c>
      <c r="HT29" s="58">
        <v>81.073999999999998</v>
      </c>
      <c r="HU29" s="58">
        <v>25.606999999999999</v>
      </c>
      <c r="HV29" s="58">
        <v>55.466000000000001</v>
      </c>
      <c r="HW29" s="58">
        <v>40.036999999999999</v>
      </c>
      <c r="HX29" s="58">
        <v>22.113</v>
      </c>
      <c r="HY29" s="58">
        <v>17.925000000000001</v>
      </c>
      <c r="HZ29" s="58">
        <v>8.2420000000000009</v>
      </c>
      <c r="IA29" s="58">
        <v>4.7359999999999998</v>
      </c>
      <c r="IB29" s="58">
        <v>3.5059999999999998</v>
      </c>
      <c r="IC29" s="58">
        <v>3.5569999999999999</v>
      </c>
      <c r="ID29" s="58">
        <v>2.3170000000000002</v>
      </c>
      <c r="IE29" s="58">
        <v>1.24</v>
      </c>
      <c r="IF29" s="58">
        <v>1.881</v>
      </c>
      <c r="IG29" s="58">
        <v>1.2030000000000001</v>
      </c>
      <c r="IH29" s="58">
        <v>0.67800000000000005</v>
      </c>
      <c r="II29" s="58">
        <v>1.6759999999999999</v>
      </c>
      <c r="IJ29" s="58">
        <v>1.1140000000000001</v>
      </c>
      <c r="IK29" s="58">
        <v>0.56200000000000006</v>
      </c>
      <c r="IL29" s="58">
        <v>4.6849999999999996</v>
      </c>
      <c r="IM29" s="58">
        <v>2.419</v>
      </c>
      <c r="IN29" s="58">
        <v>2.266</v>
      </c>
      <c r="IO29" s="58">
        <v>34.774000000000001</v>
      </c>
      <c r="IP29" s="58">
        <v>18.736999999999998</v>
      </c>
      <c r="IQ29" s="58">
        <v>16.036999999999999</v>
      </c>
    </row>
    <row r="30" spans="1:251">
      <c r="A30" s="5">
        <v>42401</v>
      </c>
      <c r="B30" s="58">
        <v>996.52599999999995</v>
      </c>
      <c r="C30" s="58">
        <v>1123.6379999999999</v>
      </c>
      <c r="D30" s="58">
        <v>344.13499999999999</v>
      </c>
      <c r="E30" s="58">
        <v>779.50300000000004</v>
      </c>
      <c r="F30" s="58">
        <v>494.69900000000001</v>
      </c>
      <c r="G30" s="58">
        <v>258.86200000000002</v>
      </c>
      <c r="H30" s="58">
        <v>235.83699999999999</v>
      </c>
      <c r="I30" s="58">
        <v>85.986999999999995</v>
      </c>
      <c r="J30" s="58">
        <v>46.314</v>
      </c>
      <c r="K30" s="58">
        <v>39.673000000000002</v>
      </c>
      <c r="L30" s="58">
        <v>31.53</v>
      </c>
      <c r="M30" s="58">
        <v>24.66</v>
      </c>
      <c r="N30" s="58">
        <v>6.87</v>
      </c>
      <c r="O30" s="58">
        <v>18.16</v>
      </c>
      <c r="P30" s="58">
        <v>14.419</v>
      </c>
      <c r="Q30" s="58">
        <v>3.7410000000000001</v>
      </c>
      <c r="R30" s="58">
        <v>13.37</v>
      </c>
      <c r="S30" s="58">
        <v>10.241</v>
      </c>
      <c r="T30" s="58">
        <v>3.129</v>
      </c>
      <c r="U30" s="58">
        <v>54.457000000000001</v>
      </c>
      <c r="V30" s="58">
        <v>21.654</v>
      </c>
      <c r="W30" s="58">
        <v>32.802999999999997</v>
      </c>
      <c r="X30" s="58">
        <v>447.73200000000003</v>
      </c>
      <c r="Y30" s="58">
        <v>232.61799999999999</v>
      </c>
      <c r="Z30" s="58">
        <v>215.11500000000001</v>
      </c>
      <c r="AA30" s="58">
        <v>166.02</v>
      </c>
      <c r="AB30" s="58">
        <v>122.232</v>
      </c>
      <c r="AC30" s="58">
        <v>43.787999999999997</v>
      </c>
      <c r="AD30" s="58">
        <v>281.71199999999999</v>
      </c>
      <c r="AE30" s="58">
        <v>110.386</v>
      </c>
      <c r="AF30" s="58">
        <v>171.327</v>
      </c>
      <c r="AG30" s="58">
        <v>188.00399999999999</v>
      </c>
      <c r="AH30" s="58">
        <v>138.90899999999999</v>
      </c>
      <c r="AI30" s="58">
        <v>49.094999999999999</v>
      </c>
      <c r="AJ30" s="58">
        <v>306.69499999999999</v>
      </c>
      <c r="AK30" s="58">
        <v>119.953</v>
      </c>
      <c r="AL30" s="58">
        <v>186.74199999999999</v>
      </c>
      <c r="AM30" s="58">
        <v>299.87200000000001</v>
      </c>
      <c r="AN30" s="58">
        <v>124.80500000000001</v>
      </c>
      <c r="AO30" s="58">
        <v>175.06800000000001</v>
      </c>
      <c r="AP30" s="58">
        <v>3078.4989999999998</v>
      </c>
      <c r="AQ30" s="58">
        <v>1670.7370000000001</v>
      </c>
      <c r="AR30" s="58">
        <v>1407.7619999999999</v>
      </c>
      <c r="AS30" s="58">
        <v>2075.0529999999999</v>
      </c>
      <c r="AT30" s="58">
        <v>1341.92</v>
      </c>
      <c r="AU30" s="58">
        <v>733.13300000000004</v>
      </c>
      <c r="AV30" s="58">
        <v>1003.446</v>
      </c>
      <c r="AW30" s="58">
        <v>328.81700000000001</v>
      </c>
      <c r="AX30" s="58">
        <v>674.62900000000002</v>
      </c>
      <c r="AY30" s="58">
        <v>476.93700000000001</v>
      </c>
      <c r="AZ30" s="58">
        <v>261.39400000000001</v>
      </c>
      <c r="BA30" s="58">
        <v>215.54300000000001</v>
      </c>
      <c r="BB30" s="58">
        <v>96.992000000000004</v>
      </c>
      <c r="BC30" s="58">
        <v>56.438000000000002</v>
      </c>
      <c r="BD30" s="58">
        <v>40.554000000000002</v>
      </c>
      <c r="BE30" s="58">
        <v>32.777999999999999</v>
      </c>
      <c r="BF30" s="58">
        <v>26.931000000000001</v>
      </c>
      <c r="BG30" s="58">
        <v>5.8470000000000004</v>
      </c>
      <c r="BH30" s="58">
        <v>14.279</v>
      </c>
      <c r="BI30" s="58">
        <v>11.978999999999999</v>
      </c>
      <c r="BJ30" s="58">
        <v>2.2989999999999999</v>
      </c>
      <c r="BK30" s="58">
        <v>18.498999999999999</v>
      </c>
      <c r="BL30" s="58">
        <v>14.952</v>
      </c>
      <c r="BM30" s="58">
        <v>3.5470000000000002</v>
      </c>
      <c r="BN30" s="58">
        <v>64.213999999999999</v>
      </c>
      <c r="BO30" s="58">
        <v>29.507000000000001</v>
      </c>
      <c r="BP30" s="58">
        <v>34.707000000000001</v>
      </c>
      <c r="BQ30" s="58">
        <v>420.48</v>
      </c>
      <c r="BR30" s="58">
        <v>227.179</v>
      </c>
      <c r="BS30" s="58">
        <v>193.30099999999999</v>
      </c>
      <c r="BT30" s="58">
        <v>149.726</v>
      </c>
      <c r="BU30" s="58">
        <v>114.87</v>
      </c>
      <c r="BV30" s="58">
        <v>34.856000000000002</v>
      </c>
      <c r="BW30" s="58">
        <v>270.75400000000002</v>
      </c>
      <c r="BX30" s="58">
        <v>112.309</v>
      </c>
      <c r="BY30" s="58">
        <v>158.44499999999999</v>
      </c>
      <c r="BZ30" s="58">
        <v>176.50899999999999</v>
      </c>
      <c r="CA30" s="58">
        <v>137.33099999999999</v>
      </c>
      <c r="CB30" s="58">
        <v>39.177999999999997</v>
      </c>
      <c r="CC30" s="58">
        <v>300.428</v>
      </c>
      <c r="CD30" s="58">
        <v>124.063</v>
      </c>
      <c r="CE30" s="58">
        <v>176.36500000000001</v>
      </c>
      <c r="CF30" s="58">
        <v>285.03300000000002</v>
      </c>
      <c r="CG30" s="58">
        <v>124.289</v>
      </c>
      <c r="CH30" s="58">
        <v>160.744</v>
      </c>
      <c r="CI30" s="58">
        <v>2392.8150000000001</v>
      </c>
      <c r="CJ30" s="58">
        <v>1270.546</v>
      </c>
      <c r="CK30" s="58">
        <v>1122.269</v>
      </c>
      <c r="CL30" s="58">
        <v>1681.23</v>
      </c>
      <c r="CM30" s="58">
        <v>1057.548</v>
      </c>
      <c r="CN30" s="58">
        <v>623.68200000000002</v>
      </c>
      <c r="CO30" s="58">
        <v>711.58500000000004</v>
      </c>
      <c r="CP30" s="58">
        <v>212.99799999999999</v>
      </c>
      <c r="CQ30" s="58">
        <v>498.58600000000001</v>
      </c>
      <c r="CR30" s="58">
        <v>353.476</v>
      </c>
      <c r="CS30" s="58">
        <v>191.58099999999999</v>
      </c>
      <c r="CT30" s="58">
        <v>161.89500000000001</v>
      </c>
      <c r="CU30" s="58">
        <v>78.956999999999994</v>
      </c>
      <c r="CV30" s="58">
        <v>48.899000000000001</v>
      </c>
      <c r="CW30" s="58">
        <v>30.056999999999999</v>
      </c>
      <c r="CX30" s="58">
        <v>34.860999999999997</v>
      </c>
      <c r="CY30" s="58">
        <v>23.657</v>
      </c>
      <c r="CZ30" s="58">
        <v>11.204000000000001</v>
      </c>
      <c r="DA30" s="58">
        <v>22.815999999999999</v>
      </c>
      <c r="DB30" s="58">
        <v>16.09</v>
      </c>
      <c r="DC30" s="58">
        <v>6.726</v>
      </c>
      <c r="DD30" s="58">
        <v>12.045999999999999</v>
      </c>
      <c r="DE30" s="58">
        <v>7.5670000000000002</v>
      </c>
      <c r="DF30" s="58">
        <v>4.4779999999999998</v>
      </c>
      <c r="DG30" s="58">
        <v>44.095999999999997</v>
      </c>
      <c r="DH30" s="58">
        <v>25.242000000000001</v>
      </c>
      <c r="DI30" s="58">
        <v>18.853000000000002</v>
      </c>
      <c r="DJ30" s="58">
        <v>303.08100000000002</v>
      </c>
      <c r="DK30" s="58">
        <v>159.6</v>
      </c>
      <c r="DL30" s="58">
        <v>143.482</v>
      </c>
      <c r="DM30" s="58">
        <v>117.02500000000001</v>
      </c>
      <c r="DN30" s="58">
        <v>82.647000000000006</v>
      </c>
      <c r="DO30" s="58">
        <v>34.378</v>
      </c>
      <c r="DP30" s="58">
        <v>186.05600000000001</v>
      </c>
      <c r="DQ30" s="58">
        <v>76.953000000000003</v>
      </c>
      <c r="DR30" s="58">
        <v>109.104</v>
      </c>
      <c r="DS30" s="58">
        <v>144.179</v>
      </c>
      <c r="DT30" s="58">
        <v>102.32299999999999</v>
      </c>
      <c r="DU30" s="58">
        <v>41.856000000000002</v>
      </c>
      <c r="DV30" s="58">
        <v>209.297</v>
      </c>
      <c r="DW30" s="58">
        <v>89.257000000000005</v>
      </c>
      <c r="DX30" s="58">
        <v>120.039</v>
      </c>
      <c r="DY30" s="58">
        <v>208.87200000000001</v>
      </c>
      <c r="DZ30" s="58">
        <v>93.042000000000002</v>
      </c>
      <c r="EA30" s="58">
        <v>115.82899999999999</v>
      </c>
      <c r="EB30" s="58">
        <v>809.55100000000004</v>
      </c>
      <c r="EC30" s="58">
        <v>428.07499999999999</v>
      </c>
      <c r="ED30" s="58">
        <v>381.476</v>
      </c>
      <c r="EE30" s="58">
        <v>533.37599999999998</v>
      </c>
      <c r="EF30" s="58">
        <v>346.28</v>
      </c>
      <c r="EG30" s="58">
        <v>187.096</v>
      </c>
      <c r="EH30" s="58">
        <v>276.17500000000001</v>
      </c>
      <c r="EI30" s="58">
        <v>81.795000000000002</v>
      </c>
      <c r="EJ30" s="58">
        <v>194.381</v>
      </c>
      <c r="EK30" s="58">
        <v>130.98099999999999</v>
      </c>
      <c r="EL30" s="58">
        <v>64.941999999999993</v>
      </c>
      <c r="EM30" s="58">
        <v>66.039000000000001</v>
      </c>
      <c r="EN30" s="58">
        <v>26.207000000000001</v>
      </c>
      <c r="EO30" s="58">
        <v>14.148</v>
      </c>
      <c r="EP30" s="58">
        <v>12.058</v>
      </c>
      <c r="EQ30" s="58">
        <v>9.0109999999999992</v>
      </c>
      <c r="ER30" s="58">
        <v>6.0069999999999997</v>
      </c>
      <c r="ES30" s="58">
        <v>3.004</v>
      </c>
      <c r="ET30" s="58">
        <v>5.2590000000000003</v>
      </c>
      <c r="EU30" s="58">
        <v>2.7480000000000002</v>
      </c>
      <c r="EV30" s="58">
        <v>2.5099999999999998</v>
      </c>
      <c r="EW30" s="58">
        <v>3.7519999999999998</v>
      </c>
      <c r="EX30" s="58">
        <v>3.2589999999999999</v>
      </c>
      <c r="EY30" s="58">
        <v>0.49399999999999999</v>
      </c>
      <c r="EZ30" s="58">
        <v>17.196000000000002</v>
      </c>
      <c r="FA30" s="58">
        <v>8.1419999999999995</v>
      </c>
      <c r="FB30" s="58">
        <v>9.0540000000000003</v>
      </c>
      <c r="FC30" s="58">
        <v>114.509</v>
      </c>
      <c r="FD30" s="58">
        <v>56.85</v>
      </c>
      <c r="FE30" s="58">
        <v>57.658999999999999</v>
      </c>
      <c r="FF30" s="58">
        <v>36.262999999999998</v>
      </c>
      <c r="FG30" s="58">
        <v>25.713999999999999</v>
      </c>
      <c r="FH30" s="58">
        <v>10.55</v>
      </c>
      <c r="FI30" s="58">
        <v>78.245999999999995</v>
      </c>
      <c r="FJ30" s="58">
        <v>31.135999999999999</v>
      </c>
      <c r="FK30" s="58">
        <v>47.11</v>
      </c>
      <c r="FL30" s="58">
        <v>43.005000000000003</v>
      </c>
      <c r="FM30" s="58">
        <v>29.946000000000002</v>
      </c>
      <c r="FN30" s="58">
        <v>13.058999999999999</v>
      </c>
      <c r="FO30" s="58">
        <v>87.975999999999999</v>
      </c>
      <c r="FP30" s="58">
        <v>34.996000000000002</v>
      </c>
      <c r="FQ30" s="58">
        <v>52.98</v>
      </c>
      <c r="FR30" s="58">
        <v>83.504999999999995</v>
      </c>
      <c r="FS30" s="58">
        <v>33.884999999999998</v>
      </c>
      <c r="FT30" s="58">
        <v>49.62</v>
      </c>
      <c r="FU30" s="58">
        <v>1311.895</v>
      </c>
      <c r="FV30" s="58">
        <v>721.87900000000002</v>
      </c>
      <c r="FW30" s="58">
        <v>590.01499999999999</v>
      </c>
      <c r="FX30" s="58">
        <v>904.47</v>
      </c>
      <c r="FY30" s="58">
        <v>601.64300000000003</v>
      </c>
      <c r="FZ30" s="58">
        <v>302.827</v>
      </c>
      <c r="GA30" s="58">
        <v>407.42399999999998</v>
      </c>
      <c r="GB30" s="58">
        <v>120.236</v>
      </c>
      <c r="GC30" s="58">
        <v>287.18799999999999</v>
      </c>
      <c r="GD30" s="58">
        <v>209.369</v>
      </c>
      <c r="GE30" s="58">
        <v>113.581</v>
      </c>
      <c r="GF30" s="58">
        <v>95.787999999999997</v>
      </c>
      <c r="GG30" s="58">
        <v>47.295999999999999</v>
      </c>
      <c r="GH30" s="58">
        <v>29.149000000000001</v>
      </c>
      <c r="GI30" s="58">
        <v>18.146999999999998</v>
      </c>
      <c r="GJ30" s="58">
        <v>20.481000000000002</v>
      </c>
      <c r="GK30" s="58">
        <v>17.376999999999999</v>
      </c>
      <c r="GL30" s="58">
        <v>3.1040000000000001</v>
      </c>
      <c r="GM30" s="58">
        <v>11.728</v>
      </c>
      <c r="GN30" s="58">
        <v>9.6379999999999999</v>
      </c>
      <c r="GO30" s="58">
        <v>2.09</v>
      </c>
      <c r="GP30" s="58">
        <v>8.7530000000000001</v>
      </c>
      <c r="GQ30" s="58">
        <v>7.7389999999999999</v>
      </c>
      <c r="GR30" s="58">
        <v>1.0149999999999999</v>
      </c>
      <c r="GS30" s="58">
        <v>26.815000000000001</v>
      </c>
      <c r="GT30" s="58">
        <v>11.772</v>
      </c>
      <c r="GU30" s="58">
        <v>15.042999999999999</v>
      </c>
      <c r="GV30" s="58">
        <v>180.22399999999999</v>
      </c>
      <c r="GW30" s="58">
        <v>96.179000000000002</v>
      </c>
      <c r="GX30" s="58">
        <v>84.043999999999997</v>
      </c>
      <c r="GY30" s="58">
        <v>66.918999999999997</v>
      </c>
      <c r="GZ30" s="58">
        <v>54.42</v>
      </c>
      <c r="HA30" s="58">
        <v>12.499000000000001</v>
      </c>
      <c r="HB30" s="58">
        <v>113.30500000000001</v>
      </c>
      <c r="HC30" s="58">
        <v>41.76</v>
      </c>
      <c r="HD30" s="58">
        <v>71.545000000000002</v>
      </c>
      <c r="HE30" s="58">
        <v>81.884</v>
      </c>
      <c r="HF30" s="58">
        <v>66.593000000000004</v>
      </c>
      <c r="HG30" s="58">
        <v>15.291</v>
      </c>
      <c r="HH30" s="58">
        <v>127.48399999999999</v>
      </c>
      <c r="HI30" s="58">
        <v>46.988</v>
      </c>
      <c r="HJ30" s="58">
        <v>80.495999999999995</v>
      </c>
      <c r="HK30" s="58">
        <v>125.033</v>
      </c>
      <c r="HL30" s="58">
        <v>51.398000000000003</v>
      </c>
      <c r="HM30" s="58">
        <v>73.635000000000005</v>
      </c>
      <c r="HN30" s="58">
        <v>238.06</v>
      </c>
      <c r="HO30" s="58">
        <v>126.63200000000001</v>
      </c>
      <c r="HP30" s="58">
        <v>111.428</v>
      </c>
      <c r="HQ30" s="58">
        <v>158.69800000000001</v>
      </c>
      <c r="HR30" s="58">
        <v>103.708</v>
      </c>
      <c r="HS30" s="58">
        <v>54.988999999999997</v>
      </c>
      <c r="HT30" s="58">
        <v>79.361999999999995</v>
      </c>
      <c r="HU30" s="58">
        <v>22.922999999999998</v>
      </c>
      <c r="HV30" s="58">
        <v>56.439</v>
      </c>
      <c r="HW30" s="58">
        <v>33.963000000000001</v>
      </c>
      <c r="HX30" s="58">
        <v>17.643999999999998</v>
      </c>
      <c r="HY30" s="58">
        <v>16.318999999999999</v>
      </c>
      <c r="HZ30" s="58">
        <v>6.8840000000000003</v>
      </c>
      <c r="IA30" s="58">
        <v>3.2549999999999999</v>
      </c>
      <c r="IB30" s="58">
        <v>3.629</v>
      </c>
      <c r="IC30" s="58">
        <v>2.0089999999999999</v>
      </c>
      <c r="ID30" s="58">
        <v>1.1659999999999999</v>
      </c>
      <c r="IE30" s="58">
        <v>0.84299999999999997</v>
      </c>
      <c r="IF30" s="58">
        <v>1.6040000000000001</v>
      </c>
      <c r="IG30" s="58">
        <v>0.98699999999999999</v>
      </c>
      <c r="IH30" s="58">
        <v>0.61699999999999999</v>
      </c>
      <c r="II30" s="58">
        <v>0.40500000000000003</v>
      </c>
      <c r="IJ30" s="58">
        <v>0.17899999999999999</v>
      </c>
      <c r="IK30" s="58">
        <v>0.22600000000000001</v>
      </c>
      <c r="IL30" s="58">
        <v>4.875</v>
      </c>
      <c r="IM30" s="58">
        <v>2.0880000000000001</v>
      </c>
      <c r="IN30" s="58">
        <v>2.7869999999999999</v>
      </c>
      <c r="IO30" s="58">
        <v>29.364000000000001</v>
      </c>
      <c r="IP30" s="58">
        <v>15.446999999999999</v>
      </c>
      <c r="IQ30" s="58">
        <v>13.917</v>
      </c>
    </row>
    <row r="31" spans="1:251">
      <c r="A31" s="5">
        <v>42430</v>
      </c>
      <c r="B31" s="58">
        <v>978.404</v>
      </c>
      <c r="C31" s="58">
        <v>1177.174</v>
      </c>
      <c r="D31" s="58">
        <v>377.30200000000002</v>
      </c>
      <c r="E31" s="58">
        <v>799.87099999999998</v>
      </c>
      <c r="F31" s="58">
        <v>516.55100000000004</v>
      </c>
      <c r="G31" s="58">
        <v>271.80200000000002</v>
      </c>
      <c r="H31" s="58">
        <v>244.749</v>
      </c>
      <c r="I31" s="58">
        <v>95.287999999999997</v>
      </c>
      <c r="J31" s="58">
        <v>52.335999999999999</v>
      </c>
      <c r="K31" s="58">
        <v>42.951999999999998</v>
      </c>
      <c r="L31" s="58">
        <v>38.463999999999999</v>
      </c>
      <c r="M31" s="58">
        <v>29.957000000000001</v>
      </c>
      <c r="N31" s="58">
        <v>8.5069999999999997</v>
      </c>
      <c r="O31" s="58">
        <v>22.56</v>
      </c>
      <c r="P31" s="58">
        <v>18.614999999999998</v>
      </c>
      <c r="Q31" s="58">
        <v>3.9449999999999998</v>
      </c>
      <c r="R31" s="58">
        <v>15.904</v>
      </c>
      <c r="S31" s="58">
        <v>11.342000000000001</v>
      </c>
      <c r="T31" s="58">
        <v>4.5620000000000003</v>
      </c>
      <c r="U31" s="58">
        <v>56.823999999999998</v>
      </c>
      <c r="V31" s="58">
        <v>22.379000000000001</v>
      </c>
      <c r="W31" s="58">
        <v>34.445</v>
      </c>
      <c r="X31" s="58">
        <v>467.02800000000002</v>
      </c>
      <c r="Y31" s="58">
        <v>243.41900000000001</v>
      </c>
      <c r="Z31" s="58">
        <v>223.60900000000001</v>
      </c>
      <c r="AA31" s="58">
        <v>162.101</v>
      </c>
      <c r="AB31" s="58">
        <v>124.75700000000001</v>
      </c>
      <c r="AC31" s="58">
        <v>37.344000000000001</v>
      </c>
      <c r="AD31" s="58">
        <v>304.92700000000002</v>
      </c>
      <c r="AE31" s="58">
        <v>118.66200000000001</v>
      </c>
      <c r="AF31" s="58">
        <v>186.26499999999999</v>
      </c>
      <c r="AG31" s="58">
        <v>189.607</v>
      </c>
      <c r="AH31" s="58">
        <v>145.40700000000001</v>
      </c>
      <c r="AI31" s="58">
        <v>44.2</v>
      </c>
      <c r="AJ31" s="58">
        <v>326.94400000000002</v>
      </c>
      <c r="AK31" s="58">
        <v>126.395</v>
      </c>
      <c r="AL31" s="58">
        <v>200.54900000000001</v>
      </c>
      <c r="AM31" s="58">
        <v>327.48700000000002</v>
      </c>
      <c r="AN31" s="58">
        <v>137.27699999999999</v>
      </c>
      <c r="AO31" s="58">
        <v>190.21</v>
      </c>
      <c r="AP31" s="58">
        <v>3063.5619999999999</v>
      </c>
      <c r="AQ31" s="58">
        <v>1664.172</v>
      </c>
      <c r="AR31" s="58">
        <v>1399.39</v>
      </c>
      <c r="AS31" s="58">
        <v>2071.4409999999998</v>
      </c>
      <c r="AT31" s="58">
        <v>1339.778</v>
      </c>
      <c r="AU31" s="58">
        <v>731.66300000000001</v>
      </c>
      <c r="AV31" s="58">
        <v>992.12</v>
      </c>
      <c r="AW31" s="58">
        <v>324.39400000000001</v>
      </c>
      <c r="AX31" s="58">
        <v>667.72699999999998</v>
      </c>
      <c r="AY31" s="58">
        <v>479.721</v>
      </c>
      <c r="AZ31" s="58">
        <v>255.465</v>
      </c>
      <c r="BA31" s="58">
        <v>224.256</v>
      </c>
      <c r="BB31" s="58">
        <v>99.113</v>
      </c>
      <c r="BC31" s="58">
        <v>58.164999999999999</v>
      </c>
      <c r="BD31" s="58">
        <v>40.948</v>
      </c>
      <c r="BE31" s="58">
        <v>35.024999999999999</v>
      </c>
      <c r="BF31" s="58">
        <v>28.126000000000001</v>
      </c>
      <c r="BG31" s="58">
        <v>6.899</v>
      </c>
      <c r="BH31" s="58">
        <v>17.75</v>
      </c>
      <c r="BI31" s="58">
        <v>14.394</v>
      </c>
      <c r="BJ31" s="58">
        <v>3.3559999999999999</v>
      </c>
      <c r="BK31" s="58">
        <v>17.276</v>
      </c>
      <c r="BL31" s="58">
        <v>13.731999999999999</v>
      </c>
      <c r="BM31" s="58">
        <v>3.544</v>
      </c>
      <c r="BN31" s="58">
        <v>64.087999999999994</v>
      </c>
      <c r="BO31" s="58">
        <v>30.04</v>
      </c>
      <c r="BP31" s="58">
        <v>34.048999999999999</v>
      </c>
      <c r="BQ31" s="58">
        <v>418.80900000000003</v>
      </c>
      <c r="BR31" s="58">
        <v>219.65899999999999</v>
      </c>
      <c r="BS31" s="58">
        <v>199.15</v>
      </c>
      <c r="BT31" s="58">
        <v>158.4</v>
      </c>
      <c r="BU31" s="58">
        <v>120.017</v>
      </c>
      <c r="BV31" s="58">
        <v>38.383000000000003</v>
      </c>
      <c r="BW31" s="58">
        <v>260.40899999999999</v>
      </c>
      <c r="BX31" s="58">
        <v>99.641999999999996</v>
      </c>
      <c r="BY31" s="58">
        <v>160.767</v>
      </c>
      <c r="BZ31" s="58">
        <v>186.05600000000001</v>
      </c>
      <c r="CA31" s="58">
        <v>141.37</v>
      </c>
      <c r="CB31" s="58">
        <v>44.686</v>
      </c>
      <c r="CC31" s="58">
        <v>293.66500000000002</v>
      </c>
      <c r="CD31" s="58">
        <v>114.095</v>
      </c>
      <c r="CE31" s="58">
        <v>179.57</v>
      </c>
      <c r="CF31" s="58">
        <v>278.15899999999999</v>
      </c>
      <c r="CG31" s="58">
        <v>114.036</v>
      </c>
      <c r="CH31" s="58">
        <v>164.12200000000001</v>
      </c>
      <c r="CI31" s="58">
        <v>2354.4949999999999</v>
      </c>
      <c r="CJ31" s="58">
        <v>1246.6320000000001</v>
      </c>
      <c r="CK31" s="58">
        <v>1107.8630000000001</v>
      </c>
      <c r="CL31" s="58">
        <v>1623.8720000000001</v>
      </c>
      <c r="CM31" s="58">
        <v>1026.1880000000001</v>
      </c>
      <c r="CN31" s="58">
        <v>597.68399999999997</v>
      </c>
      <c r="CO31" s="58">
        <v>730.62300000000005</v>
      </c>
      <c r="CP31" s="58">
        <v>220.44300000000001</v>
      </c>
      <c r="CQ31" s="58">
        <v>510.18</v>
      </c>
      <c r="CR31" s="58">
        <v>342.24200000000002</v>
      </c>
      <c r="CS31" s="58">
        <v>181.05600000000001</v>
      </c>
      <c r="CT31" s="58">
        <v>161.18600000000001</v>
      </c>
      <c r="CU31" s="58">
        <v>75.578999999999994</v>
      </c>
      <c r="CV31" s="58">
        <v>42.302</v>
      </c>
      <c r="CW31" s="58">
        <v>33.277000000000001</v>
      </c>
      <c r="CX31" s="58">
        <v>31.555</v>
      </c>
      <c r="CY31" s="58">
        <v>24.748999999999999</v>
      </c>
      <c r="CZ31" s="58">
        <v>6.806</v>
      </c>
      <c r="DA31" s="58">
        <v>17.408000000000001</v>
      </c>
      <c r="DB31" s="58">
        <v>13.829000000000001</v>
      </c>
      <c r="DC31" s="58">
        <v>3.5790000000000002</v>
      </c>
      <c r="DD31" s="58">
        <v>14.148</v>
      </c>
      <c r="DE31" s="58">
        <v>10.92</v>
      </c>
      <c r="DF31" s="58">
        <v>3.2280000000000002</v>
      </c>
      <c r="DG31" s="58">
        <v>44.024000000000001</v>
      </c>
      <c r="DH31" s="58">
        <v>17.553000000000001</v>
      </c>
      <c r="DI31" s="58">
        <v>26.47</v>
      </c>
      <c r="DJ31" s="58">
        <v>301.74400000000003</v>
      </c>
      <c r="DK31" s="58">
        <v>156.91499999999999</v>
      </c>
      <c r="DL31" s="58">
        <v>144.82900000000001</v>
      </c>
      <c r="DM31" s="58">
        <v>115.172</v>
      </c>
      <c r="DN31" s="58">
        <v>82.382000000000005</v>
      </c>
      <c r="DO31" s="58">
        <v>32.790999999999997</v>
      </c>
      <c r="DP31" s="58">
        <v>186.572</v>
      </c>
      <c r="DQ31" s="58">
        <v>74.534000000000006</v>
      </c>
      <c r="DR31" s="58">
        <v>112.039</v>
      </c>
      <c r="DS31" s="58">
        <v>139.072</v>
      </c>
      <c r="DT31" s="58">
        <v>102.209</v>
      </c>
      <c r="DU31" s="58">
        <v>36.863999999999997</v>
      </c>
      <c r="DV31" s="58">
        <v>203.17</v>
      </c>
      <c r="DW31" s="58">
        <v>78.846999999999994</v>
      </c>
      <c r="DX31" s="58">
        <v>124.32299999999999</v>
      </c>
      <c r="DY31" s="58">
        <v>203.98</v>
      </c>
      <c r="DZ31" s="58">
        <v>88.363</v>
      </c>
      <c r="EA31" s="58">
        <v>115.617</v>
      </c>
      <c r="EB31" s="58">
        <v>813.53800000000001</v>
      </c>
      <c r="EC31" s="58">
        <v>432.49599999999998</v>
      </c>
      <c r="ED31" s="58">
        <v>381.04300000000001</v>
      </c>
      <c r="EE31" s="58">
        <v>529.03300000000002</v>
      </c>
      <c r="EF31" s="58">
        <v>342.90899999999999</v>
      </c>
      <c r="EG31" s="58">
        <v>186.124</v>
      </c>
      <c r="EH31" s="58">
        <v>284.50599999999997</v>
      </c>
      <c r="EI31" s="58">
        <v>89.587000000000003</v>
      </c>
      <c r="EJ31" s="58">
        <v>194.91900000000001</v>
      </c>
      <c r="EK31" s="58">
        <v>127.419</v>
      </c>
      <c r="EL31" s="58">
        <v>66.596999999999994</v>
      </c>
      <c r="EM31" s="58">
        <v>60.822000000000003</v>
      </c>
      <c r="EN31" s="58">
        <v>24.353000000000002</v>
      </c>
      <c r="EO31" s="58">
        <v>13.839</v>
      </c>
      <c r="EP31" s="58">
        <v>10.513999999999999</v>
      </c>
      <c r="EQ31" s="58">
        <v>8.4960000000000004</v>
      </c>
      <c r="ER31" s="58">
        <v>6.4240000000000004</v>
      </c>
      <c r="ES31" s="58">
        <v>2.073</v>
      </c>
      <c r="ET31" s="58">
        <v>4.7300000000000004</v>
      </c>
      <c r="EU31" s="58">
        <v>3.2930000000000001</v>
      </c>
      <c r="EV31" s="58">
        <v>1.4379999999999999</v>
      </c>
      <c r="EW31" s="58">
        <v>3.766</v>
      </c>
      <c r="EX31" s="58">
        <v>3.1309999999999998</v>
      </c>
      <c r="EY31" s="58">
        <v>0.63500000000000001</v>
      </c>
      <c r="EZ31" s="58">
        <v>15.856</v>
      </c>
      <c r="FA31" s="58">
        <v>7.415</v>
      </c>
      <c r="FB31" s="58">
        <v>8.4420000000000002</v>
      </c>
      <c r="FC31" s="58">
        <v>111.877</v>
      </c>
      <c r="FD31" s="58">
        <v>58.271999999999998</v>
      </c>
      <c r="FE31" s="58">
        <v>53.604999999999997</v>
      </c>
      <c r="FF31" s="58">
        <v>39.012</v>
      </c>
      <c r="FG31" s="58">
        <v>27.16</v>
      </c>
      <c r="FH31" s="58">
        <v>11.852</v>
      </c>
      <c r="FI31" s="58">
        <v>72.864999999999995</v>
      </c>
      <c r="FJ31" s="58">
        <v>31.111999999999998</v>
      </c>
      <c r="FK31" s="58">
        <v>41.753</v>
      </c>
      <c r="FL31" s="58">
        <v>46.173000000000002</v>
      </c>
      <c r="FM31" s="58">
        <v>32.247999999999998</v>
      </c>
      <c r="FN31" s="58">
        <v>13.925000000000001</v>
      </c>
      <c r="FO31" s="58">
        <v>81.245999999999995</v>
      </c>
      <c r="FP31" s="58">
        <v>34.348999999999997</v>
      </c>
      <c r="FQ31" s="58">
        <v>46.896999999999998</v>
      </c>
      <c r="FR31" s="58">
        <v>77.594999999999999</v>
      </c>
      <c r="FS31" s="58">
        <v>34.405000000000001</v>
      </c>
      <c r="FT31" s="58">
        <v>43.19</v>
      </c>
      <c r="FU31" s="58">
        <v>1321.768</v>
      </c>
      <c r="FV31" s="58">
        <v>723.34699999999998</v>
      </c>
      <c r="FW31" s="58">
        <v>598.42100000000005</v>
      </c>
      <c r="FX31" s="58">
        <v>894.04899999999998</v>
      </c>
      <c r="FY31" s="58">
        <v>600.65300000000002</v>
      </c>
      <c r="FZ31" s="58">
        <v>293.39600000000002</v>
      </c>
      <c r="GA31" s="58">
        <v>427.71899999999999</v>
      </c>
      <c r="GB31" s="58">
        <v>122.693</v>
      </c>
      <c r="GC31" s="58">
        <v>305.02600000000001</v>
      </c>
      <c r="GD31" s="58">
        <v>213.35400000000001</v>
      </c>
      <c r="GE31" s="58">
        <v>116.563</v>
      </c>
      <c r="GF31" s="58">
        <v>96.790999999999997</v>
      </c>
      <c r="GG31" s="58">
        <v>45.323</v>
      </c>
      <c r="GH31" s="58">
        <v>27.216000000000001</v>
      </c>
      <c r="GI31" s="58">
        <v>18.106999999999999</v>
      </c>
      <c r="GJ31" s="58">
        <v>18.245000000000001</v>
      </c>
      <c r="GK31" s="58">
        <v>15.567</v>
      </c>
      <c r="GL31" s="58">
        <v>2.6779999999999999</v>
      </c>
      <c r="GM31" s="58">
        <v>9.7789999999999999</v>
      </c>
      <c r="GN31" s="58">
        <v>9.0820000000000007</v>
      </c>
      <c r="GO31" s="58">
        <v>0.69799999999999995</v>
      </c>
      <c r="GP31" s="58">
        <v>8.4659999999999993</v>
      </c>
      <c r="GQ31" s="58">
        <v>6.4850000000000003</v>
      </c>
      <c r="GR31" s="58">
        <v>1.98</v>
      </c>
      <c r="GS31" s="58">
        <v>27.077999999999999</v>
      </c>
      <c r="GT31" s="58">
        <v>11.648999999999999</v>
      </c>
      <c r="GU31" s="58">
        <v>15.429</v>
      </c>
      <c r="GV31" s="58">
        <v>187.30699999999999</v>
      </c>
      <c r="GW31" s="58">
        <v>100.354</v>
      </c>
      <c r="GX31" s="58">
        <v>86.953000000000003</v>
      </c>
      <c r="GY31" s="58">
        <v>77.662000000000006</v>
      </c>
      <c r="GZ31" s="58">
        <v>58.636000000000003</v>
      </c>
      <c r="HA31" s="58">
        <v>19.027000000000001</v>
      </c>
      <c r="HB31" s="58">
        <v>109.645</v>
      </c>
      <c r="HC31" s="58">
        <v>41.718000000000004</v>
      </c>
      <c r="HD31" s="58">
        <v>67.927000000000007</v>
      </c>
      <c r="HE31" s="58">
        <v>90.733999999999995</v>
      </c>
      <c r="HF31" s="58">
        <v>69.38</v>
      </c>
      <c r="HG31" s="58">
        <v>21.353999999999999</v>
      </c>
      <c r="HH31" s="58">
        <v>122.62</v>
      </c>
      <c r="HI31" s="58">
        <v>47.183999999999997</v>
      </c>
      <c r="HJ31" s="58">
        <v>75.436000000000007</v>
      </c>
      <c r="HK31" s="58">
        <v>119.42400000000001</v>
      </c>
      <c r="HL31" s="58">
        <v>50.8</v>
      </c>
      <c r="HM31" s="58">
        <v>68.623999999999995</v>
      </c>
      <c r="HN31" s="58">
        <v>238.93299999999999</v>
      </c>
      <c r="HO31" s="58">
        <v>127.601</v>
      </c>
      <c r="HP31" s="58">
        <v>111.33199999999999</v>
      </c>
      <c r="HQ31" s="58">
        <v>155.86500000000001</v>
      </c>
      <c r="HR31" s="58">
        <v>100.831</v>
      </c>
      <c r="HS31" s="58">
        <v>55.034999999999997</v>
      </c>
      <c r="HT31" s="58">
        <v>83.067999999999998</v>
      </c>
      <c r="HU31" s="58">
        <v>26.77</v>
      </c>
      <c r="HV31" s="58">
        <v>56.296999999999997</v>
      </c>
      <c r="HW31" s="58">
        <v>34.040999999999997</v>
      </c>
      <c r="HX31" s="58">
        <v>18.32</v>
      </c>
      <c r="HY31" s="58">
        <v>15.721</v>
      </c>
      <c r="HZ31" s="58">
        <v>8.1649999999999991</v>
      </c>
      <c r="IA31" s="58">
        <v>3.597</v>
      </c>
      <c r="IB31" s="58">
        <v>4.5679999999999996</v>
      </c>
      <c r="IC31" s="58">
        <v>2.4279999999999999</v>
      </c>
      <c r="ID31" s="58">
        <v>2.085</v>
      </c>
      <c r="IE31" s="58">
        <v>0.34300000000000003</v>
      </c>
      <c r="IF31" s="58">
        <v>1.988</v>
      </c>
      <c r="IG31" s="58">
        <v>1.645</v>
      </c>
      <c r="IH31" s="58">
        <v>0.34300000000000003</v>
      </c>
      <c r="II31" s="58">
        <v>0.44</v>
      </c>
      <c r="IJ31" s="58">
        <v>0.44</v>
      </c>
      <c r="IK31" s="58">
        <v>0</v>
      </c>
      <c r="IL31" s="58">
        <v>5.7370000000000001</v>
      </c>
      <c r="IM31" s="58">
        <v>1.512</v>
      </c>
      <c r="IN31" s="58">
        <v>4.2249999999999996</v>
      </c>
      <c r="IO31" s="58">
        <v>29.623000000000001</v>
      </c>
      <c r="IP31" s="58">
        <v>16.204000000000001</v>
      </c>
      <c r="IQ31" s="58">
        <v>13.42</v>
      </c>
    </row>
    <row r="32" spans="1:251">
      <c r="A32" s="5">
        <v>42461</v>
      </c>
      <c r="B32" s="58">
        <v>995.65599999999995</v>
      </c>
      <c r="C32" s="58">
        <v>1174.741</v>
      </c>
      <c r="D32" s="58">
        <v>381.94299999999998</v>
      </c>
      <c r="E32" s="58">
        <v>792.798</v>
      </c>
      <c r="F32" s="58">
        <v>519.08299999999997</v>
      </c>
      <c r="G32" s="58">
        <v>287.03800000000001</v>
      </c>
      <c r="H32" s="58">
        <v>232.04499999999999</v>
      </c>
      <c r="I32" s="58">
        <v>93.426000000000002</v>
      </c>
      <c r="J32" s="58">
        <v>53.423999999999999</v>
      </c>
      <c r="K32" s="58">
        <v>40.002000000000002</v>
      </c>
      <c r="L32" s="58">
        <v>37.209000000000003</v>
      </c>
      <c r="M32" s="58">
        <v>26.143999999999998</v>
      </c>
      <c r="N32" s="58">
        <v>11.065</v>
      </c>
      <c r="O32" s="58">
        <v>19.855</v>
      </c>
      <c r="P32" s="58">
        <v>13.141999999999999</v>
      </c>
      <c r="Q32" s="58">
        <v>6.7130000000000001</v>
      </c>
      <c r="R32" s="58">
        <v>17.353999999999999</v>
      </c>
      <c r="S32" s="58">
        <v>13.002000000000001</v>
      </c>
      <c r="T32" s="58">
        <v>4.3520000000000003</v>
      </c>
      <c r="U32" s="58">
        <v>56.216999999999999</v>
      </c>
      <c r="V32" s="58">
        <v>27.28</v>
      </c>
      <c r="W32" s="58">
        <v>28.937000000000001</v>
      </c>
      <c r="X32" s="58">
        <v>461.95100000000002</v>
      </c>
      <c r="Y32" s="58">
        <v>253.285</v>
      </c>
      <c r="Z32" s="58">
        <v>208.666</v>
      </c>
      <c r="AA32" s="58">
        <v>170.86799999999999</v>
      </c>
      <c r="AB32" s="58">
        <v>132.96600000000001</v>
      </c>
      <c r="AC32" s="58">
        <v>37.901000000000003</v>
      </c>
      <c r="AD32" s="58">
        <v>291.08300000000003</v>
      </c>
      <c r="AE32" s="58">
        <v>120.319</v>
      </c>
      <c r="AF32" s="58">
        <v>170.76400000000001</v>
      </c>
      <c r="AG32" s="58">
        <v>198.875</v>
      </c>
      <c r="AH32" s="58">
        <v>154.03299999999999</v>
      </c>
      <c r="AI32" s="58">
        <v>44.841999999999999</v>
      </c>
      <c r="AJ32" s="58">
        <v>320.20800000000003</v>
      </c>
      <c r="AK32" s="58">
        <v>133.005</v>
      </c>
      <c r="AL32" s="58">
        <v>187.203</v>
      </c>
      <c r="AM32" s="58">
        <v>310.93799999999999</v>
      </c>
      <c r="AN32" s="58">
        <v>133.46199999999999</v>
      </c>
      <c r="AO32" s="58">
        <v>177.477</v>
      </c>
      <c r="AP32" s="58">
        <v>3063.482</v>
      </c>
      <c r="AQ32" s="58">
        <v>1668.434</v>
      </c>
      <c r="AR32" s="58">
        <v>1395.048</v>
      </c>
      <c r="AS32" s="58">
        <v>2044.931</v>
      </c>
      <c r="AT32" s="58">
        <v>1328.325</v>
      </c>
      <c r="AU32" s="58">
        <v>716.60599999999999</v>
      </c>
      <c r="AV32" s="58">
        <v>1018.552</v>
      </c>
      <c r="AW32" s="58">
        <v>340.11</v>
      </c>
      <c r="AX32" s="58">
        <v>678.44200000000001</v>
      </c>
      <c r="AY32" s="58">
        <v>488.72899999999998</v>
      </c>
      <c r="AZ32" s="58">
        <v>267.92599999999999</v>
      </c>
      <c r="BA32" s="58">
        <v>220.803</v>
      </c>
      <c r="BB32" s="58">
        <v>103.337</v>
      </c>
      <c r="BC32" s="58">
        <v>61.08</v>
      </c>
      <c r="BD32" s="58">
        <v>42.258000000000003</v>
      </c>
      <c r="BE32" s="58">
        <v>34.460999999999999</v>
      </c>
      <c r="BF32" s="58">
        <v>26.254000000000001</v>
      </c>
      <c r="BG32" s="58">
        <v>8.2070000000000007</v>
      </c>
      <c r="BH32" s="58">
        <v>17.896000000000001</v>
      </c>
      <c r="BI32" s="58">
        <v>12.907999999999999</v>
      </c>
      <c r="BJ32" s="58">
        <v>4.9880000000000004</v>
      </c>
      <c r="BK32" s="58">
        <v>16.565000000000001</v>
      </c>
      <c r="BL32" s="58">
        <v>13.345000000000001</v>
      </c>
      <c r="BM32" s="58">
        <v>3.22</v>
      </c>
      <c r="BN32" s="58">
        <v>68.876999999999995</v>
      </c>
      <c r="BO32" s="58">
        <v>34.826000000000001</v>
      </c>
      <c r="BP32" s="58">
        <v>34.051000000000002</v>
      </c>
      <c r="BQ32" s="58">
        <v>432.053</v>
      </c>
      <c r="BR32" s="58">
        <v>235.32499999999999</v>
      </c>
      <c r="BS32" s="58">
        <v>196.72800000000001</v>
      </c>
      <c r="BT32" s="58">
        <v>157.29599999999999</v>
      </c>
      <c r="BU32" s="58">
        <v>117.417</v>
      </c>
      <c r="BV32" s="58">
        <v>39.878999999999998</v>
      </c>
      <c r="BW32" s="58">
        <v>274.75700000000001</v>
      </c>
      <c r="BX32" s="58">
        <v>117.908</v>
      </c>
      <c r="BY32" s="58">
        <v>156.84899999999999</v>
      </c>
      <c r="BZ32" s="58">
        <v>180.721</v>
      </c>
      <c r="CA32" s="58">
        <v>135.209</v>
      </c>
      <c r="CB32" s="58">
        <v>45.512</v>
      </c>
      <c r="CC32" s="58">
        <v>308.00700000000001</v>
      </c>
      <c r="CD32" s="58">
        <v>132.71700000000001</v>
      </c>
      <c r="CE32" s="58">
        <v>175.29</v>
      </c>
      <c r="CF32" s="58">
        <v>292.65300000000002</v>
      </c>
      <c r="CG32" s="58">
        <v>130.81700000000001</v>
      </c>
      <c r="CH32" s="58">
        <v>161.83600000000001</v>
      </c>
      <c r="CI32" s="58">
        <v>2358.817</v>
      </c>
      <c r="CJ32" s="58">
        <v>1241.124</v>
      </c>
      <c r="CK32" s="58">
        <v>1117.693</v>
      </c>
      <c r="CL32" s="58">
        <v>1621.7909999999999</v>
      </c>
      <c r="CM32" s="58">
        <v>1016.27</v>
      </c>
      <c r="CN32" s="58">
        <v>605.52099999999996</v>
      </c>
      <c r="CO32" s="58">
        <v>737.02599999999995</v>
      </c>
      <c r="CP32" s="58">
        <v>224.85400000000001</v>
      </c>
      <c r="CQ32" s="58">
        <v>512.17200000000003</v>
      </c>
      <c r="CR32" s="58">
        <v>340.44400000000002</v>
      </c>
      <c r="CS32" s="58">
        <v>182.416</v>
      </c>
      <c r="CT32" s="58">
        <v>158.02799999999999</v>
      </c>
      <c r="CU32" s="58">
        <v>72.570999999999998</v>
      </c>
      <c r="CV32" s="58">
        <v>44.332999999999998</v>
      </c>
      <c r="CW32" s="58">
        <v>28.238</v>
      </c>
      <c r="CX32" s="58">
        <v>30.135999999999999</v>
      </c>
      <c r="CY32" s="58">
        <v>23.495000000000001</v>
      </c>
      <c r="CZ32" s="58">
        <v>6.6420000000000003</v>
      </c>
      <c r="DA32" s="58">
        <v>17.446999999999999</v>
      </c>
      <c r="DB32" s="58">
        <v>14.983000000000001</v>
      </c>
      <c r="DC32" s="58">
        <v>2.464</v>
      </c>
      <c r="DD32" s="58">
        <v>12.689</v>
      </c>
      <c r="DE32" s="58">
        <v>8.5109999999999992</v>
      </c>
      <c r="DF32" s="58">
        <v>4.1779999999999999</v>
      </c>
      <c r="DG32" s="58">
        <v>42.435000000000002</v>
      </c>
      <c r="DH32" s="58">
        <v>20.838000000000001</v>
      </c>
      <c r="DI32" s="58">
        <v>21.596</v>
      </c>
      <c r="DJ32" s="58">
        <v>297.04399999999998</v>
      </c>
      <c r="DK32" s="58">
        <v>155.512</v>
      </c>
      <c r="DL32" s="58">
        <v>141.53200000000001</v>
      </c>
      <c r="DM32" s="58">
        <v>103.614</v>
      </c>
      <c r="DN32" s="58">
        <v>78.628</v>
      </c>
      <c r="DO32" s="58">
        <v>24.986000000000001</v>
      </c>
      <c r="DP32" s="58">
        <v>193.43100000000001</v>
      </c>
      <c r="DQ32" s="58">
        <v>76.885000000000005</v>
      </c>
      <c r="DR32" s="58">
        <v>116.54600000000001</v>
      </c>
      <c r="DS32" s="58">
        <v>126.854</v>
      </c>
      <c r="DT32" s="58">
        <v>97.191999999999993</v>
      </c>
      <c r="DU32" s="58">
        <v>29.661999999999999</v>
      </c>
      <c r="DV32" s="58">
        <v>213.59</v>
      </c>
      <c r="DW32" s="58">
        <v>85.224000000000004</v>
      </c>
      <c r="DX32" s="58">
        <v>128.36500000000001</v>
      </c>
      <c r="DY32" s="58">
        <v>210.87799999999999</v>
      </c>
      <c r="DZ32" s="58">
        <v>91.867999999999995</v>
      </c>
      <c r="EA32" s="58">
        <v>119.009</v>
      </c>
      <c r="EB32" s="58">
        <v>821.99400000000003</v>
      </c>
      <c r="EC32" s="58">
        <v>433.95699999999999</v>
      </c>
      <c r="ED32" s="58">
        <v>388.03699999999998</v>
      </c>
      <c r="EE32" s="58">
        <v>525.16399999999999</v>
      </c>
      <c r="EF32" s="58">
        <v>338.423</v>
      </c>
      <c r="EG32" s="58">
        <v>186.74100000000001</v>
      </c>
      <c r="EH32" s="58">
        <v>296.83</v>
      </c>
      <c r="EI32" s="58">
        <v>95.534000000000006</v>
      </c>
      <c r="EJ32" s="58">
        <v>201.29599999999999</v>
      </c>
      <c r="EK32" s="58">
        <v>136.21199999999999</v>
      </c>
      <c r="EL32" s="58">
        <v>71.203999999999994</v>
      </c>
      <c r="EM32" s="58">
        <v>65.007999999999996</v>
      </c>
      <c r="EN32" s="58">
        <v>27.204000000000001</v>
      </c>
      <c r="EO32" s="58">
        <v>16.477</v>
      </c>
      <c r="EP32" s="58">
        <v>10.727</v>
      </c>
      <c r="EQ32" s="58">
        <v>9.1379999999999999</v>
      </c>
      <c r="ER32" s="58">
        <v>7.0049999999999999</v>
      </c>
      <c r="ES32" s="58">
        <v>2.133</v>
      </c>
      <c r="ET32" s="58">
        <v>6.0990000000000002</v>
      </c>
      <c r="EU32" s="58">
        <v>3.9660000000000002</v>
      </c>
      <c r="EV32" s="58">
        <v>2.133</v>
      </c>
      <c r="EW32" s="58">
        <v>3.0390000000000001</v>
      </c>
      <c r="EX32" s="58">
        <v>3.0390000000000001</v>
      </c>
      <c r="EY32" s="58">
        <v>0</v>
      </c>
      <c r="EZ32" s="58">
        <v>18.065999999999999</v>
      </c>
      <c r="FA32" s="58">
        <v>9.4719999999999995</v>
      </c>
      <c r="FB32" s="58">
        <v>8.5939999999999994</v>
      </c>
      <c r="FC32" s="58">
        <v>119.32899999999999</v>
      </c>
      <c r="FD32" s="58">
        <v>61.779000000000003</v>
      </c>
      <c r="FE32" s="58">
        <v>57.55</v>
      </c>
      <c r="FF32" s="58">
        <v>34.287999999999997</v>
      </c>
      <c r="FG32" s="58">
        <v>24.201000000000001</v>
      </c>
      <c r="FH32" s="58">
        <v>10.087999999999999</v>
      </c>
      <c r="FI32" s="58">
        <v>85.040999999999997</v>
      </c>
      <c r="FJ32" s="58">
        <v>37.578000000000003</v>
      </c>
      <c r="FK32" s="58">
        <v>47.462000000000003</v>
      </c>
      <c r="FL32" s="58">
        <v>41.155999999999999</v>
      </c>
      <c r="FM32" s="58">
        <v>29.477</v>
      </c>
      <c r="FN32" s="58">
        <v>11.68</v>
      </c>
      <c r="FO32" s="58">
        <v>95.055000000000007</v>
      </c>
      <c r="FP32" s="58">
        <v>41.726999999999997</v>
      </c>
      <c r="FQ32" s="58">
        <v>53.329000000000001</v>
      </c>
      <c r="FR32" s="58">
        <v>91.14</v>
      </c>
      <c r="FS32" s="58">
        <v>41.545000000000002</v>
      </c>
      <c r="FT32" s="58">
        <v>49.594999999999999</v>
      </c>
      <c r="FU32" s="58">
        <v>1314.104</v>
      </c>
      <c r="FV32" s="58">
        <v>719.02800000000002</v>
      </c>
      <c r="FW32" s="58">
        <v>595.07500000000005</v>
      </c>
      <c r="FX32" s="58">
        <v>886.08900000000006</v>
      </c>
      <c r="FY32" s="58">
        <v>582.48599999999999</v>
      </c>
      <c r="FZ32" s="58">
        <v>303.60300000000001</v>
      </c>
      <c r="GA32" s="58">
        <v>428.01400000000001</v>
      </c>
      <c r="GB32" s="58">
        <v>136.542</v>
      </c>
      <c r="GC32" s="58">
        <v>291.47199999999998</v>
      </c>
      <c r="GD32" s="58">
        <v>210.964</v>
      </c>
      <c r="GE32" s="58">
        <v>124.631</v>
      </c>
      <c r="GF32" s="58">
        <v>86.332999999999998</v>
      </c>
      <c r="GG32" s="58">
        <v>45.625</v>
      </c>
      <c r="GH32" s="58">
        <v>31.081</v>
      </c>
      <c r="GI32" s="58">
        <v>14.544</v>
      </c>
      <c r="GJ32" s="58">
        <v>19.245999999999999</v>
      </c>
      <c r="GK32" s="58">
        <v>17.327999999999999</v>
      </c>
      <c r="GL32" s="58">
        <v>1.9179999999999999</v>
      </c>
      <c r="GM32" s="58">
        <v>10.632999999999999</v>
      </c>
      <c r="GN32" s="58">
        <v>9.4689999999999994</v>
      </c>
      <c r="GO32" s="58">
        <v>1.1639999999999999</v>
      </c>
      <c r="GP32" s="58">
        <v>8.6129999999999995</v>
      </c>
      <c r="GQ32" s="58">
        <v>7.859</v>
      </c>
      <c r="GR32" s="58">
        <v>0.754</v>
      </c>
      <c r="GS32" s="58">
        <v>26.379000000000001</v>
      </c>
      <c r="GT32" s="58">
        <v>13.753</v>
      </c>
      <c r="GU32" s="58">
        <v>12.625999999999999</v>
      </c>
      <c r="GV32" s="58">
        <v>189.673</v>
      </c>
      <c r="GW32" s="58">
        <v>108.636</v>
      </c>
      <c r="GX32" s="58">
        <v>81.037000000000006</v>
      </c>
      <c r="GY32" s="58">
        <v>78.628</v>
      </c>
      <c r="GZ32" s="58">
        <v>61.331000000000003</v>
      </c>
      <c r="HA32" s="58">
        <v>17.297000000000001</v>
      </c>
      <c r="HB32" s="58">
        <v>111.045</v>
      </c>
      <c r="HC32" s="58">
        <v>47.304000000000002</v>
      </c>
      <c r="HD32" s="58">
        <v>63.74</v>
      </c>
      <c r="HE32" s="58">
        <v>90.475999999999999</v>
      </c>
      <c r="HF32" s="58">
        <v>72.14</v>
      </c>
      <c r="HG32" s="58">
        <v>18.335999999999999</v>
      </c>
      <c r="HH32" s="58">
        <v>120.489</v>
      </c>
      <c r="HI32" s="58">
        <v>52.491999999999997</v>
      </c>
      <c r="HJ32" s="58">
        <v>67.997</v>
      </c>
      <c r="HK32" s="58">
        <v>121.678</v>
      </c>
      <c r="HL32" s="58">
        <v>56.774000000000001</v>
      </c>
      <c r="HM32" s="58">
        <v>64.903999999999996</v>
      </c>
      <c r="HN32" s="58">
        <v>239.34800000000001</v>
      </c>
      <c r="HO32" s="58">
        <v>127.012</v>
      </c>
      <c r="HP32" s="58">
        <v>112.336</v>
      </c>
      <c r="HQ32" s="58">
        <v>156.977</v>
      </c>
      <c r="HR32" s="58">
        <v>102.04900000000001</v>
      </c>
      <c r="HS32" s="58">
        <v>54.927999999999997</v>
      </c>
      <c r="HT32" s="58">
        <v>82.370999999999995</v>
      </c>
      <c r="HU32" s="58">
        <v>24.963000000000001</v>
      </c>
      <c r="HV32" s="58">
        <v>57.408000000000001</v>
      </c>
      <c r="HW32" s="58">
        <v>36.26</v>
      </c>
      <c r="HX32" s="58">
        <v>19.140999999999998</v>
      </c>
      <c r="HY32" s="58">
        <v>17.119</v>
      </c>
      <c r="HZ32" s="58">
        <v>5.2789999999999999</v>
      </c>
      <c r="IA32" s="58">
        <v>2.8719999999999999</v>
      </c>
      <c r="IB32" s="58">
        <v>2.407</v>
      </c>
      <c r="IC32" s="58">
        <v>2.1989999999999998</v>
      </c>
      <c r="ID32" s="58">
        <v>1.88</v>
      </c>
      <c r="IE32" s="58">
        <v>0.32</v>
      </c>
      <c r="IF32" s="58">
        <v>0.81699999999999995</v>
      </c>
      <c r="IG32" s="58">
        <v>0.57799999999999996</v>
      </c>
      <c r="IH32" s="58">
        <v>0.23899999999999999</v>
      </c>
      <c r="II32" s="58">
        <v>1.3819999999999999</v>
      </c>
      <c r="IJ32" s="58">
        <v>1.302</v>
      </c>
      <c r="IK32" s="58">
        <v>0.08</v>
      </c>
      <c r="IL32" s="58">
        <v>3.08</v>
      </c>
      <c r="IM32" s="58">
        <v>0.99299999999999999</v>
      </c>
      <c r="IN32" s="58">
        <v>2.0870000000000002</v>
      </c>
      <c r="IO32" s="58">
        <v>32.914000000000001</v>
      </c>
      <c r="IP32" s="58">
        <v>17.100000000000001</v>
      </c>
      <c r="IQ32" s="58">
        <v>15.814</v>
      </c>
    </row>
    <row r="33" spans="1:251">
      <c r="A33" s="5">
        <v>42491</v>
      </c>
      <c r="B33" s="58">
        <v>981.798</v>
      </c>
      <c r="C33" s="58">
        <v>1195.9860000000001</v>
      </c>
      <c r="D33" s="58">
        <v>391.42599999999999</v>
      </c>
      <c r="E33" s="58">
        <v>804.56</v>
      </c>
      <c r="F33" s="58">
        <v>530.74</v>
      </c>
      <c r="G33" s="58">
        <v>293.24299999999999</v>
      </c>
      <c r="H33" s="58">
        <v>237.49700000000001</v>
      </c>
      <c r="I33" s="58">
        <v>95.79</v>
      </c>
      <c r="J33" s="58">
        <v>60.072000000000003</v>
      </c>
      <c r="K33" s="58">
        <v>35.718000000000004</v>
      </c>
      <c r="L33" s="58">
        <v>37.341999999999999</v>
      </c>
      <c r="M33" s="58">
        <v>29.24</v>
      </c>
      <c r="N33" s="58">
        <v>8.1029999999999998</v>
      </c>
      <c r="O33" s="58">
        <v>14.901999999999999</v>
      </c>
      <c r="P33" s="58">
        <v>11.005000000000001</v>
      </c>
      <c r="Q33" s="58">
        <v>3.8969999999999998</v>
      </c>
      <c r="R33" s="58">
        <v>22.44</v>
      </c>
      <c r="S33" s="58">
        <v>18.234999999999999</v>
      </c>
      <c r="T33" s="58">
        <v>4.2050000000000001</v>
      </c>
      <c r="U33" s="58">
        <v>58.448</v>
      </c>
      <c r="V33" s="58">
        <v>30.832999999999998</v>
      </c>
      <c r="W33" s="58">
        <v>27.614999999999998</v>
      </c>
      <c r="X33" s="58">
        <v>476.916</v>
      </c>
      <c r="Y33" s="58">
        <v>259.24200000000002</v>
      </c>
      <c r="Z33" s="58">
        <v>217.67400000000001</v>
      </c>
      <c r="AA33" s="58">
        <v>179.774</v>
      </c>
      <c r="AB33" s="58">
        <v>135.101</v>
      </c>
      <c r="AC33" s="58">
        <v>44.673000000000002</v>
      </c>
      <c r="AD33" s="58">
        <v>297.142</v>
      </c>
      <c r="AE33" s="58">
        <v>124.14100000000001</v>
      </c>
      <c r="AF33" s="58">
        <v>173.001</v>
      </c>
      <c r="AG33" s="58">
        <v>207.13800000000001</v>
      </c>
      <c r="AH33" s="58">
        <v>156.83000000000001</v>
      </c>
      <c r="AI33" s="58">
        <v>50.308</v>
      </c>
      <c r="AJ33" s="58">
        <v>323.60199999999998</v>
      </c>
      <c r="AK33" s="58">
        <v>136.41300000000001</v>
      </c>
      <c r="AL33" s="58">
        <v>187.18899999999999</v>
      </c>
      <c r="AM33" s="58">
        <v>312.04399999999998</v>
      </c>
      <c r="AN33" s="58">
        <v>135.14599999999999</v>
      </c>
      <c r="AO33" s="58">
        <v>176.898</v>
      </c>
      <c r="AP33" s="58">
        <v>3084.0390000000002</v>
      </c>
      <c r="AQ33" s="58">
        <v>1676.91</v>
      </c>
      <c r="AR33" s="58">
        <v>1407.1289999999999</v>
      </c>
      <c r="AS33" s="58">
        <v>2078.7179999999998</v>
      </c>
      <c r="AT33" s="58">
        <v>1339.17</v>
      </c>
      <c r="AU33" s="58">
        <v>739.548</v>
      </c>
      <c r="AV33" s="58">
        <v>1005.32</v>
      </c>
      <c r="AW33" s="58">
        <v>337.73899999999998</v>
      </c>
      <c r="AX33" s="58">
        <v>667.58100000000002</v>
      </c>
      <c r="AY33" s="58">
        <v>482.77300000000002</v>
      </c>
      <c r="AZ33" s="58">
        <v>260.79300000000001</v>
      </c>
      <c r="BA33" s="58">
        <v>221.98</v>
      </c>
      <c r="BB33" s="58">
        <v>93.171000000000006</v>
      </c>
      <c r="BC33" s="58">
        <v>52.848999999999997</v>
      </c>
      <c r="BD33" s="58">
        <v>40.323</v>
      </c>
      <c r="BE33" s="58">
        <v>36.171999999999997</v>
      </c>
      <c r="BF33" s="58">
        <v>26.225000000000001</v>
      </c>
      <c r="BG33" s="58">
        <v>9.9469999999999992</v>
      </c>
      <c r="BH33" s="58">
        <v>19.783999999999999</v>
      </c>
      <c r="BI33" s="58">
        <v>14.725</v>
      </c>
      <c r="BJ33" s="58">
        <v>5.0590000000000002</v>
      </c>
      <c r="BK33" s="58">
        <v>16.388000000000002</v>
      </c>
      <c r="BL33" s="58">
        <v>11.5</v>
      </c>
      <c r="BM33" s="58">
        <v>4.8879999999999999</v>
      </c>
      <c r="BN33" s="58">
        <v>57</v>
      </c>
      <c r="BO33" s="58">
        <v>26.623999999999999</v>
      </c>
      <c r="BP33" s="58">
        <v>30.375</v>
      </c>
      <c r="BQ33" s="58">
        <v>424.96699999999998</v>
      </c>
      <c r="BR33" s="58">
        <v>229.786</v>
      </c>
      <c r="BS33" s="58">
        <v>195.18</v>
      </c>
      <c r="BT33" s="58">
        <v>171.297</v>
      </c>
      <c r="BU33" s="58">
        <v>129.27699999999999</v>
      </c>
      <c r="BV33" s="58">
        <v>42.02</v>
      </c>
      <c r="BW33" s="58">
        <v>253.66900000000001</v>
      </c>
      <c r="BX33" s="58">
        <v>100.509</v>
      </c>
      <c r="BY33" s="58">
        <v>153.16</v>
      </c>
      <c r="BZ33" s="58">
        <v>197.90799999999999</v>
      </c>
      <c r="CA33" s="58">
        <v>147.75899999999999</v>
      </c>
      <c r="CB33" s="58">
        <v>50.149000000000001</v>
      </c>
      <c r="CC33" s="58">
        <v>284.86500000000001</v>
      </c>
      <c r="CD33" s="58">
        <v>113.03400000000001</v>
      </c>
      <c r="CE33" s="58">
        <v>171.83099999999999</v>
      </c>
      <c r="CF33" s="58">
        <v>273.45299999999997</v>
      </c>
      <c r="CG33" s="58">
        <v>115.23399999999999</v>
      </c>
      <c r="CH33" s="58">
        <v>158.21899999999999</v>
      </c>
      <c r="CI33" s="58">
        <v>2359.2040000000002</v>
      </c>
      <c r="CJ33" s="58">
        <v>1241.6110000000001</v>
      </c>
      <c r="CK33" s="58">
        <v>1117.5930000000001</v>
      </c>
      <c r="CL33" s="58">
        <v>1629.039</v>
      </c>
      <c r="CM33" s="58">
        <v>1017.573</v>
      </c>
      <c r="CN33" s="58">
        <v>611.46600000000001</v>
      </c>
      <c r="CO33" s="58">
        <v>730.16499999999996</v>
      </c>
      <c r="CP33" s="58">
        <v>224.03800000000001</v>
      </c>
      <c r="CQ33" s="58">
        <v>506.12799999999999</v>
      </c>
      <c r="CR33" s="58">
        <v>318.93200000000002</v>
      </c>
      <c r="CS33" s="58">
        <v>172.48500000000001</v>
      </c>
      <c r="CT33" s="58">
        <v>146.44800000000001</v>
      </c>
      <c r="CU33" s="58">
        <v>59.197000000000003</v>
      </c>
      <c r="CV33" s="58">
        <v>31.881</v>
      </c>
      <c r="CW33" s="58">
        <v>27.315999999999999</v>
      </c>
      <c r="CX33" s="58">
        <v>24.844999999999999</v>
      </c>
      <c r="CY33" s="58">
        <v>18.91</v>
      </c>
      <c r="CZ33" s="58">
        <v>5.9349999999999996</v>
      </c>
      <c r="DA33" s="58">
        <v>16.113</v>
      </c>
      <c r="DB33" s="58">
        <v>11.842000000000001</v>
      </c>
      <c r="DC33" s="58">
        <v>4.2709999999999999</v>
      </c>
      <c r="DD33" s="58">
        <v>8.7330000000000005</v>
      </c>
      <c r="DE33" s="58">
        <v>7.0679999999999996</v>
      </c>
      <c r="DF33" s="58">
        <v>1.665</v>
      </c>
      <c r="DG33" s="58">
        <v>34.350999999999999</v>
      </c>
      <c r="DH33" s="58">
        <v>12.971</v>
      </c>
      <c r="DI33" s="58">
        <v>21.38</v>
      </c>
      <c r="DJ33" s="58">
        <v>284.68</v>
      </c>
      <c r="DK33" s="58">
        <v>153.82900000000001</v>
      </c>
      <c r="DL33" s="58">
        <v>130.851</v>
      </c>
      <c r="DM33" s="58">
        <v>102.94199999999999</v>
      </c>
      <c r="DN33" s="58">
        <v>77.61</v>
      </c>
      <c r="DO33" s="58">
        <v>25.332000000000001</v>
      </c>
      <c r="DP33" s="58">
        <v>181.738</v>
      </c>
      <c r="DQ33" s="58">
        <v>76.218999999999994</v>
      </c>
      <c r="DR33" s="58">
        <v>105.51900000000001</v>
      </c>
      <c r="DS33" s="58">
        <v>121.68899999999999</v>
      </c>
      <c r="DT33" s="58">
        <v>91.676000000000002</v>
      </c>
      <c r="DU33" s="58">
        <v>30.013000000000002</v>
      </c>
      <c r="DV33" s="58">
        <v>197.244</v>
      </c>
      <c r="DW33" s="58">
        <v>80.808999999999997</v>
      </c>
      <c r="DX33" s="58">
        <v>116.435</v>
      </c>
      <c r="DY33" s="58">
        <v>197.851</v>
      </c>
      <c r="DZ33" s="58">
        <v>88.061000000000007</v>
      </c>
      <c r="EA33" s="58">
        <v>109.79</v>
      </c>
      <c r="EB33" s="58">
        <v>806.82500000000005</v>
      </c>
      <c r="EC33" s="58">
        <v>425.94</v>
      </c>
      <c r="ED33" s="58">
        <v>380.88499999999999</v>
      </c>
      <c r="EE33" s="58">
        <v>522.66099999999994</v>
      </c>
      <c r="EF33" s="58">
        <v>335.90199999999999</v>
      </c>
      <c r="EG33" s="58">
        <v>186.75899999999999</v>
      </c>
      <c r="EH33" s="58">
        <v>284.16300000000001</v>
      </c>
      <c r="EI33" s="58">
        <v>90.037999999999997</v>
      </c>
      <c r="EJ33" s="58">
        <v>194.126</v>
      </c>
      <c r="EK33" s="58">
        <v>137.22499999999999</v>
      </c>
      <c r="EL33" s="58">
        <v>74.364000000000004</v>
      </c>
      <c r="EM33" s="58">
        <v>62.860999999999997</v>
      </c>
      <c r="EN33" s="58">
        <v>29.405999999999999</v>
      </c>
      <c r="EO33" s="58">
        <v>16.882000000000001</v>
      </c>
      <c r="EP33" s="58">
        <v>12.525</v>
      </c>
      <c r="EQ33" s="58">
        <v>12.271000000000001</v>
      </c>
      <c r="ER33" s="58">
        <v>9.3719999999999999</v>
      </c>
      <c r="ES33" s="58">
        <v>2.899</v>
      </c>
      <c r="ET33" s="58">
        <v>6.9950000000000001</v>
      </c>
      <c r="EU33" s="58">
        <v>4.6130000000000004</v>
      </c>
      <c r="EV33" s="58">
        <v>2.3820000000000001</v>
      </c>
      <c r="EW33" s="58">
        <v>5.2759999999999998</v>
      </c>
      <c r="EX33" s="58">
        <v>4.76</v>
      </c>
      <c r="EY33" s="58">
        <v>0.51700000000000002</v>
      </c>
      <c r="EZ33" s="58">
        <v>17.135000000000002</v>
      </c>
      <c r="FA33" s="58">
        <v>7.5090000000000003</v>
      </c>
      <c r="FB33" s="58">
        <v>9.6259999999999994</v>
      </c>
      <c r="FC33" s="58">
        <v>118.639</v>
      </c>
      <c r="FD33" s="58">
        <v>63.158999999999999</v>
      </c>
      <c r="FE33" s="58">
        <v>55.48</v>
      </c>
      <c r="FF33" s="58">
        <v>35.716000000000001</v>
      </c>
      <c r="FG33" s="58">
        <v>26.126000000000001</v>
      </c>
      <c r="FH33" s="58">
        <v>9.59</v>
      </c>
      <c r="FI33" s="58">
        <v>82.923000000000002</v>
      </c>
      <c r="FJ33" s="58">
        <v>37.033000000000001</v>
      </c>
      <c r="FK33" s="58">
        <v>45.89</v>
      </c>
      <c r="FL33" s="58">
        <v>45.465000000000003</v>
      </c>
      <c r="FM33" s="58">
        <v>33.866</v>
      </c>
      <c r="FN33" s="58">
        <v>11.599</v>
      </c>
      <c r="FO33" s="58">
        <v>91.760999999999996</v>
      </c>
      <c r="FP33" s="58">
        <v>40.497999999999998</v>
      </c>
      <c r="FQ33" s="58">
        <v>51.262</v>
      </c>
      <c r="FR33" s="58">
        <v>89.918000000000006</v>
      </c>
      <c r="FS33" s="58">
        <v>41.646000000000001</v>
      </c>
      <c r="FT33" s="58">
        <v>48.271999999999998</v>
      </c>
      <c r="FU33" s="58">
        <v>1321.9570000000001</v>
      </c>
      <c r="FV33" s="58">
        <v>719.26400000000001</v>
      </c>
      <c r="FW33" s="58">
        <v>602.69299999999998</v>
      </c>
      <c r="FX33" s="58">
        <v>879.15800000000002</v>
      </c>
      <c r="FY33" s="58">
        <v>590.79499999999996</v>
      </c>
      <c r="FZ33" s="58">
        <v>288.36200000000002</v>
      </c>
      <c r="GA33" s="58">
        <v>442.79899999999998</v>
      </c>
      <c r="GB33" s="58">
        <v>128.46899999999999</v>
      </c>
      <c r="GC33" s="58">
        <v>314.33</v>
      </c>
      <c r="GD33" s="58">
        <v>229.82300000000001</v>
      </c>
      <c r="GE33" s="58">
        <v>127.813</v>
      </c>
      <c r="GF33" s="58">
        <v>102.009</v>
      </c>
      <c r="GG33" s="58">
        <v>49.701999999999998</v>
      </c>
      <c r="GH33" s="58">
        <v>29.004999999999999</v>
      </c>
      <c r="GI33" s="58">
        <v>20.698</v>
      </c>
      <c r="GJ33" s="58">
        <v>21.518999999999998</v>
      </c>
      <c r="GK33" s="58">
        <v>17.329999999999998</v>
      </c>
      <c r="GL33" s="58">
        <v>4.1890000000000001</v>
      </c>
      <c r="GM33" s="58">
        <v>11.943</v>
      </c>
      <c r="GN33" s="58">
        <v>10.023999999999999</v>
      </c>
      <c r="GO33" s="58">
        <v>1.919</v>
      </c>
      <c r="GP33" s="58">
        <v>9.5760000000000005</v>
      </c>
      <c r="GQ33" s="58">
        <v>7.306</v>
      </c>
      <c r="GR33" s="58">
        <v>2.2709999999999999</v>
      </c>
      <c r="GS33" s="58">
        <v>28.183</v>
      </c>
      <c r="GT33" s="58">
        <v>11.675000000000001</v>
      </c>
      <c r="GU33" s="58">
        <v>16.507999999999999</v>
      </c>
      <c r="GV33" s="58">
        <v>201.74600000000001</v>
      </c>
      <c r="GW33" s="58">
        <v>111.866</v>
      </c>
      <c r="GX33" s="58">
        <v>89.88</v>
      </c>
      <c r="GY33" s="58">
        <v>88.305999999999997</v>
      </c>
      <c r="GZ33" s="58">
        <v>69.790999999999997</v>
      </c>
      <c r="HA33" s="58">
        <v>18.515000000000001</v>
      </c>
      <c r="HB33" s="58">
        <v>113.44</v>
      </c>
      <c r="HC33" s="58">
        <v>42.075000000000003</v>
      </c>
      <c r="HD33" s="58">
        <v>71.364999999999995</v>
      </c>
      <c r="HE33" s="58">
        <v>100.69799999999999</v>
      </c>
      <c r="HF33" s="58">
        <v>79.488</v>
      </c>
      <c r="HG33" s="58">
        <v>21.21</v>
      </c>
      <c r="HH33" s="58">
        <v>129.125</v>
      </c>
      <c r="HI33" s="58">
        <v>48.326000000000001</v>
      </c>
      <c r="HJ33" s="58">
        <v>80.799000000000007</v>
      </c>
      <c r="HK33" s="58">
        <v>125.383</v>
      </c>
      <c r="HL33" s="58">
        <v>52.098999999999997</v>
      </c>
      <c r="HM33" s="58">
        <v>73.284000000000006</v>
      </c>
      <c r="HN33" s="58">
        <v>237.57900000000001</v>
      </c>
      <c r="HO33" s="58">
        <v>125.426</v>
      </c>
      <c r="HP33" s="58">
        <v>112.152</v>
      </c>
      <c r="HQ33" s="58">
        <v>155.101</v>
      </c>
      <c r="HR33" s="58">
        <v>100.398</v>
      </c>
      <c r="HS33" s="58">
        <v>54.703000000000003</v>
      </c>
      <c r="HT33" s="58">
        <v>82.477999999999994</v>
      </c>
      <c r="HU33" s="58">
        <v>25.029</v>
      </c>
      <c r="HV33" s="58">
        <v>57.448999999999998</v>
      </c>
      <c r="HW33" s="58">
        <v>37.473999999999997</v>
      </c>
      <c r="HX33" s="58">
        <v>18.484000000000002</v>
      </c>
      <c r="HY33" s="58">
        <v>18.989999999999998</v>
      </c>
      <c r="HZ33" s="58">
        <v>7.6859999999999999</v>
      </c>
      <c r="IA33" s="58">
        <v>4.01</v>
      </c>
      <c r="IB33" s="58">
        <v>3.6760000000000002</v>
      </c>
      <c r="IC33" s="58">
        <v>1.8620000000000001</v>
      </c>
      <c r="ID33" s="58">
        <v>1.45</v>
      </c>
      <c r="IE33" s="58">
        <v>0.41199999999999998</v>
      </c>
      <c r="IF33" s="58">
        <v>1.119</v>
      </c>
      <c r="IG33" s="58">
        <v>0.70699999999999996</v>
      </c>
      <c r="IH33" s="58">
        <v>0.41199999999999998</v>
      </c>
      <c r="II33" s="58">
        <v>0.74299999999999999</v>
      </c>
      <c r="IJ33" s="58">
        <v>0.74299999999999999</v>
      </c>
      <c r="IK33" s="58">
        <v>0</v>
      </c>
      <c r="IL33" s="58">
        <v>5.8230000000000004</v>
      </c>
      <c r="IM33" s="58">
        <v>2.56</v>
      </c>
      <c r="IN33" s="58">
        <v>3.2639999999999998</v>
      </c>
      <c r="IO33" s="58">
        <v>32.667999999999999</v>
      </c>
      <c r="IP33" s="58">
        <v>15.939</v>
      </c>
      <c r="IQ33" s="58">
        <v>16.728999999999999</v>
      </c>
    </row>
    <row r="34" spans="1:251">
      <c r="A34" s="5">
        <v>42522</v>
      </c>
      <c r="B34" s="58">
        <v>983.41700000000003</v>
      </c>
      <c r="C34" s="58">
        <v>1189.779</v>
      </c>
      <c r="D34" s="58">
        <v>386.21899999999999</v>
      </c>
      <c r="E34" s="58">
        <v>803.55899999999997</v>
      </c>
      <c r="F34" s="58">
        <v>558.90599999999995</v>
      </c>
      <c r="G34" s="58">
        <v>302.87099999999998</v>
      </c>
      <c r="H34" s="58">
        <v>256.036</v>
      </c>
      <c r="I34" s="58">
        <v>109.057</v>
      </c>
      <c r="J34" s="58">
        <v>60.354999999999997</v>
      </c>
      <c r="K34" s="58">
        <v>48.701999999999998</v>
      </c>
      <c r="L34" s="58">
        <v>40.704999999999998</v>
      </c>
      <c r="M34" s="58">
        <v>28.103999999999999</v>
      </c>
      <c r="N34" s="58">
        <v>12.601000000000001</v>
      </c>
      <c r="O34" s="58">
        <v>18.853000000000002</v>
      </c>
      <c r="P34" s="58">
        <v>10.933</v>
      </c>
      <c r="Q34" s="58">
        <v>7.9189999999999996</v>
      </c>
      <c r="R34" s="58">
        <v>21.852</v>
      </c>
      <c r="S34" s="58">
        <v>17.170000000000002</v>
      </c>
      <c r="T34" s="58">
        <v>4.6820000000000004</v>
      </c>
      <c r="U34" s="58">
        <v>68.352000000000004</v>
      </c>
      <c r="V34" s="58">
        <v>32.250999999999998</v>
      </c>
      <c r="W34" s="58">
        <v>36.100999999999999</v>
      </c>
      <c r="X34" s="58">
        <v>499.86799999999999</v>
      </c>
      <c r="Y34" s="58">
        <v>273.26299999999998</v>
      </c>
      <c r="Z34" s="58">
        <v>226.60499999999999</v>
      </c>
      <c r="AA34" s="58">
        <v>188.41399999999999</v>
      </c>
      <c r="AB34" s="58">
        <v>138.977</v>
      </c>
      <c r="AC34" s="58">
        <v>49.436999999999998</v>
      </c>
      <c r="AD34" s="58">
        <v>311.45400000000001</v>
      </c>
      <c r="AE34" s="58">
        <v>134.286</v>
      </c>
      <c r="AF34" s="58">
        <v>177.16800000000001</v>
      </c>
      <c r="AG34" s="58">
        <v>216.00399999999999</v>
      </c>
      <c r="AH34" s="58">
        <v>158.322</v>
      </c>
      <c r="AI34" s="58">
        <v>57.682000000000002</v>
      </c>
      <c r="AJ34" s="58">
        <v>342.90199999999999</v>
      </c>
      <c r="AK34" s="58">
        <v>144.54900000000001</v>
      </c>
      <c r="AL34" s="58">
        <v>198.35300000000001</v>
      </c>
      <c r="AM34" s="58">
        <v>330.30599999999998</v>
      </c>
      <c r="AN34" s="58">
        <v>145.21899999999999</v>
      </c>
      <c r="AO34" s="58">
        <v>185.08799999999999</v>
      </c>
      <c r="AP34" s="58">
        <v>3108.5050000000001</v>
      </c>
      <c r="AQ34" s="58">
        <v>1686.4269999999999</v>
      </c>
      <c r="AR34" s="58">
        <v>1422.078</v>
      </c>
      <c r="AS34" s="58">
        <v>2094.451</v>
      </c>
      <c r="AT34" s="58">
        <v>1353.8879999999999</v>
      </c>
      <c r="AU34" s="58">
        <v>740.56299999999999</v>
      </c>
      <c r="AV34" s="58">
        <v>1014.054</v>
      </c>
      <c r="AW34" s="58">
        <v>332.53899999999999</v>
      </c>
      <c r="AX34" s="58">
        <v>681.51499999999999</v>
      </c>
      <c r="AY34" s="58">
        <v>521.90499999999997</v>
      </c>
      <c r="AZ34" s="58">
        <v>279.83300000000003</v>
      </c>
      <c r="BA34" s="58">
        <v>242.072</v>
      </c>
      <c r="BB34" s="58">
        <v>109.002</v>
      </c>
      <c r="BC34" s="58">
        <v>63.485999999999997</v>
      </c>
      <c r="BD34" s="58">
        <v>45.515999999999998</v>
      </c>
      <c r="BE34" s="58">
        <v>46.832000000000001</v>
      </c>
      <c r="BF34" s="58">
        <v>34.9</v>
      </c>
      <c r="BG34" s="58">
        <v>11.932</v>
      </c>
      <c r="BH34" s="58">
        <v>24.55</v>
      </c>
      <c r="BI34" s="58">
        <v>19.533999999999999</v>
      </c>
      <c r="BJ34" s="58">
        <v>5.016</v>
      </c>
      <c r="BK34" s="58">
        <v>22.282</v>
      </c>
      <c r="BL34" s="58">
        <v>15.366</v>
      </c>
      <c r="BM34" s="58">
        <v>6.9160000000000004</v>
      </c>
      <c r="BN34" s="58">
        <v>62.17</v>
      </c>
      <c r="BO34" s="58">
        <v>28.585999999999999</v>
      </c>
      <c r="BP34" s="58">
        <v>33.584000000000003</v>
      </c>
      <c r="BQ34" s="58">
        <v>460.65300000000002</v>
      </c>
      <c r="BR34" s="58">
        <v>244.36199999999999</v>
      </c>
      <c r="BS34" s="58">
        <v>216.291</v>
      </c>
      <c r="BT34" s="58">
        <v>175.94800000000001</v>
      </c>
      <c r="BU34" s="58">
        <v>134.43799999999999</v>
      </c>
      <c r="BV34" s="58">
        <v>41.509</v>
      </c>
      <c r="BW34" s="58">
        <v>284.70499999999998</v>
      </c>
      <c r="BX34" s="58">
        <v>109.92400000000001</v>
      </c>
      <c r="BY34" s="58">
        <v>174.78100000000001</v>
      </c>
      <c r="BZ34" s="58">
        <v>208.66900000000001</v>
      </c>
      <c r="CA34" s="58">
        <v>158.79900000000001</v>
      </c>
      <c r="CB34" s="58">
        <v>49.87</v>
      </c>
      <c r="CC34" s="58">
        <v>313.23599999999999</v>
      </c>
      <c r="CD34" s="58">
        <v>121.03400000000001</v>
      </c>
      <c r="CE34" s="58">
        <v>192.202</v>
      </c>
      <c r="CF34" s="58">
        <v>309.255</v>
      </c>
      <c r="CG34" s="58">
        <v>129.458</v>
      </c>
      <c r="CH34" s="58">
        <v>179.797</v>
      </c>
      <c r="CI34" s="58">
        <v>2350.5619999999999</v>
      </c>
      <c r="CJ34" s="58">
        <v>1241.627</v>
      </c>
      <c r="CK34" s="58">
        <v>1108.934</v>
      </c>
      <c r="CL34" s="58">
        <v>1635.4680000000001</v>
      </c>
      <c r="CM34" s="58">
        <v>1028.5219999999999</v>
      </c>
      <c r="CN34" s="58">
        <v>606.94600000000003</v>
      </c>
      <c r="CO34" s="58">
        <v>715.09400000000005</v>
      </c>
      <c r="CP34" s="58">
        <v>213.10599999999999</v>
      </c>
      <c r="CQ34" s="58">
        <v>501.988</v>
      </c>
      <c r="CR34" s="58">
        <v>361.13</v>
      </c>
      <c r="CS34" s="58">
        <v>191.26900000000001</v>
      </c>
      <c r="CT34" s="58">
        <v>169.86099999999999</v>
      </c>
      <c r="CU34" s="58">
        <v>77.825999999999993</v>
      </c>
      <c r="CV34" s="58">
        <v>48.213999999999999</v>
      </c>
      <c r="CW34" s="58">
        <v>29.611999999999998</v>
      </c>
      <c r="CX34" s="58">
        <v>34.683999999999997</v>
      </c>
      <c r="CY34" s="58">
        <v>27.806999999999999</v>
      </c>
      <c r="CZ34" s="58">
        <v>6.8769999999999998</v>
      </c>
      <c r="DA34" s="58">
        <v>17.384</v>
      </c>
      <c r="DB34" s="58">
        <v>13.699</v>
      </c>
      <c r="DC34" s="58">
        <v>3.6850000000000001</v>
      </c>
      <c r="DD34" s="58">
        <v>17.3</v>
      </c>
      <c r="DE34" s="58">
        <v>14.108000000000001</v>
      </c>
      <c r="DF34" s="58">
        <v>3.1920000000000002</v>
      </c>
      <c r="DG34" s="58">
        <v>43.142000000000003</v>
      </c>
      <c r="DH34" s="58">
        <v>20.407</v>
      </c>
      <c r="DI34" s="58">
        <v>22.734999999999999</v>
      </c>
      <c r="DJ34" s="58">
        <v>314.88099999999997</v>
      </c>
      <c r="DK34" s="58">
        <v>162.51</v>
      </c>
      <c r="DL34" s="58">
        <v>152.37100000000001</v>
      </c>
      <c r="DM34" s="58">
        <v>124.982</v>
      </c>
      <c r="DN34" s="58">
        <v>91.459000000000003</v>
      </c>
      <c r="DO34" s="58">
        <v>33.523000000000003</v>
      </c>
      <c r="DP34" s="58">
        <v>189.899</v>
      </c>
      <c r="DQ34" s="58">
        <v>71.051000000000002</v>
      </c>
      <c r="DR34" s="58">
        <v>118.848</v>
      </c>
      <c r="DS34" s="58">
        <v>149.52199999999999</v>
      </c>
      <c r="DT34" s="58">
        <v>111.002</v>
      </c>
      <c r="DU34" s="58">
        <v>38.518999999999998</v>
      </c>
      <c r="DV34" s="58">
        <v>211.608</v>
      </c>
      <c r="DW34" s="58">
        <v>80.266999999999996</v>
      </c>
      <c r="DX34" s="58">
        <v>131.34100000000001</v>
      </c>
      <c r="DY34" s="58">
        <v>207.28299999999999</v>
      </c>
      <c r="DZ34" s="58">
        <v>84.75</v>
      </c>
      <c r="EA34" s="58">
        <v>122.533</v>
      </c>
      <c r="EB34" s="58">
        <v>813.202</v>
      </c>
      <c r="EC34" s="58">
        <v>425.96899999999999</v>
      </c>
      <c r="ED34" s="58">
        <v>387.233</v>
      </c>
      <c r="EE34" s="58">
        <v>516.18600000000004</v>
      </c>
      <c r="EF34" s="58">
        <v>334.32299999999998</v>
      </c>
      <c r="EG34" s="58">
        <v>181.863</v>
      </c>
      <c r="EH34" s="58">
        <v>297.017</v>
      </c>
      <c r="EI34" s="58">
        <v>91.647000000000006</v>
      </c>
      <c r="EJ34" s="58">
        <v>205.37</v>
      </c>
      <c r="EK34" s="58">
        <v>134.77600000000001</v>
      </c>
      <c r="EL34" s="58">
        <v>70.938000000000002</v>
      </c>
      <c r="EM34" s="58">
        <v>63.838000000000001</v>
      </c>
      <c r="EN34" s="58">
        <v>26.236000000000001</v>
      </c>
      <c r="EO34" s="58">
        <v>14.108000000000001</v>
      </c>
      <c r="EP34" s="58">
        <v>12.128</v>
      </c>
      <c r="EQ34" s="58">
        <v>8.8230000000000004</v>
      </c>
      <c r="ER34" s="58">
        <v>6.4109999999999996</v>
      </c>
      <c r="ES34" s="58">
        <v>2.411</v>
      </c>
      <c r="ET34" s="58">
        <v>4.1319999999999997</v>
      </c>
      <c r="EU34" s="58">
        <v>2.6930000000000001</v>
      </c>
      <c r="EV34" s="58">
        <v>1.4390000000000001</v>
      </c>
      <c r="EW34" s="58">
        <v>4.6909999999999998</v>
      </c>
      <c r="EX34" s="58">
        <v>3.7189999999999999</v>
      </c>
      <c r="EY34" s="58">
        <v>0.97199999999999998</v>
      </c>
      <c r="EZ34" s="58">
        <v>17.414000000000001</v>
      </c>
      <c r="FA34" s="58">
        <v>7.6970000000000001</v>
      </c>
      <c r="FB34" s="58">
        <v>9.7170000000000005</v>
      </c>
      <c r="FC34" s="58">
        <v>121.295</v>
      </c>
      <c r="FD34" s="58">
        <v>62.984999999999999</v>
      </c>
      <c r="FE34" s="58">
        <v>58.31</v>
      </c>
      <c r="FF34" s="58">
        <v>35.665999999999997</v>
      </c>
      <c r="FG34" s="58">
        <v>26.706</v>
      </c>
      <c r="FH34" s="58">
        <v>8.9600000000000009</v>
      </c>
      <c r="FI34" s="58">
        <v>85.629000000000005</v>
      </c>
      <c r="FJ34" s="58">
        <v>36.279000000000003</v>
      </c>
      <c r="FK34" s="58">
        <v>49.35</v>
      </c>
      <c r="FL34" s="58">
        <v>41.826999999999998</v>
      </c>
      <c r="FM34" s="58">
        <v>31.385999999999999</v>
      </c>
      <c r="FN34" s="58">
        <v>10.442</v>
      </c>
      <c r="FO34" s="58">
        <v>92.948999999999998</v>
      </c>
      <c r="FP34" s="58">
        <v>39.552999999999997</v>
      </c>
      <c r="FQ34" s="58">
        <v>53.396000000000001</v>
      </c>
      <c r="FR34" s="58">
        <v>89.760999999999996</v>
      </c>
      <c r="FS34" s="58">
        <v>38.970999999999997</v>
      </c>
      <c r="FT34" s="58">
        <v>50.79</v>
      </c>
      <c r="FU34" s="58">
        <v>1304.4639999999999</v>
      </c>
      <c r="FV34" s="58">
        <v>707.29600000000005</v>
      </c>
      <c r="FW34" s="58">
        <v>597.16800000000001</v>
      </c>
      <c r="FX34" s="58">
        <v>885.93399999999997</v>
      </c>
      <c r="FY34" s="58">
        <v>584.83600000000001</v>
      </c>
      <c r="FZ34" s="58">
        <v>301.09800000000001</v>
      </c>
      <c r="GA34" s="58">
        <v>418.53</v>
      </c>
      <c r="GB34" s="58">
        <v>122.46</v>
      </c>
      <c r="GC34" s="58">
        <v>296.07</v>
      </c>
      <c r="GD34" s="58">
        <v>231.892</v>
      </c>
      <c r="GE34" s="58">
        <v>126.473</v>
      </c>
      <c r="GF34" s="58">
        <v>105.419</v>
      </c>
      <c r="GG34" s="58">
        <v>47.917999999999999</v>
      </c>
      <c r="GH34" s="58">
        <v>31.890999999999998</v>
      </c>
      <c r="GI34" s="58">
        <v>16.027000000000001</v>
      </c>
      <c r="GJ34" s="58">
        <v>20.105</v>
      </c>
      <c r="GK34" s="58">
        <v>16.274000000000001</v>
      </c>
      <c r="GL34" s="58">
        <v>3.831</v>
      </c>
      <c r="GM34" s="58">
        <v>11.766999999999999</v>
      </c>
      <c r="GN34" s="58">
        <v>9.6709999999999994</v>
      </c>
      <c r="GO34" s="58">
        <v>2.0950000000000002</v>
      </c>
      <c r="GP34" s="58">
        <v>8.3390000000000004</v>
      </c>
      <c r="GQ34" s="58">
        <v>6.6029999999999998</v>
      </c>
      <c r="GR34" s="58">
        <v>1.736</v>
      </c>
      <c r="GS34" s="58">
        <v>27.812999999999999</v>
      </c>
      <c r="GT34" s="58">
        <v>15.616</v>
      </c>
      <c r="GU34" s="58">
        <v>12.196</v>
      </c>
      <c r="GV34" s="58">
        <v>207.12200000000001</v>
      </c>
      <c r="GW34" s="58">
        <v>109.22</v>
      </c>
      <c r="GX34" s="58">
        <v>97.902000000000001</v>
      </c>
      <c r="GY34" s="58">
        <v>86.26</v>
      </c>
      <c r="GZ34" s="58">
        <v>65.474000000000004</v>
      </c>
      <c r="HA34" s="58">
        <v>20.786000000000001</v>
      </c>
      <c r="HB34" s="58">
        <v>120.86199999999999</v>
      </c>
      <c r="HC34" s="58">
        <v>43.746000000000002</v>
      </c>
      <c r="HD34" s="58">
        <v>77.116</v>
      </c>
      <c r="HE34" s="58">
        <v>101.157</v>
      </c>
      <c r="HF34" s="58">
        <v>78.105999999999995</v>
      </c>
      <c r="HG34" s="58">
        <v>23.050999999999998</v>
      </c>
      <c r="HH34" s="58">
        <v>130.73599999999999</v>
      </c>
      <c r="HI34" s="58">
        <v>48.366999999999997</v>
      </c>
      <c r="HJ34" s="58">
        <v>82.369</v>
      </c>
      <c r="HK34" s="58">
        <v>132.62899999999999</v>
      </c>
      <c r="HL34" s="58">
        <v>53.417999999999999</v>
      </c>
      <c r="HM34" s="58">
        <v>79.210999999999999</v>
      </c>
      <c r="HN34" s="58">
        <v>235.86699999999999</v>
      </c>
      <c r="HO34" s="58">
        <v>124.502</v>
      </c>
      <c r="HP34" s="58">
        <v>111.364</v>
      </c>
      <c r="HQ34" s="58">
        <v>153.21799999999999</v>
      </c>
      <c r="HR34" s="58">
        <v>100.703</v>
      </c>
      <c r="HS34" s="58">
        <v>52.515999999999998</v>
      </c>
      <c r="HT34" s="58">
        <v>82.647999999999996</v>
      </c>
      <c r="HU34" s="58">
        <v>23.8</v>
      </c>
      <c r="HV34" s="58">
        <v>58.847999999999999</v>
      </c>
      <c r="HW34" s="58">
        <v>39.658000000000001</v>
      </c>
      <c r="HX34" s="58">
        <v>20.701000000000001</v>
      </c>
      <c r="HY34" s="58">
        <v>18.957000000000001</v>
      </c>
      <c r="HZ34" s="58">
        <v>7.8680000000000003</v>
      </c>
      <c r="IA34" s="58">
        <v>3.855</v>
      </c>
      <c r="IB34" s="58">
        <v>4.0129999999999999</v>
      </c>
      <c r="IC34" s="58">
        <v>2.6520000000000001</v>
      </c>
      <c r="ID34" s="58">
        <v>2.08</v>
      </c>
      <c r="IE34" s="58">
        <v>0.57199999999999995</v>
      </c>
      <c r="IF34" s="58">
        <v>1.363</v>
      </c>
      <c r="IG34" s="58">
        <v>0.79100000000000004</v>
      </c>
      <c r="IH34" s="58">
        <v>0.57199999999999995</v>
      </c>
      <c r="II34" s="58">
        <v>1.2889999999999999</v>
      </c>
      <c r="IJ34" s="58">
        <v>1.2889999999999999</v>
      </c>
      <c r="IK34" s="58">
        <v>0</v>
      </c>
      <c r="IL34" s="58">
        <v>5.2160000000000002</v>
      </c>
      <c r="IM34" s="58">
        <v>1.7749999999999999</v>
      </c>
      <c r="IN34" s="58">
        <v>3.4409999999999998</v>
      </c>
      <c r="IO34" s="58">
        <v>35.29</v>
      </c>
      <c r="IP34" s="58">
        <v>17.782</v>
      </c>
      <c r="IQ34" s="58">
        <v>17.507999999999999</v>
      </c>
    </row>
    <row r="35" spans="1:251">
      <c r="A35" s="5">
        <v>42552</v>
      </c>
      <c r="B35" s="58">
        <v>969.21</v>
      </c>
      <c r="C35" s="58">
        <v>1204.5550000000001</v>
      </c>
      <c r="D35" s="58">
        <v>393.40800000000002</v>
      </c>
      <c r="E35" s="58">
        <v>811.14599999999996</v>
      </c>
      <c r="F35" s="58">
        <v>543.19100000000003</v>
      </c>
      <c r="G35" s="58">
        <v>285.03800000000001</v>
      </c>
      <c r="H35" s="58">
        <v>258.15199999999999</v>
      </c>
      <c r="I35" s="58">
        <v>99.533000000000001</v>
      </c>
      <c r="J35" s="58">
        <v>56.945999999999998</v>
      </c>
      <c r="K35" s="58">
        <v>42.587000000000003</v>
      </c>
      <c r="L35" s="58">
        <v>44.637999999999998</v>
      </c>
      <c r="M35" s="58">
        <v>33.51</v>
      </c>
      <c r="N35" s="58">
        <v>11.127000000000001</v>
      </c>
      <c r="O35" s="58">
        <v>24.481999999999999</v>
      </c>
      <c r="P35" s="58">
        <v>17.231000000000002</v>
      </c>
      <c r="Q35" s="58">
        <v>7.2510000000000003</v>
      </c>
      <c r="R35" s="58">
        <v>20.155999999999999</v>
      </c>
      <c r="S35" s="58">
        <v>16.279</v>
      </c>
      <c r="T35" s="58">
        <v>3.8759999999999999</v>
      </c>
      <c r="U35" s="58">
        <v>54.896000000000001</v>
      </c>
      <c r="V35" s="58">
        <v>23.436</v>
      </c>
      <c r="W35" s="58">
        <v>31.46</v>
      </c>
      <c r="X35" s="58">
        <v>485.72199999999998</v>
      </c>
      <c r="Y35" s="58">
        <v>251.977</v>
      </c>
      <c r="Z35" s="58">
        <v>233.74600000000001</v>
      </c>
      <c r="AA35" s="58">
        <v>171.42</v>
      </c>
      <c r="AB35" s="58">
        <v>126.619</v>
      </c>
      <c r="AC35" s="58">
        <v>44.801000000000002</v>
      </c>
      <c r="AD35" s="58">
        <v>314.30200000000002</v>
      </c>
      <c r="AE35" s="58">
        <v>125.358</v>
      </c>
      <c r="AF35" s="58">
        <v>188.94499999999999</v>
      </c>
      <c r="AG35" s="58">
        <v>204.96</v>
      </c>
      <c r="AH35" s="58">
        <v>151.88300000000001</v>
      </c>
      <c r="AI35" s="58">
        <v>53.076999999999998</v>
      </c>
      <c r="AJ35" s="58">
        <v>338.23099999999999</v>
      </c>
      <c r="AK35" s="58">
        <v>133.15600000000001</v>
      </c>
      <c r="AL35" s="58">
        <v>205.07499999999999</v>
      </c>
      <c r="AM35" s="58">
        <v>338.78399999999999</v>
      </c>
      <c r="AN35" s="58">
        <v>142.589</v>
      </c>
      <c r="AO35" s="58">
        <v>196.19499999999999</v>
      </c>
      <c r="AP35" s="58">
        <v>3104.357</v>
      </c>
      <c r="AQ35" s="58">
        <v>1676.4580000000001</v>
      </c>
      <c r="AR35" s="58">
        <v>1427.8989999999999</v>
      </c>
      <c r="AS35" s="58">
        <v>2099.8969999999999</v>
      </c>
      <c r="AT35" s="58">
        <v>1350.7339999999999</v>
      </c>
      <c r="AU35" s="58">
        <v>749.16300000000001</v>
      </c>
      <c r="AV35" s="58">
        <v>1004.46</v>
      </c>
      <c r="AW35" s="58">
        <v>325.72399999999999</v>
      </c>
      <c r="AX35" s="58">
        <v>678.73500000000001</v>
      </c>
      <c r="AY35" s="58">
        <v>525.00699999999995</v>
      </c>
      <c r="AZ35" s="58">
        <v>288.99599999999998</v>
      </c>
      <c r="BA35" s="58">
        <v>236.01</v>
      </c>
      <c r="BB35" s="58">
        <v>85.578000000000003</v>
      </c>
      <c r="BC35" s="58">
        <v>53.23</v>
      </c>
      <c r="BD35" s="58">
        <v>32.347999999999999</v>
      </c>
      <c r="BE35" s="58">
        <v>30.486999999999998</v>
      </c>
      <c r="BF35" s="58">
        <v>26.332000000000001</v>
      </c>
      <c r="BG35" s="58">
        <v>4.1550000000000002</v>
      </c>
      <c r="BH35" s="58">
        <v>13.379</v>
      </c>
      <c r="BI35" s="58">
        <v>11.534000000000001</v>
      </c>
      <c r="BJ35" s="58">
        <v>1.845</v>
      </c>
      <c r="BK35" s="58">
        <v>17.108000000000001</v>
      </c>
      <c r="BL35" s="58">
        <v>14.798</v>
      </c>
      <c r="BM35" s="58">
        <v>2.31</v>
      </c>
      <c r="BN35" s="58">
        <v>55.091999999999999</v>
      </c>
      <c r="BO35" s="58">
        <v>26.899000000000001</v>
      </c>
      <c r="BP35" s="58">
        <v>28.193000000000001</v>
      </c>
      <c r="BQ35" s="58">
        <v>473.48399999999998</v>
      </c>
      <c r="BR35" s="58">
        <v>254.399</v>
      </c>
      <c r="BS35" s="58">
        <v>219.08500000000001</v>
      </c>
      <c r="BT35" s="58">
        <v>191.28100000000001</v>
      </c>
      <c r="BU35" s="58">
        <v>142.45099999999999</v>
      </c>
      <c r="BV35" s="58">
        <v>48.83</v>
      </c>
      <c r="BW35" s="58">
        <v>282.20299999999997</v>
      </c>
      <c r="BX35" s="58">
        <v>111.94799999999999</v>
      </c>
      <c r="BY35" s="58">
        <v>170.255</v>
      </c>
      <c r="BZ35" s="58">
        <v>216.72900000000001</v>
      </c>
      <c r="CA35" s="58">
        <v>164.15600000000001</v>
      </c>
      <c r="CB35" s="58">
        <v>52.573</v>
      </c>
      <c r="CC35" s="58">
        <v>308.27699999999999</v>
      </c>
      <c r="CD35" s="58">
        <v>124.84</v>
      </c>
      <c r="CE35" s="58">
        <v>183.43700000000001</v>
      </c>
      <c r="CF35" s="58">
        <v>295.58199999999999</v>
      </c>
      <c r="CG35" s="58">
        <v>123.482</v>
      </c>
      <c r="CH35" s="58">
        <v>172.1</v>
      </c>
      <c r="CI35" s="58">
        <v>2363.1010000000001</v>
      </c>
      <c r="CJ35" s="58">
        <v>1252.4970000000001</v>
      </c>
      <c r="CK35" s="58">
        <v>1110.604</v>
      </c>
      <c r="CL35" s="58">
        <v>1654.2159999999999</v>
      </c>
      <c r="CM35" s="58">
        <v>1036.5630000000001</v>
      </c>
      <c r="CN35" s="58">
        <v>617.65300000000002</v>
      </c>
      <c r="CO35" s="58">
        <v>708.88499999999999</v>
      </c>
      <c r="CP35" s="58">
        <v>215.934</v>
      </c>
      <c r="CQ35" s="58">
        <v>492.95100000000002</v>
      </c>
      <c r="CR35" s="58">
        <v>365.67099999999999</v>
      </c>
      <c r="CS35" s="58">
        <v>188.95</v>
      </c>
      <c r="CT35" s="58">
        <v>176.721</v>
      </c>
      <c r="CU35" s="58">
        <v>85.46</v>
      </c>
      <c r="CV35" s="58">
        <v>49.939</v>
      </c>
      <c r="CW35" s="58">
        <v>35.521000000000001</v>
      </c>
      <c r="CX35" s="58">
        <v>41.381</v>
      </c>
      <c r="CY35" s="58">
        <v>30.265999999999998</v>
      </c>
      <c r="CZ35" s="58">
        <v>11.115</v>
      </c>
      <c r="DA35" s="58">
        <v>25.491</v>
      </c>
      <c r="DB35" s="58">
        <v>19.63</v>
      </c>
      <c r="DC35" s="58">
        <v>5.8609999999999998</v>
      </c>
      <c r="DD35" s="58">
        <v>15.89</v>
      </c>
      <c r="DE35" s="58">
        <v>10.635999999999999</v>
      </c>
      <c r="DF35" s="58">
        <v>5.2539999999999996</v>
      </c>
      <c r="DG35" s="58">
        <v>44.079000000000001</v>
      </c>
      <c r="DH35" s="58">
        <v>19.672999999999998</v>
      </c>
      <c r="DI35" s="58">
        <v>24.405999999999999</v>
      </c>
      <c r="DJ35" s="58">
        <v>318.35599999999999</v>
      </c>
      <c r="DK35" s="58">
        <v>160.392</v>
      </c>
      <c r="DL35" s="58">
        <v>157.964</v>
      </c>
      <c r="DM35" s="58">
        <v>122.73</v>
      </c>
      <c r="DN35" s="58">
        <v>87.052000000000007</v>
      </c>
      <c r="DO35" s="58">
        <v>35.677999999999997</v>
      </c>
      <c r="DP35" s="58">
        <v>195.62700000000001</v>
      </c>
      <c r="DQ35" s="58">
        <v>73.34</v>
      </c>
      <c r="DR35" s="58">
        <v>122.286</v>
      </c>
      <c r="DS35" s="58">
        <v>151.75299999999999</v>
      </c>
      <c r="DT35" s="58">
        <v>108.324</v>
      </c>
      <c r="DU35" s="58">
        <v>43.429000000000002</v>
      </c>
      <c r="DV35" s="58">
        <v>213.91800000000001</v>
      </c>
      <c r="DW35" s="58">
        <v>80.626000000000005</v>
      </c>
      <c r="DX35" s="58">
        <v>133.292</v>
      </c>
      <c r="DY35" s="58">
        <v>221.11799999999999</v>
      </c>
      <c r="DZ35" s="58">
        <v>92.97</v>
      </c>
      <c r="EA35" s="58">
        <v>128.148</v>
      </c>
      <c r="EB35" s="58">
        <v>812.16399999999999</v>
      </c>
      <c r="EC35" s="58">
        <v>428.93299999999999</v>
      </c>
      <c r="ED35" s="58">
        <v>383.23200000000003</v>
      </c>
      <c r="EE35" s="58">
        <v>523.51800000000003</v>
      </c>
      <c r="EF35" s="58">
        <v>333.29899999999998</v>
      </c>
      <c r="EG35" s="58">
        <v>190.21899999999999</v>
      </c>
      <c r="EH35" s="58">
        <v>288.64699999999999</v>
      </c>
      <c r="EI35" s="58">
        <v>95.634</v>
      </c>
      <c r="EJ35" s="58">
        <v>193.01300000000001</v>
      </c>
      <c r="EK35" s="58">
        <v>138.16200000000001</v>
      </c>
      <c r="EL35" s="58">
        <v>72.286000000000001</v>
      </c>
      <c r="EM35" s="58">
        <v>65.875</v>
      </c>
      <c r="EN35" s="58">
        <v>29.962</v>
      </c>
      <c r="EO35" s="58">
        <v>16.745000000000001</v>
      </c>
      <c r="EP35" s="58">
        <v>13.217000000000001</v>
      </c>
      <c r="EQ35" s="58">
        <v>11.26</v>
      </c>
      <c r="ER35" s="58">
        <v>8.8360000000000003</v>
      </c>
      <c r="ES35" s="58">
        <v>2.4239999999999999</v>
      </c>
      <c r="ET35" s="58">
        <v>5.5369999999999999</v>
      </c>
      <c r="EU35" s="58">
        <v>4.0819999999999999</v>
      </c>
      <c r="EV35" s="58">
        <v>1.456</v>
      </c>
      <c r="EW35" s="58">
        <v>5.7220000000000004</v>
      </c>
      <c r="EX35" s="58">
        <v>4.7539999999999996</v>
      </c>
      <c r="EY35" s="58">
        <v>0.96799999999999997</v>
      </c>
      <c r="EZ35" s="58">
        <v>18.702000000000002</v>
      </c>
      <c r="FA35" s="58">
        <v>7.9089999999999998</v>
      </c>
      <c r="FB35" s="58">
        <v>10.792999999999999</v>
      </c>
      <c r="FC35" s="58">
        <v>123.866</v>
      </c>
      <c r="FD35" s="58">
        <v>63.619</v>
      </c>
      <c r="FE35" s="58">
        <v>60.247999999999998</v>
      </c>
      <c r="FF35" s="58">
        <v>33.716000000000001</v>
      </c>
      <c r="FG35" s="58">
        <v>24.678000000000001</v>
      </c>
      <c r="FH35" s="58">
        <v>9.0389999999999997</v>
      </c>
      <c r="FI35" s="58">
        <v>90.15</v>
      </c>
      <c r="FJ35" s="58">
        <v>38.941000000000003</v>
      </c>
      <c r="FK35" s="58">
        <v>51.209000000000003</v>
      </c>
      <c r="FL35" s="58">
        <v>41.41</v>
      </c>
      <c r="FM35" s="58">
        <v>30.733000000000001</v>
      </c>
      <c r="FN35" s="58">
        <v>10.678000000000001</v>
      </c>
      <c r="FO35" s="58">
        <v>96.751000000000005</v>
      </c>
      <c r="FP35" s="58">
        <v>41.554000000000002</v>
      </c>
      <c r="FQ35" s="58">
        <v>55.198</v>
      </c>
      <c r="FR35" s="58">
        <v>95.686999999999998</v>
      </c>
      <c r="FS35" s="58">
        <v>43.023000000000003</v>
      </c>
      <c r="FT35" s="58">
        <v>52.664000000000001</v>
      </c>
      <c r="FU35" s="58">
        <v>1304.7929999999999</v>
      </c>
      <c r="FV35" s="58">
        <v>704.923</v>
      </c>
      <c r="FW35" s="58">
        <v>599.87</v>
      </c>
      <c r="FX35" s="58">
        <v>871.32299999999998</v>
      </c>
      <c r="FY35" s="58">
        <v>577.86800000000005</v>
      </c>
      <c r="FZ35" s="58">
        <v>293.45600000000002</v>
      </c>
      <c r="GA35" s="58">
        <v>433.47</v>
      </c>
      <c r="GB35" s="58">
        <v>127.05500000000001</v>
      </c>
      <c r="GC35" s="58">
        <v>306.41399999999999</v>
      </c>
      <c r="GD35" s="58">
        <v>241.95500000000001</v>
      </c>
      <c r="GE35" s="58">
        <v>130.745</v>
      </c>
      <c r="GF35" s="58">
        <v>111.209</v>
      </c>
      <c r="GG35" s="58">
        <v>53.823</v>
      </c>
      <c r="GH35" s="58">
        <v>31.312999999999999</v>
      </c>
      <c r="GI35" s="58">
        <v>22.51</v>
      </c>
      <c r="GJ35" s="58">
        <v>25.422999999999998</v>
      </c>
      <c r="GK35" s="58">
        <v>18.721</v>
      </c>
      <c r="GL35" s="58">
        <v>6.702</v>
      </c>
      <c r="GM35" s="58">
        <v>13.788</v>
      </c>
      <c r="GN35" s="58">
        <v>9.4320000000000004</v>
      </c>
      <c r="GO35" s="58">
        <v>4.3559999999999999</v>
      </c>
      <c r="GP35" s="58">
        <v>11.635</v>
      </c>
      <c r="GQ35" s="58">
        <v>9.2889999999999997</v>
      </c>
      <c r="GR35" s="58">
        <v>2.3460000000000001</v>
      </c>
      <c r="GS35" s="58">
        <v>28.4</v>
      </c>
      <c r="GT35" s="58">
        <v>12.592000000000001</v>
      </c>
      <c r="GU35" s="58">
        <v>15.808</v>
      </c>
      <c r="GV35" s="58">
        <v>213.38900000000001</v>
      </c>
      <c r="GW35" s="58">
        <v>112.712</v>
      </c>
      <c r="GX35" s="58">
        <v>100.67700000000001</v>
      </c>
      <c r="GY35" s="58">
        <v>85.850999999999999</v>
      </c>
      <c r="GZ35" s="58">
        <v>65.616</v>
      </c>
      <c r="HA35" s="58">
        <v>20.234999999999999</v>
      </c>
      <c r="HB35" s="58">
        <v>127.538</v>
      </c>
      <c r="HC35" s="58">
        <v>47.095999999999997</v>
      </c>
      <c r="HD35" s="58">
        <v>80.441999999999993</v>
      </c>
      <c r="HE35" s="58">
        <v>102.876</v>
      </c>
      <c r="HF35" s="58">
        <v>77.495999999999995</v>
      </c>
      <c r="HG35" s="58">
        <v>25.38</v>
      </c>
      <c r="HH35" s="58">
        <v>139.078</v>
      </c>
      <c r="HI35" s="58">
        <v>53.249000000000002</v>
      </c>
      <c r="HJ35" s="58">
        <v>85.83</v>
      </c>
      <c r="HK35" s="58">
        <v>141.327</v>
      </c>
      <c r="HL35" s="58">
        <v>56.529000000000003</v>
      </c>
      <c r="HM35" s="58">
        <v>84.798000000000002</v>
      </c>
      <c r="HN35" s="58">
        <v>234.364</v>
      </c>
      <c r="HO35" s="58">
        <v>124.08199999999999</v>
      </c>
      <c r="HP35" s="58">
        <v>110.282</v>
      </c>
      <c r="HQ35" s="58">
        <v>153.08600000000001</v>
      </c>
      <c r="HR35" s="58">
        <v>101.35299999999999</v>
      </c>
      <c r="HS35" s="58">
        <v>51.732999999999997</v>
      </c>
      <c r="HT35" s="58">
        <v>81.278000000000006</v>
      </c>
      <c r="HU35" s="58">
        <v>22.728000000000002</v>
      </c>
      <c r="HV35" s="58">
        <v>58.548999999999999</v>
      </c>
      <c r="HW35" s="58">
        <v>41.533999999999999</v>
      </c>
      <c r="HX35" s="58">
        <v>20.777000000000001</v>
      </c>
      <c r="HY35" s="58">
        <v>20.757000000000001</v>
      </c>
      <c r="HZ35" s="58">
        <v>9.2059999999999995</v>
      </c>
      <c r="IA35" s="58">
        <v>5.2210000000000001</v>
      </c>
      <c r="IB35" s="58">
        <v>3.984</v>
      </c>
      <c r="IC35" s="58">
        <v>3.742</v>
      </c>
      <c r="ID35" s="58">
        <v>2.774</v>
      </c>
      <c r="IE35" s="58">
        <v>0.96699999999999997</v>
      </c>
      <c r="IF35" s="58">
        <v>1.486</v>
      </c>
      <c r="IG35" s="58">
        <v>1.111</v>
      </c>
      <c r="IH35" s="58">
        <v>0.375</v>
      </c>
      <c r="II35" s="58">
        <v>2.2559999999999998</v>
      </c>
      <c r="IJ35" s="58">
        <v>1.663</v>
      </c>
      <c r="IK35" s="58">
        <v>0.59199999999999997</v>
      </c>
      <c r="IL35" s="58">
        <v>5.4640000000000004</v>
      </c>
      <c r="IM35" s="58">
        <v>2.4470000000000001</v>
      </c>
      <c r="IN35" s="58">
        <v>3.0169999999999999</v>
      </c>
      <c r="IO35" s="58">
        <v>34.987000000000002</v>
      </c>
      <c r="IP35" s="58">
        <v>17.157</v>
      </c>
      <c r="IQ35" s="58">
        <v>17.829999999999998</v>
      </c>
    </row>
    <row r="36" spans="1:251">
      <c r="A36" s="5">
        <v>42583</v>
      </c>
      <c r="B36" s="58">
        <v>956.91300000000001</v>
      </c>
      <c r="C36" s="58">
        <v>1194.914</v>
      </c>
      <c r="D36" s="58">
        <v>390.62799999999999</v>
      </c>
      <c r="E36" s="58">
        <v>804.28599999999994</v>
      </c>
      <c r="F36" s="58">
        <v>539.35500000000002</v>
      </c>
      <c r="G36" s="58">
        <v>299.101</v>
      </c>
      <c r="H36" s="58">
        <v>240.255</v>
      </c>
      <c r="I36" s="58">
        <v>103.194</v>
      </c>
      <c r="J36" s="58">
        <v>59.338999999999999</v>
      </c>
      <c r="K36" s="58">
        <v>43.854999999999997</v>
      </c>
      <c r="L36" s="58">
        <v>37.447000000000003</v>
      </c>
      <c r="M36" s="58">
        <v>29.998999999999999</v>
      </c>
      <c r="N36" s="58">
        <v>7.4480000000000004</v>
      </c>
      <c r="O36" s="58">
        <v>15.618</v>
      </c>
      <c r="P36" s="58">
        <v>13.426</v>
      </c>
      <c r="Q36" s="58">
        <v>2.1920000000000002</v>
      </c>
      <c r="R36" s="58">
        <v>21.829000000000001</v>
      </c>
      <c r="S36" s="58">
        <v>16.573</v>
      </c>
      <c r="T36" s="58">
        <v>5.2560000000000002</v>
      </c>
      <c r="U36" s="58">
        <v>65.747</v>
      </c>
      <c r="V36" s="58">
        <v>29.34</v>
      </c>
      <c r="W36" s="58">
        <v>36.406999999999996</v>
      </c>
      <c r="X36" s="58">
        <v>481.30599999999998</v>
      </c>
      <c r="Y36" s="58">
        <v>265.06</v>
      </c>
      <c r="Z36" s="58">
        <v>216.24600000000001</v>
      </c>
      <c r="AA36" s="58">
        <v>178.023</v>
      </c>
      <c r="AB36" s="58">
        <v>136.46299999999999</v>
      </c>
      <c r="AC36" s="58">
        <v>41.56</v>
      </c>
      <c r="AD36" s="58">
        <v>303.28300000000002</v>
      </c>
      <c r="AE36" s="58">
        <v>128.59700000000001</v>
      </c>
      <c r="AF36" s="58">
        <v>174.68700000000001</v>
      </c>
      <c r="AG36" s="58">
        <v>207.58</v>
      </c>
      <c r="AH36" s="58">
        <v>160.11000000000001</v>
      </c>
      <c r="AI36" s="58">
        <v>47.469000000000001</v>
      </c>
      <c r="AJ36" s="58">
        <v>331.77600000000001</v>
      </c>
      <c r="AK36" s="58">
        <v>138.99</v>
      </c>
      <c r="AL36" s="58">
        <v>192.785</v>
      </c>
      <c r="AM36" s="58">
        <v>318.90199999999999</v>
      </c>
      <c r="AN36" s="58">
        <v>142.023</v>
      </c>
      <c r="AO36" s="58">
        <v>176.87899999999999</v>
      </c>
      <c r="AP36" s="58">
        <v>3101.4360000000001</v>
      </c>
      <c r="AQ36" s="58">
        <v>1672.691</v>
      </c>
      <c r="AR36" s="58">
        <v>1428.7449999999999</v>
      </c>
      <c r="AS36" s="58">
        <v>2082.0529999999999</v>
      </c>
      <c r="AT36" s="58">
        <v>1349.7329999999999</v>
      </c>
      <c r="AU36" s="58">
        <v>732.32</v>
      </c>
      <c r="AV36" s="58">
        <v>1019.3819999999999</v>
      </c>
      <c r="AW36" s="58">
        <v>322.95800000000003</v>
      </c>
      <c r="AX36" s="58">
        <v>696.42399999999998</v>
      </c>
      <c r="AY36" s="58">
        <v>507.21600000000001</v>
      </c>
      <c r="AZ36" s="58">
        <v>268.18400000000003</v>
      </c>
      <c r="BA36" s="58">
        <v>239.03200000000001</v>
      </c>
      <c r="BB36" s="58">
        <v>78.352999999999994</v>
      </c>
      <c r="BC36" s="58">
        <v>48.707000000000001</v>
      </c>
      <c r="BD36" s="58">
        <v>29.646000000000001</v>
      </c>
      <c r="BE36" s="58">
        <v>32.411000000000001</v>
      </c>
      <c r="BF36" s="58">
        <v>23.927</v>
      </c>
      <c r="BG36" s="58">
        <v>8.484</v>
      </c>
      <c r="BH36" s="58">
        <v>14.31</v>
      </c>
      <c r="BI36" s="58">
        <v>10.118</v>
      </c>
      <c r="BJ36" s="58">
        <v>4.1920000000000002</v>
      </c>
      <c r="BK36" s="58">
        <v>18.100999999999999</v>
      </c>
      <c r="BL36" s="58">
        <v>13.808999999999999</v>
      </c>
      <c r="BM36" s="58">
        <v>4.2919999999999998</v>
      </c>
      <c r="BN36" s="58">
        <v>45.942</v>
      </c>
      <c r="BO36" s="58">
        <v>24.78</v>
      </c>
      <c r="BP36" s="58">
        <v>21.161999999999999</v>
      </c>
      <c r="BQ36" s="58">
        <v>466.202</v>
      </c>
      <c r="BR36" s="58">
        <v>243.62</v>
      </c>
      <c r="BS36" s="58">
        <v>222.58199999999999</v>
      </c>
      <c r="BT36" s="58">
        <v>176.249</v>
      </c>
      <c r="BU36" s="58">
        <v>132.19999999999999</v>
      </c>
      <c r="BV36" s="58">
        <v>44.048999999999999</v>
      </c>
      <c r="BW36" s="58">
        <v>289.95400000000001</v>
      </c>
      <c r="BX36" s="58">
        <v>111.42</v>
      </c>
      <c r="BY36" s="58">
        <v>178.53299999999999</v>
      </c>
      <c r="BZ36" s="58">
        <v>199.422</v>
      </c>
      <c r="CA36" s="58">
        <v>147.87100000000001</v>
      </c>
      <c r="CB36" s="58">
        <v>51.551000000000002</v>
      </c>
      <c r="CC36" s="58">
        <v>307.79399999999998</v>
      </c>
      <c r="CD36" s="58">
        <v>120.313</v>
      </c>
      <c r="CE36" s="58">
        <v>187.48099999999999</v>
      </c>
      <c r="CF36" s="58">
        <v>304.26299999999998</v>
      </c>
      <c r="CG36" s="58">
        <v>121.538</v>
      </c>
      <c r="CH36" s="58">
        <v>182.72499999999999</v>
      </c>
      <c r="CI36" s="58">
        <v>2341.0430000000001</v>
      </c>
      <c r="CJ36" s="58">
        <v>1240.527</v>
      </c>
      <c r="CK36" s="58">
        <v>1100.5170000000001</v>
      </c>
      <c r="CL36" s="58">
        <v>1634.279</v>
      </c>
      <c r="CM36" s="58">
        <v>1024.6279999999999</v>
      </c>
      <c r="CN36" s="58">
        <v>609.65099999999995</v>
      </c>
      <c r="CO36" s="58">
        <v>706.76499999999999</v>
      </c>
      <c r="CP36" s="58">
        <v>215.899</v>
      </c>
      <c r="CQ36" s="58">
        <v>490.86599999999999</v>
      </c>
      <c r="CR36" s="58">
        <v>352.09800000000001</v>
      </c>
      <c r="CS36" s="58">
        <v>194.32499999999999</v>
      </c>
      <c r="CT36" s="58">
        <v>157.773</v>
      </c>
      <c r="CU36" s="58">
        <v>72.760000000000005</v>
      </c>
      <c r="CV36" s="58">
        <v>42.976999999999997</v>
      </c>
      <c r="CW36" s="58">
        <v>29.783000000000001</v>
      </c>
      <c r="CX36" s="58">
        <v>31.798999999999999</v>
      </c>
      <c r="CY36" s="58">
        <v>25.492000000000001</v>
      </c>
      <c r="CZ36" s="58">
        <v>6.3070000000000004</v>
      </c>
      <c r="DA36" s="58">
        <v>20.751999999999999</v>
      </c>
      <c r="DB36" s="58">
        <v>16.599</v>
      </c>
      <c r="DC36" s="58">
        <v>4.1529999999999996</v>
      </c>
      <c r="DD36" s="58">
        <v>11.047000000000001</v>
      </c>
      <c r="DE36" s="58">
        <v>8.8930000000000007</v>
      </c>
      <c r="DF36" s="58">
        <v>2.1539999999999999</v>
      </c>
      <c r="DG36" s="58">
        <v>40.960999999999999</v>
      </c>
      <c r="DH36" s="58">
        <v>17.484999999999999</v>
      </c>
      <c r="DI36" s="58">
        <v>23.475999999999999</v>
      </c>
      <c r="DJ36" s="58">
        <v>306.24200000000002</v>
      </c>
      <c r="DK36" s="58">
        <v>167.381</v>
      </c>
      <c r="DL36" s="58">
        <v>138.86000000000001</v>
      </c>
      <c r="DM36" s="58">
        <v>121.988</v>
      </c>
      <c r="DN36" s="58">
        <v>91.772999999999996</v>
      </c>
      <c r="DO36" s="58">
        <v>30.215</v>
      </c>
      <c r="DP36" s="58">
        <v>184.25299999999999</v>
      </c>
      <c r="DQ36" s="58">
        <v>75.608000000000004</v>
      </c>
      <c r="DR36" s="58">
        <v>108.645</v>
      </c>
      <c r="DS36" s="58">
        <v>144.86500000000001</v>
      </c>
      <c r="DT36" s="58">
        <v>110.77200000000001</v>
      </c>
      <c r="DU36" s="58">
        <v>34.093000000000004</v>
      </c>
      <c r="DV36" s="58">
        <v>207.233</v>
      </c>
      <c r="DW36" s="58">
        <v>83.552999999999997</v>
      </c>
      <c r="DX36" s="58">
        <v>123.68</v>
      </c>
      <c r="DY36" s="58">
        <v>205.006</v>
      </c>
      <c r="DZ36" s="58">
        <v>92.206999999999994</v>
      </c>
      <c r="EA36" s="58">
        <v>112.798</v>
      </c>
      <c r="EB36" s="58">
        <v>806.88800000000003</v>
      </c>
      <c r="EC36" s="58">
        <v>425.18299999999999</v>
      </c>
      <c r="ED36" s="58">
        <v>381.70499999999998</v>
      </c>
      <c r="EE36" s="58">
        <v>519.90800000000002</v>
      </c>
      <c r="EF36" s="58">
        <v>333.14</v>
      </c>
      <c r="EG36" s="58">
        <v>186.768</v>
      </c>
      <c r="EH36" s="58">
        <v>286.98</v>
      </c>
      <c r="EI36" s="58">
        <v>92.043000000000006</v>
      </c>
      <c r="EJ36" s="58">
        <v>194.93700000000001</v>
      </c>
      <c r="EK36" s="58">
        <v>133.91</v>
      </c>
      <c r="EL36" s="58">
        <v>69.162999999999997</v>
      </c>
      <c r="EM36" s="58">
        <v>64.747</v>
      </c>
      <c r="EN36" s="58">
        <v>26.337</v>
      </c>
      <c r="EO36" s="58">
        <v>15.444000000000001</v>
      </c>
      <c r="EP36" s="58">
        <v>10.893000000000001</v>
      </c>
      <c r="EQ36" s="58">
        <v>8.9809999999999999</v>
      </c>
      <c r="ER36" s="58">
        <v>6.8579999999999997</v>
      </c>
      <c r="ES36" s="58">
        <v>2.1230000000000002</v>
      </c>
      <c r="ET36" s="58">
        <v>4.6989999999999998</v>
      </c>
      <c r="EU36" s="58">
        <v>3.7690000000000001</v>
      </c>
      <c r="EV36" s="58">
        <v>0.93</v>
      </c>
      <c r="EW36" s="58">
        <v>4.282</v>
      </c>
      <c r="EX36" s="58">
        <v>3.089</v>
      </c>
      <c r="EY36" s="58">
        <v>1.1930000000000001</v>
      </c>
      <c r="EZ36" s="58">
        <v>17.356000000000002</v>
      </c>
      <c r="FA36" s="58">
        <v>8.5860000000000003</v>
      </c>
      <c r="FB36" s="58">
        <v>8.77</v>
      </c>
      <c r="FC36" s="58">
        <v>118.166</v>
      </c>
      <c r="FD36" s="58">
        <v>60.643000000000001</v>
      </c>
      <c r="FE36" s="58">
        <v>57.524000000000001</v>
      </c>
      <c r="FF36" s="58">
        <v>35.332999999999998</v>
      </c>
      <c r="FG36" s="58">
        <v>26.852</v>
      </c>
      <c r="FH36" s="58">
        <v>8.4809999999999999</v>
      </c>
      <c r="FI36" s="58">
        <v>82.832999999999998</v>
      </c>
      <c r="FJ36" s="58">
        <v>33.790999999999997</v>
      </c>
      <c r="FK36" s="58">
        <v>49.042000000000002</v>
      </c>
      <c r="FL36" s="58">
        <v>41.817999999999998</v>
      </c>
      <c r="FM36" s="58">
        <v>31.439</v>
      </c>
      <c r="FN36" s="58">
        <v>10.379</v>
      </c>
      <c r="FO36" s="58">
        <v>92.091999999999999</v>
      </c>
      <c r="FP36" s="58">
        <v>37.723999999999997</v>
      </c>
      <c r="FQ36" s="58">
        <v>54.368000000000002</v>
      </c>
      <c r="FR36" s="58">
        <v>87.531999999999996</v>
      </c>
      <c r="FS36" s="58">
        <v>37.558999999999997</v>
      </c>
      <c r="FT36" s="58">
        <v>49.972000000000001</v>
      </c>
      <c r="FU36" s="58">
        <v>1283.8489999999999</v>
      </c>
      <c r="FV36" s="58">
        <v>696.34299999999996</v>
      </c>
      <c r="FW36" s="58">
        <v>587.505</v>
      </c>
      <c r="FX36" s="58">
        <v>863.15</v>
      </c>
      <c r="FY36" s="58">
        <v>572.77200000000005</v>
      </c>
      <c r="FZ36" s="58">
        <v>290.37900000000002</v>
      </c>
      <c r="GA36" s="58">
        <v>420.69799999999998</v>
      </c>
      <c r="GB36" s="58">
        <v>123.571</v>
      </c>
      <c r="GC36" s="58">
        <v>297.12700000000001</v>
      </c>
      <c r="GD36" s="58">
        <v>214.65899999999999</v>
      </c>
      <c r="GE36" s="58">
        <v>121.361</v>
      </c>
      <c r="GF36" s="58">
        <v>93.298000000000002</v>
      </c>
      <c r="GG36" s="58">
        <v>49.066000000000003</v>
      </c>
      <c r="GH36" s="58">
        <v>29.452000000000002</v>
      </c>
      <c r="GI36" s="58">
        <v>19.614999999999998</v>
      </c>
      <c r="GJ36" s="58">
        <v>20.422000000000001</v>
      </c>
      <c r="GK36" s="58">
        <v>16.876999999999999</v>
      </c>
      <c r="GL36" s="58">
        <v>3.5449999999999999</v>
      </c>
      <c r="GM36" s="58">
        <v>13.939</v>
      </c>
      <c r="GN36" s="58">
        <v>11.516999999999999</v>
      </c>
      <c r="GO36" s="58">
        <v>2.423</v>
      </c>
      <c r="GP36" s="58">
        <v>6.4829999999999997</v>
      </c>
      <c r="GQ36" s="58">
        <v>5.3609999999999998</v>
      </c>
      <c r="GR36" s="58">
        <v>1.1220000000000001</v>
      </c>
      <c r="GS36" s="58">
        <v>28.643999999999998</v>
      </c>
      <c r="GT36" s="58">
        <v>12.574</v>
      </c>
      <c r="GU36" s="58">
        <v>16.07</v>
      </c>
      <c r="GV36" s="58">
        <v>190.702</v>
      </c>
      <c r="GW36" s="58">
        <v>105.64400000000001</v>
      </c>
      <c r="GX36" s="58">
        <v>85.058000000000007</v>
      </c>
      <c r="GY36" s="58">
        <v>81.010000000000005</v>
      </c>
      <c r="GZ36" s="58">
        <v>62.067999999999998</v>
      </c>
      <c r="HA36" s="58">
        <v>18.943000000000001</v>
      </c>
      <c r="HB36" s="58">
        <v>109.691</v>
      </c>
      <c r="HC36" s="58">
        <v>43.576999999999998</v>
      </c>
      <c r="HD36" s="58">
        <v>66.114999999999995</v>
      </c>
      <c r="HE36" s="58">
        <v>95.230999999999995</v>
      </c>
      <c r="HF36" s="58">
        <v>73.58</v>
      </c>
      <c r="HG36" s="58">
        <v>21.652000000000001</v>
      </c>
      <c r="HH36" s="58">
        <v>119.428</v>
      </c>
      <c r="HI36" s="58">
        <v>47.780999999999999</v>
      </c>
      <c r="HJ36" s="58">
        <v>71.646000000000001</v>
      </c>
      <c r="HK36" s="58">
        <v>123.63</v>
      </c>
      <c r="HL36" s="58">
        <v>55.093000000000004</v>
      </c>
      <c r="HM36" s="58">
        <v>68.537000000000006</v>
      </c>
      <c r="HN36" s="58">
        <v>235.37200000000001</v>
      </c>
      <c r="HO36" s="58">
        <v>124.44199999999999</v>
      </c>
      <c r="HP36" s="58">
        <v>110.93</v>
      </c>
      <c r="HQ36" s="58">
        <v>152.21600000000001</v>
      </c>
      <c r="HR36" s="58">
        <v>100.992</v>
      </c>
      <c r="HS36" s="58">
        <v>51.223999999999997</v>
      </c>
      <c r="HT36" s="58">
        <v>83.156000000000006</v>
      </c>
      <c r="HU36" s="58">
        <v>23.45</v>
      </c>
      <c r="HV36" s="58">
        <v>59.706000000000003</v>
      </c>
      <c r="HW36" s="58">
        <v>41.063000000000002</v>
      </c>
      <c r="HX36" s="58">
        <v>19.882999999999999</v>
      </c>
      <c r="HY36" s="58">
        <v>21.18</v>
      </c>
      <c r="HZ36" s="58">
        <v>7.3810000000000002</v>
      </c>
      <c r="IA36" s="58">
        <v>4.242</v>
      </c>
      <c r="IB36" s="58">
        <v>3.1389999999999998</v>
      </c>
      <c r="IC36" s="58">
        <v>2.3069999999999999</v>
      </c>
      <c r="ID36" s="58">
        <v>1.766</v>
      </c>
      <c r="IE36" s="58">
        <v>0.54100000000000004</v>
      </c>
      <c r="IF36" s="58">
        <v>0.90500000000000003</v>
      </c>
      <c r="IG36" s="58">
        <v>0.57299999999999995</v>
      </c>
      <c r="IH36" s="58">
        <v>0.33200000000000002</v>
      </c>
      <c r="II36" s="58">
        <v>1.401</v>
      </c>
      <c r="IJ36" s="58">
        <v>1.1930000000000001</v>
      </c>
      <c r="IK36" s="58">
        <v>0.20899999999999999</v>
      </c>
      <c r="IL36" s="58">
        <v>5.0750000000000002</v>
      </c>
      <c r="IM36" s="58">
        <v>2.476</v>
      </c>
      <c r="IN36" s="58">
        <v>2.5979999999999999</v>
      </c>
      <c r="IO36" s="58">
        <v>36.399000000000001</v>
      </c>
      <c r="IP36" s="58">
        <v>17.149999999999999</v>
      </c>
      <c r="IQ36" s="58">
        <v>19.248999999999999</v>
      </c>
    </row>
    <row r="37" spans="1:251">
      <c r="A37" s="5">
        <v>42614</v>
      </c>
      <c r="B37" s="58">
        <v>975.67100000000005</v>
      </c>
      <c r="C37" s="58">
        <v>1214.0260000000001</v>
      </c>
      <c r="D37" s="58">
        <v>408.29700000000003</v>
      </c>
      <c r="E37" s="58">
        <v>805.72799999999995</v>
      </c>
      <c r="F37" s="58">
        <v>534.25599999999997</v>
      </c>
      <c r="G37" s="58">
        <v>286.72899999999998</v>
      </c>
      <c r="H37" s="58">
        <v>247.52799999999999</v>
      </c>
      <c r="I37" s="58">
        <v>103.273</v>
      </c>
      <c r="J37" s="58">
        <v>59.597999999999999</v>
      </c>
      <c r="K37" s="58">
        <v>43.674999999999997</v>
      </c>
      <c r="L37" s="58">
        <v>43.816000000000003</v>
      </c>
      <c r="M37" s="58">
        <v>31.875</v>
      </c>
      <c r="N37" s="58">
        <v>11.941000000000001</v>
      </c>
      <c r="O37" s="58">
        <v>20.268000000000001</v>
      </c>
      <c r="P37" s="58">
        <v>14.564</v>
      </c>
      <c r="Q37" s="58">
        <v>5.7050000000000001</v>
      </c>
      <c r="R37" s="58">
        <v>23.547000000000001</v>
      </c>
      <c r="S37" s="58">
        <v>17.311</v>
      </c>
      <c r="T37" s="58">
        <v>6.2359999999999998</v>
      </c>
      <c r="U37" s="58">
        <v>59.457000000000001</v>
      </c>
      <c r="V37" s="58">
        <v>27.722999999999999</v>
      </c>
      <c r="W37" s="58">
        <v>31.734999999999999</v>
      </c>
      <c r="X37" s="58">
        <v>474.10899999999998</v>
      </c>
      <c r="Y37" s="58">
        <v>249.05799999999999</v>
      </c>
      <c r="Z37" s="58">
        <v>225.05099999999999</v>
      </c>
      <c r="AA37" s="58">
        <v>180.78800000000001</v>
      </c>
      <c r="AB37" s="58">
        <v>123.498</v>
      </c>
      <c r="AC37" s="58">
        <v>57.29</v>
      </c>
      <c r="AD37" s="58">
        <v>293.32100000000003</v>
      </c>
      <c r="AE37" s="58">
        <v>125.559</v>
      </c>
      <c r="AF37" s="58">
        <v>167.762</v>
      </c>
      <c r="AG37" s="58">
        <v>212.99700000000001</v>
      </c>
      <c r="AH37" s="58">
        <v>148.73599999999999</v>
      </c>
      <c r="AI37" s="58">
        <v>64.260999999999996</v>
      </c>
      <c r="AJ37" s="58">
        <v>321.25900000000001</v>
      </c>
      <c r="AK37" s="58">
        <v>137.99199999999999</v>
      </c>
      <c r="AL37" s="58">
        <v>183.267</v>
      </c>
      <c r="AM37" s="58">
        <v>313.589</v>
      </c>
      <c r="AN37" s="58">
        <v>140.12299999999999</v>
      </c>
      <c r="AO37" s="58">
        <v>173.46600000000001</v>
      </c>
      <c r="AP37" s="58">
        <v>3098.337</v>
      </c>
      <c r="AQ37" s="58">
        <v>1666.854</v>
      </c>
      <c r="AR37" s="58">
        <v>1431.482</v>
      </c>
      <c r="AS37" s="58">
        <v>2064.8919999999998</v>
      </c>
      <c r="AT37" s="58">
        <v>1334.7090000000001</v>
      </c>
      <c r="AU37" s="58">
        <v>730.18200000000002</v>
      </c>
      <c r="AV37" s="58">
        <v>1033.4449999999999</v>
      </c>
      <c r="AW37" s="58">
        <v>332.14499999999998</v>
      </c>
      <c r="AX37" s="58">
        <v>701.3</v>
      </c>
      <c r="AY37" s="58">
        <v>493.92899999999997</v>
      </c>
      <c r="AZ37" s="58">
        <v>253.83099999999999</v>
      </c>
      <c r="BA37" s="58">
        <v>240.09700000000001</v>
      </c>
      <c r="BB37" s="58">
        <v>91.897000000000006</v>
      </c>
      <c r="BC37" s="58">
        <v>53.682000000000002</v>
      </c>
      <c r="BD37" s="58">
        <v>38.215000000000003</v>
      </c>
      <c r="BE37" s="58">
        <v>34.015999999999998</v>
      </c>
      <c r="BF37" s="58">
        <v>28.591000000000001</v>
      </c>
      <c r="BG37" s="58">
        <v>5.4260000000000002</v>
      </c>
      <c r="BH37" s="58">
        <v>14.912000000000001</v>
      </c>
      <c r="BI37" s="58">
        <v>12.977</v>
      </c>
      <c r="BJ37" s="58">
        <v>1.9350000000000001</v>
      </c>
      <c r="BK37" s="58">
        <v>19.103999999999999</v>
      </c>
      <c r="BL37" s="58">
        <v>15.614000000000001</v>
      </c>
      <c r="BM37" s="58">
        <v>3.4910000000000001</v>
      </c>
      <c r="BN37" s="58">
        <v>57.881</v>
      </c>
      <c r="BO37" s="58">
        <v>25.091999999999999</v>
      </c>
      <c r="BP37" s="58">
        <v>32.789000000000001</v>
      </c>
      <c r="BQ37" s="58">
        <v>444.75799999999998</v>
      </c>
      <c r="BR37" s="58">
        <v>225.42400000000001</v>
      </c>
      <c r="BS37" s="58">
        <v>219.334</v>
      </c>
      <c r="BT37" s="58">
        <v>164.07</v>
      </c>
      <c r="BU37" s="58">
        <v>127.164</v>
      </c>
      <c r="BV37" s="58">
        <v>36.905999999999999</v>
      </c>
      <c r="BW37" s="58">
        <v>280.68700000000001</v>
      </c>
      <c r="BX37" s="58">
        <v>98.259</v>
      </c>
      <c r="BY37" s="58">
        <v>182.428</v>
      </c>
      <c r="BZ37" s="58">
        <v>188.27199999999999</v>
      </c>
      <c r="CA37" s="58">
        <v>146.51400000000001</v>
      </c>
      <c r="CB37" s="58">
        <v>41.758000000000003</v>
      </c>
      <c r="CC37" s="58">
        <v>305.65699999999998</v>
      </c>
      <c r="CD37" s="58">
        <v>107.31699999999999</v>
      </c>
      <c r="CE37" s="58">
        <v>198.34</v>
      </c>
      <c r="CF37" s="58">
        <v>295.59899999999999</v>
      </c>
      <c r="CG37" s="58">
        <v>111.236</v>
      </c>
      <c r="CH37" s="58">
        <v>184.363</v>
      </c>
      <c r="CI37" s="58">
        <v>2339.9989999999998</v>
      </c>
      <c r="CJ37" s="58">
        <v>1239.769</v>
      </c>
      <c r="CK37" s="58">
        <v>1100.23</v>
      </c>
      <c r="CL37" s="58">
        <v>1605.6079999999999</v>
      </c>
      <c r="CM37" s="58">
        <v>1011.472</v>
      </c>
      <c r="CN37" s="58">
        <v>594.13699999999994</v>
      </c>
      <c r="CO37" s="58">
        <v>734.39099999999996</v>
      </c>
      <c r="CP37" s="58">
        <v>228.297</v>
      </c>
      <c r="CQ37" s="58">
        <v>506.09399999999999</v>
      </c>
      <c r="CR37" s="58">
        <v>325.28500000000003</v>
      </c>
      <c r="CS37" s="58">
        <v>172.114</v>
      </c>
      <c r="CT37" s="58">
        <v>153.17099999999999</v>
      </c>
      <c r="CU37" s="58">
        <v>70.760999999999996</v>
      </c>
      <c r="CV37" s="58">
        <v>42.936</v>
      </c>
      <c r="CW37" s="58">
        <v>27.824000000000002</v>
      </c>
      <c r="CX37" s="58">
        <v>32.497999999999998</v>
      </c>
      <c r="CY37" s="58">
        <v>26.172000000000001</v>
      </c>
      <c r="CZ37" s="58">
        <v>6.3259999999999996</v>
      </c>
      <c r="DA37" s="58">
        <v>19.939</v>
      </c>
      <c r="DB37" s="58">
        <v>16.12</v>
      </c>
      <c r="DC37" s="58">
        <v>3.819</v>
      </c>
      <c r="DD37" s="58">
        <v>12.558999999999999</v>
      </c>
      <c r="DE37" s="58">
        <v>10.053000000000001</v>
      </c>
      <c r="DF37" s="58">
        <v>2.5059999999999998</v>
      </c>
      <c r="DG37" s="58">
        <v>38.262999999999998</v>
      </c>
      <c r="DH37" s="58">
        <v>16.763999999999999</v>
      </c>
      <c r="DI37" s="58">
        <v>21.498999999999999</v>
      </c>
      <c r="DJ37" s="58">
        <v>290.995</v>
      </c>
      <c r="DK37" s="58">
        <v>151.321</v>
      </c>
      <c r="DL37" s="58">
        <v>139.67400000000001</v>
      </c>
      <c r="DM37" s="58">
        <v>109.10599999999999</v>
      </c>
      <c r="DN37" s="58">
        <v>84.361000000000004</v>
      </c>
      <c r="DO37" s="58">
        <v>24.745000000000001</v>
      </c>
      <c r="DP37" s="58">
        <v>181.88900000000001</v>
      </c>
      <c r="DQ37" s="58">
        <v>66.959000000000003</v>
      </c>
      <c r="DR37" s="58">
        <v>114.929</v>
      </c>
      <c r="DS37" s="58">
        <v>128.85900000000001</v>
      </c>
      <c r="DT37" s="58">
        <v>99.4</v>
      </c>
      <c r="DU37" s="58">
        <v>29.459</v>
      </c>
      <c r="DV37" s="58">
        <v>196.42599999999999</v>
      </c>
      <c r="DW37" s="58">
        <v>72.713999999999999</v>
      </c>
      <c r="DX37" s="58">
        <v>123.712</v>
      </c>
      <c r="DY37" s="58">
        <v>201.828</v>
      </c>
      <c r="DZ37" s="58">
        <v>83.078999999999994</v>
      </c>
      <c r="EA37" s="58">
        <v>118.749</v>
      </c>
      <c r="EB37" s="58">
        <v>811.51300000000003</v>
      </c>
      <c r="EC37" s="58">
        <v>421.94499999999999</v>
      </c>
      <c r="ED37" s="58">
        <v>389.56799999999998</v>
      </c>
      <c r="EE37" s="58">
        <v>520.827</v>
      </c>
      <c r="EF37" s="58">
        <v>331.21199999999999</v>
      </c>
      <c r="EG37" s="58">
        <v>189.61500000000001</v>
      </c>
      <c r="EH37" s="58">
        <v>290.68700000000001</v>
      </c>
      <c r="EI37" s="58">
        <v>90.733999999999995</v>
      </c>
      <c r="EJ37" s="58">
        <v>199.953</v>
      </c>
      <c r="EK37" s="58">
        <v>137.01599999999999</v>
      </c>
      <c r="EL37" s="58">
        <v>71.400999999999996</v>
      </c>
      <c r="EM37" s="58">
        <v>65.614999999999995</v>
      </c>
      <c r="EN37" s="58">
        <v>30.474</v>
      </c>
      <c r="EO37" s="58">
        <v>17.48</v>
      </c>
      <c r="EP37" s="58">
        <v>12.994</v>
      </c>
      <c r="EQ37" s="58">
        <v>12.413</v>
      </c>
      <c r="ER37" s="58">
        <v>9.673</v>
      </c>
      <c r="ES37" s="58">
        <v>2.74</v>
      </c>
      <c r="ET37" s="58">
        <v>5.8689999999999998</v>
      </c>
      <c r="EU37" s="58">
        <v>4.3239999999999998</v>
      </c>
      <c r="EV37" s="58">
        <v>1.5449999999999999</v>
      </c>
      <c r="EW37" s="58">
        <v>6.5439999999999996</v>
      </c>
      <c r="EX37" s="58">
        <v>5.3490000000000002</v>
      </c>
      <c r="EY37" s="58">
        <v>1.1950000000000001</v>
      </c>
      <c r="EZ37" s="58">
        <v>18.061</v>
      </c>
      <c r="FA37" s="58">
        <v>7.8070000000000004</v>
      </c>
      <c r="FB37" s="58">
        <v>10.253</v>
      </c>
      <c r="FC37" s="58">
        <v>119.60899999999999</v>
      </c>
      <c r="FD37" s="58">
        <v>62.073</v>
      </c>
      <c r="FE37" s="58">
        <v>57.536000000000001</v>
      </c>
      <c r="FF37" s="58">
        <v>39.664999999999999</v>
      </c>
      <c r="FG37" s="58">
        <v>28.187999999999999</v>
      </c>
      <c r="FH37" s="58">
        <v>11.477</v>
      </c>
      <c r="FI37" s="58">
        <v>79.944000000000003</v>
      </c>
      <c r="FJ37" s="58">
        <v>33.884999999999998</v>
      </c>
      <c r="FK37" s="58">
        <v>46.058999999999997</v>
      </c>
      <c r="FL37" s="58">
        <v>48.841000000000001</v>
      </c>
      <c r="FM37" s="58">
        <v>35.094000000000001</v>
      </c>
      <c r="FN37" s="58">
        <v>13.747</v>
      </c>
      <c r="FO37" s="58">
        <v>88.174999999999997</v>
      </c>
      <c r="FP37" s="58">
        <v>36.307000000000002</v>
      </c>
      <c r="FQ37" s="58">
        <v>51.868000000000002</v>
      </c>
      <c r="FR37" s="58">
        <v>85.813000000000002</v>
      </c>
      <c r="FS37" s="58">
        <v>38.209000000000003</v>
      </c>
      <c r="FT37" s="58">
        <v>47.603999999999999</v>
      </c>
      <c r="FU37" s="58">
        <v>1281.2260000000001</v>
      </c>
      <c r="FV37" s="58">
        <v>692.44</v>
      </c>
      <c r="FW37" s="58">
        <v>588.78599999999994</v>
      </c>
      <c r="FX37" s="58">
        <v>857.91099999999994</v>
      </c>
      <c r="FY37" s="58">
        <v>567.798</v>
      </c>
      <c r="FZ37" s="58">
        <v>290.11399999999998</v>
      </c>
      <c r="GA37" s="58">
        <v>423.315</v>
      </c>
      <c r="GB37" s="58">
        <v>124.642</v>
      </c>
      <c r="GC37" s="58">
        <v>298.673</v>
      </c>
      <c r="GD37" s="58">
        <v>206.16399999999999</v>
      </c>
      <c r="GE37" s="58">
        <v>116.092</v>
      </c>
      <c r="GF37" s="58">
        <v>90.072000000000003</v>
      </c>
      <c r="GG37" s="58">
        <v>50.698</v>
      </c>
      <c r="GH37" s="58">
        <v>29.257000000000001</v>
      </c>
      <c r="GI37" s="58">
        <v>21.440999999999999</v>
      </c>
      <c r="GJ37" s="58">
        <v>18.806000000000001</v>
      </c>
      <c r="GK37" s="58">
        <v>15.837</v>
      </c>
      <c r="GL37" s="58">
        <v>2.9689999999999999</v>
      </c>
      <c r="GM37" s="58">
        <v>12.863</v>
      </c>
      <c r="GN37" s="58">
        <v>11.170999999999999</v>
      </c>
      <c r="GO37" s="58">
        <v>1.6910000000000001</v>
      </c>
      <c r="GP37" s="58">
        <v>5.9429999999999996</v>
      </c>
      <c r="GQ37" s="58">
        <v>4.6660000000000004</v>
      </c>
      <c r="GR37" s="58">
        <v>1.278</v>
      </c>
      <c r="GS37" s="58">
        <v>31.891999999999999</v>
      </c>
      <c r="GT37" s="58">
        <v>13.42</v>
      </c>
      <c r="GU37" s="58">
        <v>18.472000000000001</v>
      </c>
      <c r="GV37" s="58">
        <v>177.18899999999999</v>
      </c>
      <c r="GW37" s="58">
        <v>98.182000000000002</v>
      </c>
      <c r="GX37" s="58">
        <v>79.006</v>
      </c>
      <c r="GY37" s="58">
        <v>68.177000000000007</v>
      </c>
      <c r="GZ37" s="58">
        <v>56.671999999999997</v>
      </c>
      <c r="HA37" s="58">
        <v>11.505000000000001</v>
      </c>
      <c r="HB37" s="58">
        <v>109.012</v>
      </c>
      <c r="HC37" s="58">
        <v>41.51</v>
      </c>
      <c r="HD37" s="58">
        <v>67.501999999999995</v>
      </c>
      <c r="HE37" s="58">
        <v>83.322999999999993</v>
      </c>
      <c r="HF37" s="58">
        <v>69.819000000000003</v>
      </c>
      <c r="HG37" s="58">
        <v>13.503</v>
      </c>
      <c r="HH37" s="58">
        <v>122.842</v>
      </c>
      <c r="HI37" s="58">
        <v>46.273000000000003</v>
      </c>
      <c r="HJ37" s="58">
        <v>76.569000000000003</v>
      </c>
      <c r="HK37" s="58">
        <v>121.875</v>
      </c>
      <c r="HL37" s="58">
        <v>52.682000000000002</v>
      </c>
      <c r="HM37" s="58">
        <v>69.192999999999998</v>
      </c>
      <c r="HN37" s="58">
        <v>239.14699999999999</v>
      </c>
      <c r="HO37" s="58">
        <v>126.66</v>
      </c>
      <c r="HP37" s="58">
        <v>112.48699999999999</v>
      </c>
      <c r="HQ37" s="58">
        <v>153.46899999999999</v>
      </c>
      <c r="HR37" s="58">
        <v>101.964</v>
      </c>
      <c r="HS37" s="58">
        <v>51.503999999999998</v>
      </c>
      <c r="HT37" s="58">
        <v>85.677999999999997</v>
      </c>
      <c r="HU37" s="58">
        <v>24.696000000000002</v>
      </c>
      <c r="HV37" s="58">
        <v>60.981999999999999</v>
      </c>
      <c r="HW37" s="58">
        <v>37.063000000000002</v>
      </c>
      <c r="HX37" s="58">
        <v>19.375</v>
      </c>
      <c r="HY37" s="58">
        <v>17.687999999999999</v>
      </c>
      <c r="HZ37" s="58">
        <v>7.883</v>
      </c>
      <c r="IA37" s="58">
        <v>4.5949999999999998</v>
      </c>
      <c r="IB37" s="58">
        <v>3.2879999999999998</v>
      </c>
      <c r="IC37" s="58">
        <v>2.65</v>
      </c>
      <c r="ID37" s="58">
        <v>1.9219999999999999</v>
      </c>
      <c r="IE37" s="58">
        <v>0.72799999999999998</v>
      </c>
      <c r="IF37" s="58">
        <v>0.747</v>
      </c>
      <c r="IG37" s="58">
        <v>0.61</v>
      </c>
      <c r="IH37" s="58">
        <v>0.13600000000000001</v>
      </c>
      <c r="II37" s="58">
        <v>1.903</v>
      </c>
      <c r="IJ37" s="58">
        <v>1.3120000000000001</v>
      </c>
      <c r="IK37" s="58">
        <v>0.59099999999999997</v>
      </c>
      <c r="IL37" s="58">
        <v>5.2329999999999997</v>
      </c>
      <c r="IM37" s="58">
        <v>2.673</v>
      </c>
      <c r="IN37" s="58">
        <v>2.5609999999999999</v>
      </c>
      <c r="IO37" s="58">
        <v>33.482999999999997</v>
      </c>
      <c r="IP37" s="58">
        <v>17.131</v>
      </c>
      <c r="IQ37" s="58">
        <v>16.352</v>
      </c>
    </row>
    <row r="38" spans="1:251">
      <c r="A38" s="5">
        <v>42644</v>
      </c>
      <c r="B38" s="58">
        <v>976.67399999999998</v>
      </c>
      <c r="C38" s="58">
        <v>1180.98</v>
      </c>
      <c r="D38" s="58">
        <v>389.79300000000001</v>
      </c>
      <c r="E38" s="58">
        <v>791.18700000000001</v>
      </c>
      <c r="F38" s="58">
        <v>494.536</v>
      </c>
      <c r="G38" s="58">
        <v>264.73</v>
      </c>
      <c r="H38" s="58">
        <v>229.80600000000001</v>
      </c>
      <c r="I38" s="58">
        <v>81.995999999999995</v>
      </c>
      <c r="J38" s="58">
        <v>50.145000000000003</v>
      </c>
      <c r="K38" s="58">
        <v>31.850999999999999</v>
      </c>
      <c r="L38" s="58">
        <v>29.821999999999999</v>
      </c>
      <c r="M38" s="58">
        <v>22.734000000000002</v>
      </c>
      <c r="N38" s="58">
        <v>7.0869999999999997</v>
      </c>
      <c r="O38" s="58">
        <v>17.382000000000001</v>
      </c>
      <c r="P38" s="58">
        <v>12.773</v>
      </c>
      <c r="Q38" s="58">
        <v>4.609</v>
      </c>
      <c r="R38" s="58">
        <v>12.44</v>
      </c>
      <c r="S38" s="58">
        <v>9.9610000000000003</v>
      </c>
      <c r="T38" s="58">
        <v>2.4790000000000001</v>
      </c>
      <c r="U38" s="58">
        <v>52.173999999999999</v>
      </c>
      <c r="V38" s="58">
        <v>27.41</v>
      </c>
      <c r="W38" s="58">
        <v>24.763000000000002</v>
      </c>
      <c r="X38" s="58">
        <v>445.13200000000001</v>
      </c>
      <c r="Y38" s="58">
        <v>235.63200000000001</v>
      </c>
      <c r="Z38" s="58">
        <v>209.5</v>
      </c>
      <c r="AA38" s="58">
        <v>175.422</v>
      </c>
      <c r="AB38" s="58">
        <v>124.131</v>
      </c>
      <c r="AC38" s="58">
        <v>51.29</v>
      </c>
      <c r="AD38" s="58">
        <v>269.70999999999998</v>
      </c>
      <c r="AE38" s="58">
        <v>111.5</v>
      </c>
      <c r="AF38" s="58">
        <v>158.209</v>
      </c>
      <c r="AG38" s="58">
        <v>195.48500000000001</v>
      </c>
      <c r="AH38" s="58">
        <v>140.03399999999999</v>
      </c>
      <c r="AI38" s="58">
        <v>55.451000000000001</v>
      </c>
      <c r="AJ38" s="58">
        <v>299.05099999999999</v>
      </c>
      <c r="AK38" s="58">
        <v>124.696</v>
      </c>
      <c r="AL38" s="58">
        <v>174.35499999999999</v>
      </c>
      <c r="AM38" s="58">
        <v>287.09199999999998</v>
      </c>
      <c r="AN38" s="58">
        <v>124.273</v>
      </c>
      <c r="AO38" s="58">
        <v>162.81800000000001</v>
      </c>
      <c r="AP38" s="58">
        <v>3143.5889999999999</v>
      </c>
      <c r="AQ38" s="58">
        <v>1695.0340000000001</v>
      </c>
      <c r="AR38" s="58">
        <v>1448.5550000000001</v>
      </c>
      <c r="AS38" s="58">
        <v>2081.79</v>
      </c>
      <c r="AT38" s="58">
        <v>1357.049</v>
      </c>
      <c r="AU38" s="58">
        <v>724.74</v>
      </c>
      <c r="AV38" s="58">
        <v>1061.799</v>
      </c>
      <c r="AW38" s="58">
        <v>337.98399999999998</v>
      </c>
      <c r="AX38" s="58">
        <v>723.81500000000005</v>
      </c>
      <c r="AY38" s="58">
        <v>510.185</v>
      </c>
      <c r="AZ38" s="58">
        <v>273.08999999999997</v>
      </c>
      <c r="BA38" s="58">
        <v>237.095</v>
      </c>
      <c r="BB38" s="58">
        <v>84.66</v>
      </c>
      <c r="BC38" s="58">
        <v>48.228000000000002</v>
      </c>
      <c r="BD38" s="58">
        <v>36.430999999999997</v>
      </c>
      <c r="BE38" s="58">
        <v>32.021000000000001</v>
      </c>
      <c r="BF38" s="58">
        <v>22.571000000000002</v>
      </c>
      <c r="BG38" s="58">
        <v>9.4499999999999993</v>
      </c>
      <c r="BH38" s="58">
        <v>12.574999999999999</v>
      </c>
      <c r="BI38" s="58">
        <v>9.34</v>
      </c>
      <c r="BJ38" s="58">
        <v>3.2349999999999999</v>
      </c>
      <c r="BK38" s="58">
        <v>19.446999999999999</v>
      </c>
      <c r="BL38" s="58">
        <v>13.231</v>
      </c>
      <c r="BM38" s="58">
        <v>6.2160000000000002</v>
      </c>
      <c r="BN38" s="58">
        <v>52.637999999999998</v>
      </c>
      <c r="BO38" s="58">
        <v>25.658000000000001</v>
      </c>
      <c r="BP38" s="58">
        <v>26.981000000000002</v>
      </c>
      <c r="BQ38" s="58">
        <v>458.03199999999998</v>
      </c>
      <c r="BR38" s="58">
        <v>243.90100000000001</v>
      </c>
      <c r="BS38" s="58">
        <v>214.131</v>
      </c>
      <c r="BT38" s="58">
        <v>163.63200000000001</v>
      </c>
      <c r="BU38" s="58">
        <v>129.45099999999999</v>
      </c>
      <c r="BV38" s="58">
        <v>34.18</v>
      </c>
      <c r="BW38" s="58">
        <v>294.40100000000001</v>
      </c>
      <c r="BX38" s="58">
        <v>114.45</v>
      </c>
      <c r="BY38" s="58">
        <v>179.95099999999999</v>
      </c>
      <c r="BZ38" s="58">
        <v>191.018</v>
      </c>
      <c r="CA38" s="58">
        <v>148.57</v>
      </c>
      <c r="CB38" s="58">
        <v>42.448999999999998</v>
      </c>
      <c r="CC38" s="58">
        <v>319.16699999999997</v>
      </c>
      <c r="CD38" s="58">
        <v>124.52</v>
      </c>
      <c r="CE38" s="58">
        <v>194.64599999999999</v>
      </c>
      <c r="CF38" s="58">
        <v>306.97500000000002</v>
      </c>
      <c r="CG38" s="58">
        <v>123.79</v>
      </c>
      <c r="CH38" s="58">
        <v>183.185</v>
      </c>
      <c r="CI38" s="58">
        <v>2337.4940000000001</v>
      </c>
      <c r="CJ38" s="58">
        <v>1233.354</v>
      </c>
      <c r="CK38" s="58">
        <v>1104.1400000000001</v>
      </c>
      <c r="CL38" s="58">
        <v>1612.787</v>
      </c>
      <c r="CM38" s="58">
        <v>1013.3920000000001</v>
      </c>
      <c r="CN38" s="58">
        <v>599.39499999999998</v>
      </c>
      <c r="CO38" s="58">
        <v>724.70799999999997</v>
      </c>
      <c r="CP38" s="58">
        <v>219.96199999999999</v>
      </c>
      <c r="CQ38" s="58">
        <v>504.745</v>
      </c>
      <c r="CR38" s="58">
        <v>322.85500000000002</v>
      </c>
      <c r="CS38" s="58">
        <v>176.55600000000001</v>
      </c>
      <c r="CT38" s="58">
        <v>146.30000000000001</v>
      </c>
      <c r="CU38" s="58">
        <v>69.418000000000006</v>
      </c>
      <c r="CV38" s="58">
        <v>39.831000000000003</v>
      </c>
      <c r="CW38" s="58">
        <v>29.587</v>
      </c>
      <c r="CX38" s="58">
        <v>25.559000000000001</v>
      </c>
      <c r="CY38" s="58">
        <v>21.210999999999999</v>
      </c>
      <c r="CZ38" s="58">
        <v>4.3479999999999999</v>
      </c>
      <c r="DA38" s="58">
        <v>14.393000000000001</v>
      </c>
      <c r="DB38" s="58">
        <v>12.917</v>
      </c>
      <c r="DC38" s="58">
        <v>1.4770000000000001</v>
      </c>
      <c r="DD38" s="58">
        <v>11.166</v>
      </c>
      <c r="DE38" s="58">
        <v>8.2940000000000005</v>
      </c>
      <c r="DF38" s="58">
        <v>2.8719999999999999</v>
      </c>
      <c r="DG38" s="58">
        <v>43.859000000000002</v>
      </c>
      <c r="DH38" s="58">
        <v>18.62</v>
      </c>
      <c r="DI38" s="58">
        <v>25.238</v>
      </c>
      <c r="DJ38" s="58">
        <v>289.55</v>
      </c>
      <c r="DK38" s="58">
        <v>158.797</v>
      </c>
      <c r="DL38" s="58">
        <v>130.75299999999999</v>
      </c>
      <c r="DM38" s="58">
        <v>105.95099999999999</v>
      </c>
      <c r="DN38" s="58">
        <v>84.56</v>
      </c>
      <c r="DO38" s="58">
        <v>21.390999999999998</v>
      </c>
      <c r="DP38" s="58">
        <v>183.59899999999999</v>
      </c>
      <c r="DQ38" s="58">
        <v>74.238</v>
      </c>
      <c r="DR38" s="58">
        <v>109.36199999999999</v>
      </c>
      <c r="DS38" s="58">
        <v>124.515</v>
      </c>
      <c r="DT38" s="58">
        <v>99.167000000000002</v>
      </c>
      <c r="DU38" s="58">
        <v>25.347999999999999</v>
      </c>
      <c r="DV38" s="58">
        <v>198.34100000000001</v>
      </c>
      <c r="DW38" s="58">
        <v>77.388999999999996</v>
      </c>
      <c r="DX38" s="58">
        <v>120.952</v>
      </c>
      <c r="DY38" s="58">
        <v>197.99299999999999</v>
      </c>
      <c r="DZ38" s="58">
        <v>87.153999999999996</v>
      </c>
      <c r="EA38" s="58">
        <v>110.83799999999999</v>
      </c>
      <c r="EB38" s="58">
        <v>812.71900000000005</v>
      </c>
      <c r="EC38" s="58">
        <v>424.96600000000001</v>
      </c>
      <c r="ED38" s="58">
        <v>387.75299999999999</v>
      </c>
      <c r="EE38" s="58">
        <v>517.25699999999995</v>
      </c>
      <c r="EF38" s="58">
        <v>331.62599999999998</v>
      </c>
      <c r="EG38" s="58">
        <v>185.631</v>
      </c>
      <c r="EH38" s="58">
        <v>295.46199999999999</v>
      </c>
      <c r="EI38" s="58">
        <v>93.34</v>
      </c>
      <c r="EJ38" s="58">
        <v>202.12200000000001</v>
      </c>
      <c r="EK38" s="58">
        <v>128.07900000000001</v>
      </c>
      <c r="EL38" s="58">
        <v>69.846999999999994</v>
      </c>
      <c r="EM38" s="58">
        <v>58.232999999999997</v>
      </c>
      <c r="EN38" s="58">
        <v>23.596</v>
      </c>
      <c r="EO38" s="58">
        <v>13.727</v>
      </c>
      <c r="EP38" s="58">
        <v>9.8680000000000003</v>
      </c>
      <c r="EQ38" s="58">
        <v>6.6859999999999999</v>
      </c>
      <c r="ER38" s="58">
        <v>4.5940000000000003</v>
      </c>
      <c r="ES38" s="58">
        <v>2.0920000000000001</v>
      </c>
      <c r="ET38" s="58">
        <v>4.1120000000000001</v>
      </c>
      <c r="EU38" s="58">
        <v>2.944</v>
      </c>
      <c r="EV38" s="58">
        <v>1.169</v>
      </c>
      <c r="EW38" s="58">
        <v>2.573</v>
      </c>
      <c r="EX38" s="58">
        <v>1.65</v>
      </c>
      <c r="EY38" s="58">
        <v>0.92300000000000004</v>
      </c>
      <c r="EZ38" s="58">
        <v>16.91</v>
      </c>
      <c r="FA38" s="58">
        <v>9.1329999999999991</v>
      </c>
      <c r="FB38" s="58">
        <v>7.7770000000000001</v>
      </c>
      <c r="FC38" s="58">
        <v>116.80200000000001</v>
      </c>
      <c r="FD38" s="58">
        <v>62.875</v>
      </c>
      <c r="FE38" s="58">
        <v>53.927</v>
      </c>
      <c r="FF38" s="58">
        <v>37.406999999999996</v>
      </c>
      <c r="FG38" s="58">
        <v>28.312000000000001</v>
      </c>
      <c r="FH38" s="58">
        <v>9.0950000000000006</v>
      </c>
      <c r="FI38" s="58">
        <v>79.394999999999996</v>
      </c>
      <c r="FJ38" s="58">
        <v>34.563000000000002</v>
      </c>
      <c r="FK38" s="58">
        <v>44.832000000000001</v>
      </c>
      <c r="FL38" s="58">
        <v>41.869</v>
      </c>
      <c r="FM38" s="58">
        <v>31.873000000000001</v>
      </c>
      <c r="FN38" s="58">
        <v>9.9960000000000004</v>
      </c>
      <c r="FO38" s="58">
        <v>86.21</v>
      </c>
      <c r="FP38" s="58">
        <v>37.973999999999997</v>
      </c>
      <c r="FQ38" s="58">
        <v>48.237000000000002</v>
      </c>
      <c r="FR38" s="58">
        <v>83.507000000000005</v>
      </c>
      <c r="FS38" s="58">
        <v>37.506999999999998</v>
      </c>
      <c r="FT38" s="58">
        <v>46</v>
      </c>
      <c r="FU38" s="58">
        <v>1290.0250000000001</v>
      </c>
      <c r="FV38" s="58">
        <v>698.35</v>
      </c>
      <c r="FW38" s="58">
        <v>591.67499999999995</v>
      </c>
      <c r="FX38" s="58">
        <v>864.77200000000005</v>
      </c>
      <c r="FY38" s="58">
        <v>571.24599999999998</v>
      </c>
      <c r="FZ38" s="58">
        <v>293.52600000000001</v>
      </c>
      <c r="GA38" s="58">
        <v>425.25299999999999</v>
      </c>
      <c r="GB38" s="58">
        <v>127.104</v>
      </c>
      <c r="GC38" s="58">
        <v>298.149</v>
      </c>
      <c r="GD38" s="58">
        <v>204.38</v>
      </c>
      <c r="GE38" s="58">
        <v>111.77800000000001</v>
      </c>
      <c r="GF38" s="58">
        <v>92.600999999999999</v>
      </c>
      <c r="GG38" s="58">
        <v>43.698</v>
      </c>
      <c r="GH38" s="58">
        <v>23.972000000000001</v>
      </c>
      <c r="GI38" s="58">
        <v>19.725999999999999</v>
      </c>
      <c r="GJ38" s="58">
        <v>17.884</v>
      </c>
      <c r="GK38" s="58">
        <v>15.265000000000001</v>
      </c>
      <c r="GL38" s="58">
        <v>2.6190000000000002</v>
      </c>
      <c r="GM38" s="58">
        <v>10.07</v>
      </c>
      <c r="GN38" s="58">
        <v>7.8239999999999998</v>
      </c>
      <c r="GO38" s="58">
        <v>2.246</v>
      </c>
      <c r="GP38" s="58">
        <v>7.8140000000000001</v>
      </c>
      <c r="GQ38" s="58">
        <v>7.4409999999999998</v>
      </c>
      <c r="GR38" s="58">
        <v>0.373</v>
      </c>
      <c r="GS38" s="58">
        <v>25.814</v>
      </c>
      <c r="GT38" s="58">
        <v>8.7070000000000007</v>
      </c>
      <c r="GU38" s="58">
        <v>17.106999999999999</v>
      </c>
      <c r="GV38" s="58">
        <v>179.52500000000001</v>
      </c>
      <c r="GW38" s="58">
        <v>96.828999999999994</v>
      </c>
      <c r="GX38" s="58">
        <v>82.695999999999998</v>
      </c>
      <c r="GY38" s="58">
        <v>73.873000000000005</v>
      </c>
      <c r="GZ38" s="58">
        <v>57.097000000000001</v>
      </c>
      <c r="HA38" s="58">
        <v>16.776</v>
      </c>
      <c r="HB38" s="58">
        <v>105.652</v>
      </c>
      <c r="HC38" s="58">
        <v>39.732999999999997</v>
      </c>
      <c r="HD38" s="58">
        <v>65.92</v>
      </c>
      <c r="HE38" s="58">
        <v>85.558000000000007</v>
      </c>
      <c r="HF38" s="58">
        <v>67.418999999999997</v>
      </c>
      <c r="HG38" s="58">
        <v>18.138999999999999</v>
      </c>
      <c r="HH38" s="58">
        <v>118.821</v>
      </c>
      <c r="HI38" s="58">
        <v>44.359000000000002</v>
      </c>
      <c r="HJ38" s="58">
        <v>74.462000000000003</v>
      </c>
      <c r="HK38" s="58">
        <v>115.72199999999999</v>
      </c>
      <c r="HL38" s="58">
        <v>47.557000000000002</v>
      </c>
      <c r="HM38" s="58">
        <v>68.165999999999997</v>
      </c>
      <c r="HN38" s="58">
        <v>236.60300000000001</v>
      </c>
      <c r="HO38" s="58">
        <v>125.413</v>
      </c>
      <c r="HP38" s="58">
        <v>111.19</v>
      </c>
      <c r="HQ38" s="58">
        <v>149.197</v>
      </c>
      <c r="HR38" s="58">
        <v>100.014</v>
      </c>
      <c r="HS38" s="58">
        <v>49.183</v>
      </c>
      <c r="HT38" s="58">
        <v>87.406000000000006</v>
      </c>
      <c r="HU38" s="58">
        <v>25.399000000000001</v>
      </c>
      <c r="HV38" s="58">
        <v>62.006999999999998</v>
      </c>
      <c r="HW38" s="58">
        <v>37.427</v>
      </c>
      <c r="HX38" s="58">
        <v>18.562000000000001</v>
      </c>
      <c r="HY38" s="58">
        <v>18.864999999999998</v>
      </c>
      <c r="HZ38" s="58">
        <v>7.1870000000000003</v>
      </c>
      <c r="IA38" s="58">
        <v>4.2750000000000004</v>
      </c>
      <c r="IB38" s="58">
        <v>2.9119999999999999</v>
      </c>
      <c r="IC38" s="58">
        <v>3.0750000000000002</v>
      </c>
      <c r="ID38" s="58">
        <v>2.278</v>
      </c>
      <c r="IE38" s="58">
        <v>0.79700000000000004</v>
      </c>
      <c r="IF38" s="58">
        <v>1.232</v>
      </c>
      <c r="IG38" s="58">
        <v>0.73699999999999999</v>
      </c>
      <c r="IH38" s="58">
        <v>0.495</v>
      </c>
      <c r="II38" s="58">
        <v>1.843</v>
      </c>
      <c r="IJ38" s="58">
        <v>1.5409999999999999</v>
      </c>
      <c r="IK38" s="58">
        <v>0.30099999999999999</v>
      </c>
      <c r="IL38" s="58">
        <v>4.1120000000000001</v>
      </c>
      <c r="IM38" s="58">
        <v>1.9970000000000001</v>
      </c>
      <c r="IN38" s="58">
        <v>2.1150000000000002</v>
      </c>
      <c r="IO38" s="58">
        <v>33.720999999999997</v>
      </c>
      <c r="IP38" s="58">
        <v>16.481000000000002</v>
      </c>
      <c r="IQ38" s="58">
        <v>17.239999999999998</v>
      </c>
    </row>
    <row r="39" spans="1:251">
      <c r="A39" s="5">
        <v>42675</v>
      </c>
      <c r="B39" s="58">
        <v>975.30100000000004</v>
      </c>
      <c r="C39" s="58">
        <v>1188.5150000000001</v>
      </c>
      <c r="D39" s="58">
        <v>390.34</v>
      </c>
      <c r="E39" s="58">
        <v>798.17499999999995</v>
      </c>
      <c r="F39" s="58">
        <v>546.74300000000005</v>
      </c>
      <c r="G39" s="58">
        <v>305.26</v>
      </c>
      <c r="H39" s="58">
        <v>241.483</v>
      </c>
      <c r="I39" s="58">
        <v>81.024000000000001</v>
      </c>
      <c r="J39" s="58">
        <v>47.77</v>
      </c>
      <c r="K39" s="58">
        <v>33.253999999999998</v>
      </c>
      <c r="L39" s="58">
        <v>30.478000000000002</v>
      </c>
      <c r="M39" s="58">
        <v>22.643000000000001</v>
      </c>
      <c r="N39" s="58">
        <v>7.835</v>
      </c>
      <c r="O39" s="58">
        <v>18.489000000000001</v>
      </c>
      <c r="P39" s="58">
        <v>12.509</v>
      </c>
      <c r="Q39" s="58">
        <v>5.9790000000000001</v>
      </c>
      <c r="R39" s="58">
        <v>11.989000000000001</v>
      </c>
      <c r="S39" s="58">
        <v>10.134</v>
      </c>
      <c r="T39" s="58">
        <v>1.8560000000000001</v>
      </c>
      <c r="U39" s="58">
        <v>50.545999999999999</v>
      </c>
      <c r="V39" s="58">
        <v>25.126999999999999</v>
      </c>
      <c r="W39" s="58">
        <v>25.419</v>
      </c>
      <c r="X39" s="58">
        <v>504.25799999999998</v>
      </c>
      <c r="Y39" s="58">
        <v>278.94099999999997</v>
      </c>
      <c r="Z39" s="58">
        <v>225.31700000000001</v>
      </c>
      <c r="AA39" s="58">
        <v>195.34</v>
      </c>
      <c r="AB39" s="58">
        <v>145.947</v>
      </c>
      <c r="AC39" s="58">
        <v>49.393999999999998</v>
      </c>
      <c r="AD39" s="58">
        <v>308.91800000000001</v>
      </c>
      <c r="AE39" s="58">
        <v>132.994</v>
      </c>
      <c r="AF39" s="58">
        <v>175.92400000000001</v>
      </c>
      <c r="AG39" s="58">
        <v>219.42</v>
      </c>
      <c r="AH39" s="58">
        <v>164.18899999999999</v>
      </c>
      <c r="AI39" s="58">
        <v>55.231000000000002</v>
      </c>
      <c r="AJ39" s="58">
        <v>327.322</v>
      </c>
      <c r="AK39" s="58">
        <v>141.071</v>
      </c>
      <c r="AL39" s="58">
        <v>186.25200000000001</v>
      </c>
      <c r="AM39" s="58">
        <v>327.40600000000001</v>
      </c>
      <c r="AN39" s="58">
        <v>145.50399999999999</v>
      </c>
      <c r="AO39" s="58">
        <v>181.90299999999999</v>
      </c>
      <c r="AP39" s="58">
        <v>3140.433</v>
      </c>
      <c r="AQ39" s="58">
        <v>1685.164</v>
      </c>
      <c r="AR39" s="58">
        <v>1455.269</v>
      </c>
      <c r="AS39" s="58">
        <v>2111.424</v>
      </c>
      <c r="AT39" s="58">
        <v>1367.251</v>
      </c>
      <c r="AU39" s="58">
        <v>744.173</v>
      </c>
      <c r="AV39" s="58">
        <v>1029.009</v>
      </c>
      <c r="AW39" s="58">
        <v>317.91300000000001</v>
      </c>
      <c r="AX39" s="58">
        <v>711.096</v>
      </c>
      <c r="AY39" s="58">
        <v>491.80799999999999</v>
      </c>
      <c r="AZ39" s="58">
        <v>252.14</v>
      </c>
      <c r="BA39" s="58">
        <v>239.66800000000001</v>
      </c>
      <c r="BB39" s="58">
        <v>72.927000000000007</v>
      </c>
      <c r="BC39" s="58">
        <v>42.98</v>
      </c>
      <c r="BD39" s="58">
        <v>29.946999999999999</v>
      </c>
      <c r="BE39" s="58">
        <v>28.969000000000001</v>
      </c>
      <c r="BF39" s="58">
        <v>19.734000000000002</v>
      </c>
      <c r="BG39" s="58">
        <v>9.2349999999999994</v>
      </c>
      <c r="BH39" s="58">
        <v>16.811</v>
      </c>
      <c r="BI39" s="58">
        <v>9.9149999999999991</v>
      </c>
      <c r="BJ39" s="58">
        <v>6.8959999999999999</v>
      </c>
      <c r="BK39" s="58">
        <v>12.157999999999999</v>
      </c>
      <c r="BL39" s="58">
        <v>9.8190000000000008</v>
      </c>
      <c r="BM39" s="58">
        <v>2.339</v>
      </c>
      <c r="BN39" s="58">
        <v>43.957000000000001</v>
      </c>
      <c r="BO39" s="58">
        <v>23.245999999999999</v>
      </c>
      <c r="BP39" s="58">
        <v>20.712</v>
      </c>
      <c r="BQ39" s="58">
        <v>448.62099999999998</v>
      </c>
      <c r="BR39" s="58">
        <v>227.107</v>
      </c>
      <c r="BS39" s="58">
        <v>221.51400000000001</v>
      </c>
      <c r="BT39" s="58">
        <v>158.88</v>
      </c>
      <c r="BU39" s="58">
        <v>118.962</v>
      </c>
      <c r="BV39" s="58">
        <v>39.917999999999999</v>
      </c>
      <c r="BW39" s="58">
        <v>289.74099999999999</v>
      </c>
      <c r="BX39" s="58">
        <v>108.145</v>
      </c>
      <c r="BY39" s="58">
        <v>181.596</v>
      </c>
      <c r="BZ39" s="58">
        <v>181.67699999999999</v>
      </c>
      <c r="CA39" s="58">
        <v>133.99799999999999</v>
      </c>
      <c r="CB39" s="58">
        <v>47.679000000000002</v>
      </c>
      <c r="CC39" s="58">
        <v>310.13099999999997</v>
      </c>
      <c r="CD39" s="58">
        <v>118.14100000000001</v>
      </c>
      <c r="CE39" s="58">
        <v>191.989</v>
      </c>
      <c r="CF39" s="58">
        <v>306.55200000000002</v>
      </c>
      <c r="CG39" s="58">
        <v>118.06</v>
      </c>
      <c r="CH39" s="58">
        <v>188.49199999999999</v>
      </c>
      <c r="CI39" s="58">
        <v>2372.63</v>
      </c>
      <c r="CJ39" s="58">
        <v>1247.829</v>
      </c>
      <c r="CK39" s="58">
        <v>1124.8009999999999</v>
      </c>
      <c r="CL39" s="58">
        <v>1646.5440000000001</v>
      </c>
      <c r="CM39" s="58">
        <v>1029.623</v>
      </c>
      <c r="CN39" s="58">
        <v>616.91999999999996</v>
      </c>
      <c r="CO39" s="58">
        <v>726.08699999999999</v>
      </c>
      <c r="CP39" s="58">
        <v>218.20599999999999</v>
      </c>
      <c r="CQ39" s="58">
        <v>507.88099999999997</v>
      </c>
      <c r="CR39" s="58">
        <v>334.92099999999999</v>
      </c>
      <c r="CS39" s="58">
        <v>180.583</v>
      </c>
      <c r="CT39" s="58">
        <v>154.33799999999999</v>
      </c>
      <c r="CU39" s="58">
        <v>73.510999999999996</v>
      </c>
      <c r="CV39" s="58">
        <v>45.384999999999998</v>
      </c>
      <c r="CW39" s="58">
        <v>28.126000000000001</v>
      </c>
      <c r="CX39" s="58">
        <v>33.558</v>
      </c>
      <c r="CY39" s="58">
        <v>28.425000000000001</v>
      </c>
      <c r="CZ39" s="58">
        <v>5.133</v>
      </c>
      <c r="DA39" s="58">
        <v>19.648</v>
      </c>
      <c r="DB39" s="58">
        <v>16.971</v>
      </c>
      <c r="DC39" s="58">
        <v>2.6779999999999999</v>
      </c>
      <c r="DD39" s="58">
        <v>13.909000000000001</v>
      </c>
      <c r="DE39" s="58">
        <v>11.454000000000001</v>
      </c>
      <c r="DF39" s="58">
        <v>2.4550000000000001</v>
      </c>
      <c r="DG39" s="58">
        <v>39.953000000000003</v>
      </c>
      <c r="DH39" s="58">
        <v>16.96</v>
      </c>
      <c r="DI39" s="58">
        <v>22.992999999999999</v>
      </c>
      <c r="DJ39" s="58">
        <v>288.94200000000001</v>
      </c>
      <c r="DK39" s="58">
        <v>150.37200000000001</v>
      </c>
      <c r="DL39" s="58">
        <v>138.57</v>
      </c>
      <c r="DM39" s="58">
        <v>106.789</v>
      </c>
      <c r="DN39" s="58">
        <v>77.828999999999994</v>
      </c>
      <c r="DO39" s="58">
        <v>28.96</v>
      </c>
      <c r="DP39" s="58">
        <v>182.15299999999999</v>
      </c>
      <c r="DQ39" s="58">
        <v>72.543000000000006</v>
      </c>
      <c r="DR39" s="58">
        <v>109.61</v>
      </c>
      <c r="DS39" s="58">
        <v>132.982</v>
      </c>
      <c r="DT39" s="58">
        <v>100.78400000000001</v>
      </c>
      <c r="DU39" s="58">
        <v>32.198999999999998</v>
      </c>
      <c r="DV39" s="58">
        <v>201.93899999999999</v>
      </c>
      <c r="DW39" s="58">
        <v>79.799000000000007</v>
      </c>
      <c r="DX39" s="58">
        <v>122.14</v>
      </c>
      <c r="DY39" s="58">
        <v>201.80199999999999</v>
      </c>
      <c r="DZ39" s="58">
        <v>89.513999999999996</v>
      </c>
      <c r="EA39" s="58">
        <v>112.288</v>
      </c>
      <c r="EB39" s="58">
        <v>818.21500000000003</v>
      </c>
      <c r="EC39" s="58">
        <v>426.05399999999997</v>
      </c>
      <c r="ED39" s="58">
        <v>392.161</v>
      </c>
      <c r="EE39" s="58">
        <v>532.36500000000001</v>
      </c>
      <c r="EF39" s="58">
        <v>340.59</v>
      </c>
      <c r="EG39" s="58">
        <v>191.774</v>
      </c>
      <c r="EH39" s="58">
        <v>285.85000000000002</v>
      </c>
      <c r="EI39" s="58">
        <v>85.462999999999994</v>
      </c>
      <c r="EJ39" s="58">
        <v>200.387</v>
      </c>
      <c r="EK39" s="58">
        <v>128.12899999999999</v>
      </c>
      <c r="EL39" s="58">
        <v>65.537000000000006</v>
      </c>
      <c r="EM39" s="58">
        <v>62.591999999999999</v>
      </c>
      <c r="EN39" s="58">
        <v>25.413</v>
      </c>
      <c r="EO39" s="58">
        <v>16.315999999999999</v>
      </c>
      <c r="EP39" s="58">
        <v>9.0969999999999995</v>
      </c>
      <c r="EQ39" s="58">
        <v>9.0190000000000001</v>
      </c>
      <c r="ER39" s="58">
        <v>7.8120000000000003</v>
      </c>
      <c r="ES39" s="58">
        <v>1.2070000000000001</v>
      </c>
      <c r="ET39" s="58">
        <v>5.2530000000000001</v>
      </c>
      <c r="EU39" s="58">
        <v>4.7590000000000003</v>
      </c>
      <c r="EV39" s="58">
        <v>0.49399999999999999</v>
      </c>
      <c r="EW39" s="58">
        <v>3.766</v>
      </c>
      <c r="EX39" s="58">
        <v>3.0529999999999999</v>
      </c>
      <c r="EY39" s="58">
        <v>0.71299999999999997</v>
      </c>
      <c r="EZ39" s="58">
        <v>16.393999999999998</v>
      </c>
      <c r="FA39" s="58">
        <v>8.5039999999999996</v>
      </c>
      <c r="FB39" s="58">
        <v>7.89</v>
      </c>
      <c r="FC39" s="58">
        <v>114.12</v>
      </c>
      <c r="FD39" s="58">
        <v>57.128999999999998</v>
      </c>
      <c r="FE39" s="58">
        <v>56.991</v>
      </c>
      <c r="FF39" s="58">
        <v>35.460999999999999</v>
      </c>
      <c r="FG39" s="58">
        <v>27.597999999999999</v>
      </c>
      <c r="FH39" s="58">
        <v>7.8630000000000004</v>
      </c>
      <c r="FI39" s="58">
        <v>78.659000000000006</v>
      </c>
      <c r="FJ39" s="58">
        <v>29.530999999999999</v>
      </c>
      <c r="FK39" s="58">
        <v>49.128</v>
      </c>
      <c r="FL39" s="58">
        <v>41.426000000000002</v>
      </c>
      <c r="FM39" s="58">
        <v>32.609000000000002</v>
      </c>
      <c r="FN39" s="58">
        <v>8.8160000000000007</v>
      </c>
      <c r="FO39" s="58">
        <v>86.703999999999994</v>
      </c>
      <c r="FP39" s="58">
        <v>32.927999999999997</v>
      </c>
      <c r="FQ39" s="58">
        <v>53.776000000000003</v>
      </c>
      <c r="FR39" s="58">
        <v>83.912000000000006</v>
      </c>
      <c r="FS39" s="58">
        <v>34.29</v>
      </c>
      <c r="FT39" s="58">
        <v>49.622</v>
      </c>
      <c r="FU39" s="58">
        <v>1299.912</v>
      </c>
      <c r="FV39" s="58">
        <v>702.86300000000006</v>
      </c>
      <c r="FW39" s="58">
        <v>597.04899999999998</v>
      </c>
      <c r="FX39" s="58">
        <v>878.99599999999998</v>
      </c>
      <c r="FY39" s="58">
        <v>579.43299999999999</v>
      </c>
      <c r="FZ39" s="58">
        <v>299.56299999999999</v>
      </c>
      <c r="GA39" s="58">
        <v>420.916</v>
      </c>
      <c r="GB39" s="58">
        <v>123.43</v>
      </c>
      <c r="GC39" s="58">
        <v>297.48599999999999</v>
      </c>
      <c r="GD39" s="58">
        <v>212.17400000000001</v>
      </c>
      <c r="GE39" s="58">
        <v>111.741</v>
      </c>
      <c r="GF39" s="58">
        <v>100.432</v>
      </c>
      <c r="GG39" s="58">
        <v>43.225000000000001</v>
      </c>
      <c r="GH39" s="58">
        <v>24.145</v>
      </c>
      <c r="GI39" s="58">
        <v>19.079999999999998</v>
      </c>
      <c r="GJ39" s="58">
        <v>18.856999999999999</v>
      </c>
      <c r="GK39" s="58">
        <v>14.965</v>
      </c>
      <c r="GL39" s="58">
        <v>3.8919999999999999</v>
      </c>
      <c r="GM39" s="58">
        <v>9.8650000000000002</v>
      </c>
      <c r="GN39" s="58">
        <v>7.3949999999999996</v>
      </c>
      <c r="GO39" s="58">
        <v>2.4700000000000002</v>
      </c>
      <c r="GP39" s="58">
        <v>8.9920000000000009</v>
      </c>
      <c r="GQ39" s="58">
        <v>7.57</v>
      </c>
      <c r="GR39" s="58">
        <v>1.4219999999999999</v>
      </c>
      <c r="GS39" s="58">
        <v>24.369</v>
      </c>
      <c r="GT39" s="58">
        <v>9.18</v>
      </c>
      <c r="GU39" s="58">
        <v>15.189</v>
      </c>
      <c r="GV39" s="58">
        <v>188.47</v>
      </c>
      <c r="GW39" s="58">
        <v>96.7</v>
      </c>
      <c r="GX39" s="58">
        <v>91.77</v>
      </c>
      <c r="GY39" s="58">
        <v>73.724000000000004</v>
      </c>
      <c r="GZ39" s="58">
        <v>54.926000000000002</v>
      </c>
      <c r="HA39" s="58">
        <v>18.797999999999998</v>
      </c>
      <c r="HB39" s="58">
        <v>114.747</v>
      </c>
      <c r="HC39" s="58">
        <v>41.774000000000001</v>
      </c>
      <c r="HD39" s="58">
        <v>72.972999999999999</v>
      </c>
      <c r="HE39" s="58">
        <v>87.183000000000007</v>
      </c>
      <c r="HF39" s="58">
        <v>65.75</v>
      </c>
      <c r="HG39" s="58">
        <v>21.431999999999999</v>
      </c>
      <c r="HH39" s="58">
        <v>124.991</v>
      </c>
      <c r="HI39" s="58">
        <v>45.991</v>
      </c>
      <c r="HJ39" s="58">
        <v>79</v>
      </c>
      <c r="HK39" s="58">
        <v>124.611</v>
      </c>
      <c r="HL39" s="58">
        <v>49.168999999999997</v>
      </c>
      <c r="HM39" s="58">
        <v>75.441999999999993</v>
      </c>
      <c r="HN39" s="58">
        <v>239.83600000000001</v>
      </c>
      <c r="HO39" s="58">
        <v>127.84099999999999</v>
      </c>
      <c r="HP39" s="58">
        <v>111.995</v>
      </c>
      <c r="HQ39" s="58">
        <v>149.411</v>
      </c>
      <c r="HR39" s="58">
        <v>100.08199999999999</v>
      </c>
      <c r="HS39" s="58">
        <v>49.329000000000001</v>
      </c>
      <c r="HT39" s="58">
        <v>90.424999999999997</v>
      </c>
      <c r="HU39" s="58">
        <v>27.759</v>
      </c>
      <c r="HV39" s="58">
        <v>62.665999999999997</v>
      </c>
      <c r="HW39" s="58">
        <v>39.811999999999998</v>
      </c>
      <c r="HX39" s="58">
        <v>20.126999999999999</v>
      </c>
      <c r="HY39" s="58">
        <v>19.684999999999999</v>
      </c>
      <c r="HZ39" s="58">
        <v>7.0919999999999996</v>
      </c>
      <c r="IA39" s="58">
        <v>3.3109999999999999</v>
      </c>
      <c r="IB39" s="58">
        <v>3.7810000000000001</v>
      </c>
      <c r="IC39" s="58">
        <v>2.9750000000000001</v>
      </c>
      <c r="ID39" s="58">
        <v>1.8580000000000001</v>
      </c>
      <c r="IE39" s="58">
        <v>1.117</v>
      </c>
      <c r="IF39" s="58">
        <v>1.6279999999999999</v>
      </c>
      <c r="IG39" s="58">
        <v>0.85699999999999998</v>
      </c>
      <c r="IH39" s="58">
        <v>0.77100000000000002</v>
      </c>
      <c r="II39" s="58">
        <v>1.347</v>
      </c>
      <c r="IJ39" s="58">
        <v>1.0009999999999999</v>
      </c>
      <c r="IK39" s="58">
        <v>0.34599999999999997</v>
      </c>
      <c r="IL39" s="58">
        <v>4.117</v>
      </c>
      <c r="IM39" s="58">
        <v>1.4530000000000001</v>
      </c>
      <c r="IN39" s="58">
        <v>2.6640000000000001</v>
      </c>
      <c r="IO39" s="58">
        <v>36.252000000000002</v>
      </c>
      <c r="IP39" s="58">
        <v>18.091000000000001</v>
      </c>
      <c r="IQ39" s="58">
        <v>18.161000000000001</v>
      </c>
    </row>
    <row r="40" spans="1:251">
      <c r="A40" s="5">
        <v>42705</v>
      </c>
      <c r="B40" s="58">
        <v>992.31</v>
      </c>
      <c r="C40" s="58">
        <v>1181.3869999999999</v>
      </c>
      <c r="D40" s="58">
        <v>379.98399999999998</v>
      </c>
      <c r="E40" s="58">
        <v>801.40300000000002</v>
      </c>
      <c r="F40" s="58">
        <v>559.40599999999995</v>
      </c>
      <c r="G40" s="58">
        <v>303.18599999999998</v>
      </c>
      <c r="H40" s="58">
        <v>256.221</v>
      </c>
      <c r="I40" s="58">
        <v>98.144999999999996</v>
      </c>
      <c r="J40" s="58">
        <v>53.048999999999999</v>
      </c>
      <c r="K40" s="58">
        <v>45.095999999999997</v>
      </c>
      <c r="L40" s="58">
        <v>34.286999999999999</v>
      </c>
      <c r="M40" s="58">
        <v>25.594000000000001</v>
      </c>
      <c r="N40" s="58">
        <v>8.6940000000000008</v>
      </c>
      <c r="O40" s="58">
        <v>16.876999999999999</v>
      </c>
      <c r="P40" s="58">
        <v>12.843</v>
      </c>
      <c r="Q40" s="58">
        <v>4.0339999999999998</v>
      </c>
      <c r="R40" s="58">
        <v>17.41</v>
      </c>
      <c r="S40" s="58">
        <v>12.75</v>
      </c>
      <c r="T40" s="58">
        <v>4.66</v>
      </c>
      <c r="U40" s="58">
        <v>63.857999999999997</v>
      </c>
      <c r="V40" s="58">
        <v>27.456</v>
      </c>
      <c r="W40" s="58">
        <v>36.402000000000001</v>
      </c>
      <c r="X40" s="58">
        <v>505.82100000000003</v>
      </c>
      <c r="Y40" s="58">
        <v>274.91699999999997</v>
      </c>
      <c r="Z40" s="58">
        <v>230.904</v>
      </c>
      <c r="AA40" s="58">
        <v>189.202</v>
      </c>
      <c r="AB40" s="58">
        <v>140.51599999999999</v>
      </c>
      <c r="AC40" s="58">
        <v>48.686999999999998</v>
      </c>
      <c r="AD40" s="58">
        <v>316.61799999999999</v>
      </c>
      <c r="AE40" s="58">
        <v>134.40100000000001</v>
      </c>
      <c r="AF40" s="58">
        <v>182.21700000000001</v>
      </c>
      <c r="AG40" s="58">
        <v>215.803</v>
      </c>
      <c r="AH40" s="58">
        <v>160.57900000000001</v>
      </c>
      <c r="AI40" s="58">
        <v>55.225000000000001</v>
      </c>
      <c r="AJ40" s="58">
        <v>343.60300000000001</v>
      </c>
      <c r="AK40" s="58">
        <v>142.607</v>
      </c>
      <c r="AL40" s="58">
        <v>200.99600000000001</v>
      </c>
      <c r="AM40" s="58">
        <v>333.49599999999998</v>
      </c>
      <c r="AN40" s="58">
        <v>147.245</v>
      </c>
      <c r="AO40" s="58">
        <v>186.251</v>
      </c>
      <c r="AP40" s="58">
        <v>3185.0529999999999</v>
      </c>
      <c r="AQ40" s="58">
        <v>1711.655</v>
      </c>
      <c r="AR40" s="58">
        <v>1473.3979999999999</v>
      </c>
      <c r="AS40" s="58">
        <v>2158.8090000000002</v>
      </c>
      <c r="AT40" s="58">
        <v>1391.123</v>
      </c>
      <c r="AU40" s="58">
        <v>767.68600000000004</v>
      </c>
      <c r="AV40" s="58">
        <v>1026.2439999999999</v>
      </c>
      <c r="AW40" s="58">
        <v>320.53199999999998</v>
      </c>
      <c r="AX40" s="58">
        <v>705.71199999999999</v>
      </c>
      <c r="AY40" s="58">
        <v>544.55799999999999</v>
      </c>
      <c r="AZ40" s="58">
        <v>282.58300000000003</v>
      </c>
      <c r="BA40" s="58">
        <v>261.97500000000002</v>
      </c>
      <c r="BB40" s="58">
        <v>84.757000000000005</v>
      </c>
      <c r="BC40" s="58">
        <v>49.567999999999998</v>
      </c>
      <c r="BD40" s="58">
        <v>35.188000000000002</v>
      </c>
      <c r="BE40" s="58">
        <v>31.907</v>
      </c>
      <c r="BF40" s="58">
        <v>26.957000000000001</v>
      </c>
      <c r="BG40" s="58">
        <v>4.95</v>
      </c>
      <c r="BH40" s="58">
        <v>16.562999999999999</v>
      </c>
      <c r="BI40" s="58">
        <v>14.526</v>
      </c>
      <c r="BJ40" s="58">
        <v>2.0379999999999998</v>
      </c>
      <c r="BK40" s="58">
        <v>15.343</v>
      </c>
      <c r="BL40" s="58">
        <v>12.430999999999999</v>
      </c>
      <c r="BM40" s="58">
        <v>2.9119999999999999</v>
      </c>
      <c r="BN40" s="58">
        <v>52.85</v>
      </c>
      <c r="BO40" s="58">
        <v>22.611999999999998</v>
      </c>
      <c r="BP40" s="58">
        <v>30.238</v>
      </c>
      <c r="BQ40" s="58">
        <v>497.20499999999998</v>
      </c>
      <c r="BR40" s="58">
        <v>254.24799999999999</v>
      </c>
      <c r="BS40" s="58">
        <v>242.95699999999999</v>
      </c>
      <c r="BT40" s="58">
        <v>171.33600000000001</v>
      </c>
      <c r="BU40" s="58">
        <v>125.76900000000001</v>
      </c>
      <c r="BV40" s="58">
        <v>45.566000000000003</v>
      </c>
      <c r="BW40" s="58">
        <v>325.86900000000003</v>
      </c>
      <c r="BX40" s="58">
        <v>128.47800000000001</v>
      </c>
      <c r="BY40" s="58">
        <v>197.39099999999999</v>
      </c>
      <c r="BZ40" s="58">
        <v>196.60900000000001</v>
      </c>
      <c r="CA40" s="58">
        <v>147.21100000000001</v>
      </c>
      <c r="CB40" s="58">
        <v>49.399000000000001</v>
      </c>
      <c r="CC40" s="58">
        <v>347.94900000000001</v>
      </c>
      <c r="CD40" s="58">
        <v>135.37299999999999</v>
      </c>
      <c r="CE40" s="58">
        <v>212.57599999999999</v>
      </c>
      <c r="CF40" s="58">
        <v>342.43299999999999</v>
      </c>
      <c r="CG40" s="58">
        <v>143.00399999999999</v>
      </c>
      <c r="CH40" s="58">
        <v>199.429</v>
      </c>
      <c r="CI40" s="58">
        <v>2377.0729999999999</v>
      </c>
      <c r="CJ40" s="58">
        <v>1255.6880000000001</v>
      </c>
      <c r="CK40" s="58">
        <v>1121.385</v>
      </c>
      <c r="CL40" s="58">
        <v>1652.93</v>
      </c>
      <c r="CM40" s="58">
        <v>1043.6510000000001</v>
      </c>
      <c r="CN40" s="58">
        <v>609.27800000000002</v>
      </c>
      <c r="CO40" s="58">
        <v>724.14300000000003</v>
      </c>
      <c r="CP40" s="58">
        <v>212.036</v>
      </c>
      <c r="CQ40" s="58">
        <v>512.10699999999997</v>
      </c>
      <c r="CR40" s="58">
        <v>337.67200000000003</v>
      </c>
      <c r="CS40" s="58">
        <v>174.57599999999999</v>
      </c>
      <c r="CT40" s="58">
        <v>163.096</v>
      </c>
      <c r="CU40" s="58">
        <v>58.375</v>
      </c>
      <c r="CV40" s="58">
        <v>30.709</v>
      </c>
      <c r="CW40" s="58">
        <v>27.666</v>
      </c>
      <c r="CX40" s="58">
        <v>20.501999999999999</v>
      </c>
      <c r="CY40" s="58">
        <v>16.427</v>
      </c>
      <c r="CZ40" s="58">
        <v>4.0750000000000002</v>
      </c>
      <c r="DA40" s="58">
        <v>15.324999999999999</v>
      </c>
      <c r="DB40" s="58">
        <v>12.103</v>
      </c>
      <c r="DC40" s="58">
        <v>3.222</v>
      </c>
      <c r="DD40" s="58">
        <v>5.1769999999999996</v>
      </c>
      <c r="DE40" s="58">
        <v>4.3239999999999998</v>
      </c>
      <c r="DF40" s="58">
        <v>0.85299999999999998</v>
      </c>
      <c r="DG40" s="58">
        <v>37.872</v>
      </c>
      <c r="DH40" s="58">
        <v>14.282</v>
      </c>
      <c r="DI40" s="58">
        <v>23.591000000000001</v>
      </c>
      <c r="DJ40" s="58">
        <v>305.411</v>
      </c>
      <c r="DK40" s="58">
        <v>157.172</v>
      </c>
      <c r="DL40" s="58">
        <v>148.239</v>
      </c>
      <c r="DM40" s="58">
        <v>103.82899999999999</v>
      </c>
      <c r="DN40" s="58">
        <v>79.814999999999998</v>
      </c>
      <c r="DO40" s="58">
        <v>24.013999999999999</v>
      </c>
      <c r="DP40" s="58">
        <v>201.583</v>
      </c>
      <c r="DQ40" s="58">
        <v>77.356999999999999</v>
      </c>
      <c r="DR40" s="58">
        <v>124.226</v>
      </c>
      <c r="DS40" s="58">
        <v>119.66800000000001</v>
      </c>
      <c r="DT40" s="58">
        <v>92.358999999999995</v>
      </c>
      <c r="DU40" s="58">
        <v>27.309000000000001</v>
      </c>
      <c r="DV40" s="58">
        <v>218.00299999999999</v>
      </c>
      <c r="DW40" s="58">
        <v>82.215999999999994</v>
      </c>
      <c r="DX40" s="58">
        <v>135.78700000000001</v>
      </c>
      <c r="DY40" s="58">
        <v>216.90799999999999</v>
      </c>
      <c r="DZ40" s="58">
        <v>89.46</v>
      </c>
      <c r="EA40" s="58">
        <v>127.44799999999999</v>
      </c>
      <c r="EB40" s="58">
        <v>823.803</v>
      </c>
      <c r="EC40" s="58">
        <v>429.93200000000002</v>
      </c>
      <c r="ED40" s="58">
        <v>393.87</v>
      </c>
      <c r="EE40" s="58">
        <v>537.21900000000005</v>
      </c>
      <c r="EF40" s="58">
        <v>344.77499999999998</v>
      </c>
      <c r="EG40" s="58">
        <v>192.44399999999999</v>
      </c>
      <c r="EH40" s="58">
        <v>286.584</v>
      </c>
      <c r="EI40" s="58">
        <v>85.158000000000001</v>
      </c>
      <c r="EJ40" s="58">
        <v>201.42599999999999</v>
      </c>
      <c r="EK40" s="58">
        <v>121.9</v>
      </c>
      <c r="EL40" s="58">
        <v>57.420999999999999</v>
      </c>
      <c r="EM40" s="58">
        <v>64.478999999999999</v>
      </c>
      <c r="EN40" s="58">
        <v>19.667000000000002</v>
      </c>
      <c r="EO40" s="58">
        <v>11.036</v>
      </c>
      <c r="EP40" s="58">
        <v>8.6310000000000002</v>
      </c>
      <c r="EQ40" s="58">
        <v>8.9540000000000006</v>
      </c>
      <c r="ER40" s="58">
        <v>6.1609999999999996</v>
      </c>
      <c r="ES40" s="58">
        <v>2.794</v>
      </c>
      <c r="ET40" s="58">
        <v>5.1340000000000003</v>
      </c>
      <c r="EU40" s="58">
        <v>4.0860000000000003</v>
      </c>
      <c r="EV40" s="58">
        <v>1.048</v>
      </c>
      <c r="EW40" s="58">
        <v>3.82</v>
      </c>
      <c r="EX40" s="58">
        <v>2.0750000000000002</v>
      </c>
      <c r="EY40" s="58">
        <v>1.746</v>
      </c>
      <c r="EZ40" s="58">
        <v>10.712</v>
      </c>
      <c r="FA40" s="58">
        <v>4.875</v>
      </c>
      <c r="FB40" s="58">
        <v>5.8369999999999997</v>
      </c>
      <c r="FC40" s="58">
        <v>111.768</v>
      </c>
      <c r="FD40" s="58">
        <v>51.768000000000001</v>
      </c>
      <c r="FE40" s="58">
        <v>60.000999999999998</v>
      </c>
      <c r="FF40" s="58">
        <v>29.489000000000001</v>
      </c>
      <c r="FG40" s="58">
        <v>20.100000000000001</v>
      </c>
      <c r="FH40" s="58">
        <v>9.39</v>
      </c>
      <c r="FI40" s="58">
        <v>82.278999999999996</v>
      </c>
      <c r="FJ40" s="58">
        <v>31.667999999999999</v>
      </c>
      <c r="FK40" s="58">
        <v>50.610999999999997</v>
      </c>
      <c r="FL40" s="58">
        <v>35.801000000000002</v>
      </c>
      <c r="FM40" s="58">
        <v>24.091999999999999</v>
      </c>
      <c r="FN40" s="58">
        <v>11.71</v>
      </c>
      <c r="FO40" s="58">
        <v>86.099000000000004</v>
      </c>
      <c r="FP40" s="58">
        <v>33.33</v>
      </c>
      <c r="FQ40" s="58">
        <v>52.768999999999998</v>
      </c>
      <c r="FR40" s="58">
        <v>87.412999999999997</v>
      </c>
      <c r="FS40" s="58">
        <v>35.753999999999998</v>
      </c>
      <c r="FT40" s="58">
        <v>51.658999999999999</v>
      </c>
      <c r="FU40" s="58">
        <v>1303.877</v>
      </c>
      <c r="FV40" s="58">
        <v>712.37800000000004</v>
      </c>
      <c r="FW40" s="58">
        <v>591.49900000000002</v>
      </c>
      <c r="FX40" s="58">
        <v>890.87300000000005</v>
      </c>
      <c r="FY40" s="58">
        <v>586.30899999999997</v>
      </c>
      <c r="FZ40" s="58">
        <v>304.56400000000002</v>
      </c>
      <c r="GA40" s="58">
        <v>413.00400000000002</v>
      </c>
      <c r="GB40" s="58">
        <v>126.069</v>
      </c>
      <c r="GC40" s="58">
        <v>286.935</v>
      </c>
      <c r="GD40" s="58">
        <v>242.916</v>
      </c>
      <c r="GE40" s="58">
        <v>132.72</v>
      </c>
      <c r="GF40" s="58">
        <v>110.196</v>
      </c>
      <c r="GG40" s="58">
        <v>42.011000000000003</v>
      </c>
      <c r="GH40" s="58">
        <v>21.783999999999999</v>
      </c>
      <c r="GI40" s="58">
        <v>20.228000000000002</v>
      </c>
      <c r="GJ40" s="58">
        <v>17.728000000000002</v>
      </c>
      <c r="GK40" s="58">
        <v>12.728999999999999</v>
      </c>
      <c r="GL40" s="58">
        <v>4.9989999999999997</v>
      </c>
      <c r="GM40" s="58">
        <v>11.587</v>
      </c>
      <c r="GN40" s="58">
        <v>7.532</v>
      </c>
      <c r="GO40" s="58">
        <v>4.0549999999999997</v>
      </c>
      <c r="GP40" s="58">
        <v>6.141</v>
      </c>
      <c r="GQ40" s="58">
        <v>5.1980000000000004</v>
      </c>
      <c r="GR40" s="58">
        <v>0.94399999999999995</v>
      </c>
      <c r="GS40" s="58">
        <v>24.283000000000001</v>
      </c>
      <c r="GT40" s="58">
        <v>9.0540000000000003</v>
      </c>
      <c r="GU40" s="58">
        <v>15.228999999999999</v>
      </c>
      <c r="GV40" s="58">
        <v>221.84800000000001</v>
      </c>
      <c r="GW40" s="58">
        <v>120.782</v>
      </c>
      <c r="GX40" s="58">
        <v>101.066</v>
      </c>
      <c r="GY40" s="58">
        <v>95.046000000000006</v>
      </c>
      <c r="GZ40" s="58">
        <v>71.344999999999999</v>
      </c>
      <c r="HA40" s="58">
        <v>23.701000000000001</v>
      </c>
      <c r="HB40" s="58">
        <v>126.80200000000001</v>
      </c>
      <c r="HC40" s="58">
        <v>49.436999999999998</v>
      </c>
      <c r="HD40" s="58">
        <v>77.364999999999995</v>
      </c>
      <c r="HE40" s="58">
        <v>105.752</v>
      </c>
      <c r="HF40" s="58">
        <v>78.638999999999996</v>
      </c>
      <c r="HG40" s="58">
        <v>27.114000000000001</v>
      </c>
      <c r="HH40" s="58">
        <v>137.16300000000001</v>
      </c>
      <c r="HI40" s="58">
        <v>54.081000000000003</v>
      </c>
      <c r="HJ40" s="58">
        <v>83.081999999999994</v>
      </c>
      <c r="HK40" s="58">
        <v>138.38900000000001</v>
      </c>
      <c r="HL40" s="58">
        <v>56.969000000000001</v>
      </c>
      <c r="HM40" s="58">
        <v>81.421000000000006</v>
      </c>
      <c r="HN40" s="58">
        <v>242.11</v>
      </c>
      <c r="HO40" s="58">
        <v>129.18700000000001</v>
      </c>
      <c r="HP40" s="58">
        <v>112.922</v>
      </c>
      <c r="HQ40" s="58">
        <v>154.916</v>
      </c>
      <c r="HR40" s="58">
        <v>103.197</v>
      </c>
      <c r="HS40" s="58">
        <v>51.719000000000001</v>
      </c>
      <c r="HT40" s="58">
        <v>87.194000000000003</v>
      </c>
      <c r="HU40" s="58">
        <v>25.99</v>
      </c>
      <c r="HV40" s="58">
        <v>61.204000000000001</v>
      </c>
      <c r="HW40" s="58">
        <v>38.515000000000001</v>
      </c>
      <c r="HX40" s="58">
        <v>18.288</v>
      </c>
      <c r="HY40" s="58">
        <v>20.225999999999999</v>
      </c>
      <c r="HZ40" s="58">
        <v>6.5549999999999997</v>
      </c>
      <c r="IA40" s="58">
        <v>3.1840000000000002</v>
      </c>
      <c r="IB40" s="58">
        <v>3.371</v>
      </c>
      <c r="IC40" s="58">
        <v>2.052</v>
      </c>
      <c r="ID40" s="58">
        <v>1.081</v>
      </c>
      <c r="IE40" s="58">
        <v>0.97099999999999997</v>
      </c>
      <c r="IF40" s="58">
        <v>0.97699999999999998</v>
      </c>
      <c r="IG40" s="58">
        <v>0.47699999999999998</v>
      </c>
      <c r="IH40" s="58">
        <v>0.5</v>
      </c>
      <c r="II40" s="58">
        <v>1.075</v>
      </c>
      <c r="IJ40" s="58">
        <v>0.60399999999999998</v>
      </c>
      <c r="IK40" s="58">
        <v>0.47199999999999998</v>
      </c>
      <c r="IL40" s="58">
        <v>4.5030000000000001</v>
      </c>
      <c r="IM40" s="58">
        <v>2.1030000000000002</v>
      </c>
      <c r="IN40" s="58">
        <v>2.4</v>
      </c>
      <c r="IO40" s="58">
        <v>34.454000000000001</v>
      </c>
      <c r="IP40" s="58">
        <v>16.443999999999999</v>
      </c>
      <c r="IQ40" s="58">
        <v>18.010000000000002</v>
      </c>
    </row>
    <row r="41" spans="1:251">
      <c r="A41" s="5">
        <v>42736</v>
      </c>
      <c r="B41" s="58">
        <v>953.87199999999996</v>
      </c>
      <c r="C41" s="58">
        <v>1139.1189999999999</v>
      </c>
      <c r="D41" s="58">
        <v>356.71100000000001</v>
      </c>
      <c r="E41" s="58">
        <v>782.40800000000002</v>
      </c>
      <c r="F41" s="58">
        <v>524.654</v>
      </c>
      <c r="G41" s="58">
        <v>275.15100000000001</v>
      </c>
      <c r="H41" s="58">
        <v>249.50299999999999</v>
      </c>
      <c r="I41" s="58">
        <v>97.909000000000006</v>
      </c>
      <c r="J41" s="58">
        <v>54.381999999999998</v>
      </c>
      <c r="K41" s="58">
        <v>43.527000000000001</v>
      </c>
      <c r="L41" s="58">
        <v>40.719000000000001</v>
      </c>
      <c r="M41" s="58">
        <v>26.547999999999998</v>
      </c>
      <c r="N41" s="58">
        <v>14.170999999999999</v>
      </c>
      <c r="O41" s="58">
        <v>22.111999999999998</v>
      </c>
      <c r="P41" s="58">
        <v>13.426</v>
      </c>
      <c r="Q41" s="58">
        <v>8.6859999999999999</v>
      </c>
      <c r="R41" s="58">
        <v>18.606999999999999</v>
      </c>
      <c r="S41" s="58">
        <v>13.122</v>
      </c>
      <c r="T41" s="58">
        <v>5.4850000000000003</v>
      </c>
      <c r="U41" s="58">
        <v>57.19</v>
      </c>
      <c r="V41" s="58">
        <v>27.834</v>
      </c>
      <c r="W41" s="58">
        <v>29.356000000000002</v>
      </c>
      <c r="X41" s="58">
        <v>470.06299999999999</v>
      </c>
      <c r="Y41" s="58">
        <v>243.435</v>
      </c>
      <c r="Z41" s="58">
        <v>226.62799999999999</v>
      </c>
      <c r="AA41" s="58">
        <v>163.577</v>
      </c>
      <c r="AB41" s="58">
        <v>113.634</v>
      </c>
      <c r="AC41" s="58">
        <v>49.942999999999998</v>
      </c>
      <c r="AD41" s="58">
        <v>306.48700000000002</v>
      </c>
      <c r="AE41" s="58">
        <v>129.80099999999999</v>
      </c>
      <c r="AF41" s="58">
        <v>176.685</v>
      </c>
      <c r="AG41" s="58">
        <v>196.452</v>
      </c>
      <c r="AH41" s="58">
        <v>136.524</v>
      </c>
      <c r="AI41" s="58">
        <v>59.927999999999997</v>
      </c>
      <c r="AJ41" s="58">
        <v>328.202</v>
      </c>
      <c r="AK41" s="58">
        <v>138.62700000000001</v>
      </c>
      <c r="AL41" s="58">
        <v>189.57499999999999</v>
      </c>
      <c r="AM41" s="58">
        <v>328.59800000000001</v>
      </c>
      <c r="AN41" s="58">
        <v>143.227</v>
      </c>
      <c r="AO41" s="58">
        <v>185.37100000000001</v>
      </c>
      <c r="AP41" s="58">
        <v>3109.0909999999999</v>
      </c>
      <c r="AQ41" s="58">
        <v>1669.675</v>
      </c>
      <c r="AR41" s="58">
        <v>1439.4159999999999</v>
      </c>
      <c r="AS41" s="58">
        <v>2092.1350000000002</v>
      </c>
      <c r="AT41" s="58">
        <v>1359.73</v>
      </c>
      <c r="AU41" s="58">
        <v>732.40499999999997</v>
      </c>
      <c r="AV41" s="58">
        <v>1016.956</v>
      </c>
      <c r="AW41" s="58">
        <v>309.94499999999999</v>
      </c>
      <c r="AX41" s="58">
        <v>707.01199999999994</v>
      </c>
      <c r="AY41" s="58">
        <v>526.76599999999996</v>
      </c>
      <c r="AZ41" s="58">
        <v>270.26400000000001</v>
      </c>
      <c r="BA41" s="58">
        <v>256.50200000000001</v>
      </c>
      <c r="BB41" s="58">
        <v>104.14400000000001</v>
      </c>
      <c r="BC41" s="58">
        <v>55.689</v>
      </c>
      <c r="BD41" s="58">
        <v>48.454999999999998</v>
      </c>
      <c r="BE41" s="58">
        <v>47.183999999999997</v>
      </c>
      <c r="BF41" s="58">
        <v>34.238999999999997</v>
      </c>
      <c r="BG41" s="58">
        <v>12.944000000000001</v>
      </c>
      <c r="BH41" s="58">
        <v>25.38</v>
      </c>
      <c r="BI41" s="58">
        <v>17.166</v>
      </c>
      <c r="BJ41" s="58">
        <v>8.2140000000000004</v>
      </c>
      <c r="BK41" s="58">
        <v>21.803000000000001</v>
      </c>
      <c r="BL41" s="58">
        <v>17.073</v>
      </c>
      <c r="BM41" s="58">
        <v>4.7300000000000004</v>
      </c>
      <c r="BN41" s="58">
        <v>56.96</v>
      </c>
      <c r="BO41" s="58">
        <v>21.45</v>
      </c>
      <c r="BP41" s="58">
        <v>35.51</v>
      </c>
      <c r="BQ41" s="58">
        <v>463.44799999999998</v>
      </c>
      <c r="BR41" s="58">
        <v>231.369</v>
      </c>
      <c r="BS41" s="58">
        <v>232.078</v>
      </c>
      <c r="BT41" s="58">
        <v>173.06800000000001</v>
      </c>
      <c r="BU41" s="58">
        <v>127.896</v>
      </c>
      <c r="BV41" s="58">
        <v>45.171999999999997</v>
      </c>
      <c r="BW41" s="58">
        <v>290.38</v>
      </c>
      <c r="BX41" s="58">
        <v>103.474</v>
      </c>
      <c r="BY41" s="58">
        <v>186.90600000000001</v>
      </c>
      <c r="BZ41" s="58">
        <v>209.35499999999999</v>
      </c>
      <c r="CA41" s="58">
        <v>154.94200000000001</v>
      </c>
      <c r="CB41" s="58">
        <v>54.414000000000001</v>
      </c>
      <c r="CC41" s="58">
        <v>317.411</v>
      </c>
      <c r="CD41" s="58">
        <v>115.322</v>
      </c>
      <c r="CE41" s="58">
        <v>202.089</v>
      </c>
      <c r="CF41" s="58">
        <v>315.76</v>
      </c>
      <c r="CG41" s="58">
        <v>120.64</v>
      </c>
      <c r="CH41" s="58">
        <v>195.12</v>
      </c>
      <c r="CI41" s="58">
        <v>2327.6239999999998</v>
      </c>
      <c r="CJ41" s="58">
        <v>1229.742</v>
      </c>
      <c r="CK41" s="58">
        <v>1097.883</v>
      </c>
      <c r="CL41" s="58">
        <v>1581.2</v>
      </c>
      <c r="CM41" s="58">
        <v>999.56500000000005</v>
      </c>
      <c r="CN41" s="58">
        <v>581.63499999999999</v>
      </c>
      <c r="CO41" s="58">
        <v>746.42399999999998</v>
      </c>
      <c r="CP41" s="58">
        <v>230.17699999999999</v>
      </c>
      <c r="CQ41" s="58">
        <v>516.24699999999996</v>
      </c>
      <c r="CR41" s="58">
        <v>341.14800000000002</v>
      </c>
      <c r="CS41" s="58">
        <v>175.489</v>
      </c>
      <c r="CT41" s="58">
        <v>165.65899999999999</v>
      </c>
      <c r="CU41" s="58">
        <v>69.09</v>
      </c>
      <c r="CV41" s="58">
        <v>43.582999999999998</v>
      </c>
      <c r="CW41" s="58">
        <v>25.507000000000001</v>
      </c>
      <c r="CX41" s="58">
        <v>29.338000000000001</v>
      </c>
      <c r="CY41" s="58">
        <v>23.146000000000001</v>
      </c>
      <c r="CZ41" s="58">
        <v>6.1909999999999998</v>
      </c>
      <c r="DA41" s="58">
        <v>17.773</v>
      </c>
      <c r="DB41" s="58">
        <v>12.917999999999999</v>
      </c>
      <c r="DC41" s="58">
        <v>4.8550000000000004</v>
      </c>
      <c r="DD41" s="58">
        <v>11.565</v>
      </c>
      <c r="DE41" s="58">
        <v>10.228</v>
      </c>
      <c r="DF41" s="58">
        <v>1.3360000000000001</v>
      </c>
      <c r="DG41" s="58">
        <v>39.752000000000002</v>
      </c>
      <c r="DH41" s="58">
        <v>20.436</v>
      </c>
      <c r="DI41" s="58">
        <v>19.315999999999999</v>
      </c>
      <c r="DJ41" s="58">
        <v>301.233</v>
      </c>
      <c r="DK41" s="58">
        <v>149.08799999999999</v>
      </c>
      <c r="DL41" s="58">
        <v>152.14500000000001</v>
      </c>
      <c r="DM41" s="58">
        <v>91.938000000000002</v>
      </c>
      <c r="DN41" s="58">
        <v>62.527999999999999</v>
      </c>
      <c r="DO41" s="58">
        <v>29.41</v>
      </c>
      <c r="DP41" s="58">
        <v>209.29400000000001</v>
      </c>
      <c r="DQ41" s="58">
        <v>86.56</v>
      </c>
      <c r="DR41" s="58">
        <v>122.73399999999999</v>
      </c>
      <c r="DS41" s="58">
        <v>115.208</v>
      </c>
      <c r="DT41" s="58">
        <v>81.171999999999997</v>
      </c>
      <c r="DU41" s="58">
        <v>34.036000000000001</v>
      </c>
      <c r="DV41" s="58">
        <v>225.94</v>
      </c>
      <c r="DW41" s="58">
        <v>94.316999999999993</v>
      </c>
      <c r="DX41" s="58">
        <v>131.62299999999999</v>
      </c>
      <c r="DY41" s="58">
        <v>227.06700000000001</v>
      </c>
      <c r="DZ41" s="58">
        <v>99.477999999999994</v>
      </c>
      <c r="EA41" s="58">
        <v>127.589</v>
      </c>
      <c r="EB41" s="58">
        <v>811.02300000000002</v>
      </c>
      <c r="EC41" s="58">
        <v>425.00799999999998</v>
      </c>
      <c r="ED41" s="58">
        <v>386.01600000000002</v>
      </c>
      <c r="EE41" s="58">
        <v>527.55799999999999</v>
      </c>
      <c r="EF41" s="58">
        <v>337.2</v>
      </c>
      <c r="EG41" s="58">
        <v>190.358</v>
      </c>
      <c r="EH41" s="58">
        <v>283.46499999999997</v>
      </c>
      <c r="EI41" s="58">
        <v>87.808000000000007</v>
      </c>
      <c r="EJ41" s="58">
        <v>195.65799999999999</v>
      </c>
      <c r="EK41" s="58">
        <v>135.65299999999999</v>
      </c>
      <c r="EL41" s="58">
        <v>66.966999999999999</v>
      </c>
      <c r="EM41" s="58">
        <v>68.686000000000007</v>
      </c>
      <c r="EN41" s="58">
        <v>23.907</v>
      </c>
      <c r="EO41" s="58">
        <v>12.829000000000001</v>
      </c>
      <c r="EP41" s="58">
        <v>11.077999999999999</v>
      </c>
      <c r="EQ41" s="58">
        <v>8.6709999999999994</v>
      </c>
      <c r="ER41" s="58">
        <v>6.0830000000000002</v>
      </c>
      <c r="ES41" s="58">
        <v>2.5880000000000001</v>
      </c>
      <c r="ET41" s="58">
        <v>5.4939999999999998</v>
      </c>
      <c r="EU41" s="58">
        <v>3.9289999999999998</v>
      </c>
      <c r="EV41" s="58">
        <v>1.5660000000000001</v>
      </c>
      <c r="EW41" s="58">
        <v>3.1760000000000002</v>
      </c>
      <c r="EX41" s="58">
        <v>2.1539999999999999</v>
      </c>
      <c r="EY41" s="58">
        <v>1.022</v>
      </c>
      <c r="EZ41" s="58">
        <v>15.236000000000001</v>
      </c>
      <c r="FA41" s="58">
        <v>6.7460000000000004</v>
      </c>
      <c r="FB41" s="58">
        <v>8.49</v>
      </c>
      <c r="FC41" s="58">
        <v>122.20699999999999</v>
      </c>
      <c r="FD41" s="58">
        <v>59.295000000000002</v>
      </c>
      <c r="FE41" s="58">
        <v>62.911999999999999</v>
      </c>
      <c r="FF41" s="58">
        <v>36.439</v>
      </c>
      <c r="FG41" s="58">
        <v>26.779</v>
      </c>
      <c r="FH41" s="58">
        <v>9.66</v>
      </c>
      <c r="FI41" s="58">
        <v>85.768000000000001</v>
      </c>
      <c r="FJ41" s="58">
        <v>32.515999999999998</v>
      </c>
      <c r="FK41" s="58">
        <v>53.252000000000002</v>
      </c>
      <c r="FL41" s="58">
        <v>43.228999999999999</v>
      </c>
      <c r="FM41" s="58">
        <v>31.22</v>
      </c>
      <c r="FN41" s="58">
        <v>12.007999999999999</v>
      </c>
      <c r="FO41" s="58">
        <v>92.424000000000007</v>
      </c>
      <c r="FP41" s="58">
        <v>35.747</v>
      </c>
      <c r="FQ41" s="58">
        <v>56.677999999999997</v>
      </c>
      <c r="FR41" s="58">
        <v>91.263000000000005</v>
      </c>
      <c r="FS41" s="58">
        <v>36.445</v>
      </c>
      <c r="FT41" s="58">
        <v>54.817999999999998</v>
      </c>
      <c r="FU41" s="58">
        <v>1294.4860000000001</v>
      </c>
      <c r="FV41" s="58">
        <v>705.32</v>
      </c>
      <c r="FW41" s="58">
        <v>589.16600000000005</v>
      </c>
      <c r="FX41" s="58">
        <v>874.72400000000005</v>
      </c>
      <c r="FY41" s="58">
        <v>581.25</v>
      </c>
      <c r="FZ41" s="58">
        <v>293.47399999999999</v>
      </c>
      <c r="GA41" s="58">
        <v>419.762</v>
      </c>
      <c r="GB41" s="58">
        <v>124.07</v>
      </c>
      <c r="GC41" s="58">
        <v>295.69200000000001</v>
      </c>
      <c r="GD41" s="58">
        <v>230.99</v>
      </c>
      <c r="GE41" s="58">
        <v>127.67</v>
      </c>
      <c r="GF41" s="58">
        <v>103.32</v>
      </c>
      <c r="GG41" s="58">
        <v>40.546999999999997</v>
      </c>
      <c r="GH41" s="58">
        <v>25.283000000000001</v>
      </c>
      <c r="GI41" s="58">
        <v>15.263999999999999</v>
      </c>
      <c r="GJ41" s="58">
        <v>16.309999999999999</v>
      </c>
      <c r="GK41" s="58">
        <v>14.131</v>
      </c>
      <c r="GL41" s="58">
        <v>2.1789999999999998</v>
      </c>
      <c r="GM41" s="58">
        <v>11.156000000000001</v>
      </c>
      <c r="GN41" s="58">
        <v>8.9770000000000003</v>
      </c>
      <c r="GO41" s="58">
        <v>2.1789999999999998</v>
      </c>
      <c r="GP41" s="58">
        <v>5.1539999999999999</v>
      </c>
      <c r="GQ41" s="58">
        <v>5.1539999999999999</v>
      </c>
      <c r="GR41" s="58">
        <v>0</v>
      </c>
      <c r="GS41" s="58">
        <v>24.238</v>
      </c>
      <c r="GT41" s="58">
        <v>11.153</v>
      </c>
      <c r="GU41" s="58">
        <v>13.085000000000001</v>
      </c>
      <c r="GV41" s="58">
        <v>213.35400000000001</v>
      </c>
      <c r="GW41" s="58">
        <v>114.59699999999999</v>
      </c>
      <c r="GX41" s="58">
        <v>98.757999999999996</v>
      </c>
      <c r="GY41" s="58">
        <v>81.078999999999994</v>
      </c>
      <c r="GZ41" s="58">
        <v>64.471000000000004</v>
      </c>
      <c r="HA41" s="58">
        <v>16.608000000000001</v>
      </c>
      <c r="HB41" s="58">
        <v>132.27600000000001</v>
      </c>
      <c r="HC41" s="58">
        <v>50.125999999999998</v>
      </c>
      <c r="HD41" s="58">
        <v>82.15</v>
      </c>
      <c r="HE41" s="58">
        <v>91.567999999999998</v>
      </c>
      <c r="HF41" s="58">
        <v>73.540999999999997</v>
      </c>
      <c r="HG41" s="58">
        <v>18.027000000000001</v>
      </c>
      <c r="HH41" s="58">
        <v>139.422</v>
      </c>
      <c r="HI41" s="58">
        <v>54.13</v>
      </c>
      <c r="HJ41" s="58">
        <v>85.293000000000006</v>
      </c>
      <c r="HK41" s="58">
        <v>143.43100000000001</v>
      </c>
      <c r="HL41" s="58">
        <v>59.103000000000002</v>
      </c>
      <c r="HM41" s="58">
        <v>84.328000000000003</v>
      </c>
      <c r="HN41" s="58">
        <v>239.553</v>
      </c>
      <c r="HO41" s="58">
        <v>128.684</v>
      </c>
      <c r="HP41" s="58">
        <v>110.869</v>
      </c>
      <c r="HQ41" s="58">
        <v>152.04900000000001</v>
      </c>
      <c r="HR41" s="58">
        <v>103.376</v>
      </c>
      <c r="HS41" s="58">
        <v>48.673000000000002</v>
      </c>
      <c r="HT41" s="58">
        <v>87.504000000000005</v>
      </c>
      <c r="HU41" s="58">
        <v>25.308</v>
      </c>
      <c r="HV41" s="58">
        <v>62.195999999999998</v>
      </c>
      <c r="HW41" s="58">
        <v>36.448999999999998</v>
      </c>
      <c r="HX41" s="58">
        <v>19.077000000000002</v>
      </c>
      <c r="HY41" s="58">
        <v>17.373000000000001</v>
      </c>
      <c r="HZ41" s="58">
        <v>5.8810000000000002</v>
      </c>
      <c r="IA41" s="58">
        <v>3.07</v>
      </c>
      <c r="IB41" s="58">
        <v>2.8109999999999999</v>
      </c>
      <c r="IC41" s="58">
        <v>1.915</v>
      </c>
      <c r="ID41" s="58">
        <v>1.3480000000000001</v>
      </c>
      <c r="IE41" s="58">
        <v>0.56699999999999995</v>
      </c>
      <c r="IF41" s="58">
        <v>1.1479999999999999</v>
      </c>
      <c r="IG41" s="58">
        <v>0.92800000000000005</v>
      </c>
      <c r="IH41" s="58">
        <v>0.221</v>
      </c>
      <c r="II41" s="58">
        <v>0.76600000000000001</v>
      </c>
      <c r="IJ41" s="58">
        <v>0.42099999999999999</v>
      </c>
      <c r="IK41" s="58">
        <v>0.34599999999999997</v>
      </c>
      <c r="IL41" s="58">
        <v>3.9660000000000002</v>
      </c>
      <c r="IM41" s="58">
        <v>1.722</v>
      </c>
      <c r="IN41" s="58">
        <v>2.2440000000000002</v>
      </c>
      <c r="IO41" s="58">
        <v>33.328000000000003</v>
      </c>
      <c r="IP41" s="58">
        <v>17.356999999999999</v>
      </c>
      <c r="IQ41" s="58">
        <v>15.972</v>
      </c>
    </row>
    <row r="42" spans="1:251">
      <c r="A42" s="5">
        <v>42767</v>
      </c>
      <c r="B42" s="58">
        <v>978.36599999999999</v>
      </c>
      <c r="C42" s="58">
        <v>1141.771</v>
      </c>
      <c r="D42" s="58">
        <v>360.29700000000003</v>
      </c>
      <c r="E42" s="58">
        <v>781.47400000000005</v>
      </c>
      <c r="F42" s="58">
        <v>524.86900000000003</v>
      </c>
      <c r="G42" s="58">
        <v>270.67500000000001</v>
      </c>
      <c r="H42" s="58">
        <v>254.19399999999999</v>
      </c>
      <c r="I42" s="58">
        <v>103.014</v>
      </c>
      <c r="J42" s="58">
        <v>52.954000000000001</v>
      </c>
      <c r="K42" s="58">
        <v>50.06</v>
      </c>
      <c r="L42" s="58">
        <v>39.191000000000003</v>
      </c>
      <c r="M42" s="58">
        <v>26.01</v>
      </c>
      <c r="N42" s="58">
        <v>13.180999999999999</v>
      </c>
      <c r="O42" s="58">
        <v>19.956</v>
      </c>
      <c r="P42" s="58">
        <v>11.648</v>
      </c>
      <c r="Q42" s="58">
        <v>8.3079999999999998</v>
      </c>
      <c r="R42" s="58">
        <v>19.234999999999999</v>
      </c>
      <c r="S42" s="58">
        <v>14.361000000000001</v>
      </c>
      <c r="T42" s="58">
        <v>4.8739999999999997</v>
      </c>
      <c r="U42" s="58">
        <v>63.823</v>
      </c>
      <c r="V42" s="58">
        <v>26.943999999999999</v>
      </c>
      <c r="W42" s="58">
        <v>36.878999999999998</v>
      </c>
      <c r="X42" s="58">
        <v>470.65300000000002</v>
      </c>
      <c r="Y42" s="58">
        <v>241.881</v>
      </c>
      <c r="Z42" s="58">
        <v>228.77199999999999</v>
      </c>
      <c r="AA42" s="58">
        <v>178.797</v>
      </c>
      <c r="AB42" s="58">
        <v>132.976</v>
      </c>
      <c r="AC42" s="58">
        <v>45.820999999999998</v>
      </c>
      <c r="AD42" s="58">
        <v>291.85599999999999</v>
      </c>
      <c r="AE42" s="58">
        <v>108.905</v>
      </c>
      <c r="AF42" s="58">
        <v>182.95099999999999</v>
      </c>
      <c r="AG42" s="58">
        <v>206.214</v>
      </c>
      <c r="AH42" s="58">
        <v>151.577</v>
      </c>
      <c r="AI42" s="58">
        <v>54.637</v>
      </c>
      <c r="AJ42" s="58">
        <v>318.65600000000001</v>
      </c>
      <c r="AK42" s="58">
        <v>119.098</v>
      </c>
      <c r="AL42" s="58">
        <v>199.55699999999999</v>
      </c>
      <c r="AM42" s="58">
        <v>311.81200000000001</v>
      </c>
      <c r="AN42" s="58">
        <v>120.554</v>
      </c>
      <c r="AO42" s="58">
        <v>191.25899999999999</v>
      </c>
      <c r="AP42" s="58">
        <v>3192.3589999999999</v>
      </c>
      <c r="AQ42" s="58">
        <v>1713.9680000000001</v>
      </c>
      <c r="AR42" s="58">
        <v>1478.3910000000001</v>
      </c>
      <c r="AS42" s="58">
        <v>2146.989</v>
      </c>
      <c r="AT42" s="58">
        <v>1389.1020000000001</v>
      </c>
      <c r="AU42" s="58">
        <v>757.88800000000003</v>
      </c>
      <c r="AV42" s="58">
        <v>1045.3699999999999</v>
      </c>
      <c r="AW42" s="58">
        <v>324.86700000000002</v>
      </c>
      <c r="AX42" s="58">
        <v>720.50300000000004</v>
      </c>
      <c r="AY42" s="58">
        <v>503.34500000000003</v>
      </c>
      <c r="AZ42" s="58">
        <v>266.06099999999998</v>
      </c>
      <c r="BA42" s="58">
        <v>237.28399999999999</v>
      </c>
      <c r="BB42" s="58">
        <v>95.400999999999996</v>
      </c>
      <c r="BC42" s="58">
        <v>51.314</v>
      </c>
      <c r="BD42" s="58">
        <v>44.088000000000001</v>
      </c>
      <c r="BE42" s="58">
        <v>37.218000000000004</v>
      </c>
      <c r="BF42" s="58">
        <v>26.251999999999999</v>
      </c>
      <c r="BG42" s="58">
        <v>10.965999999999999</v>
      </c>
      <c r="BH42" s="58">
        <v>17.315999999999999</v>
      </c>
      <c r="BI42" s="58">
        <v>10.685</v>
      </c>
      <c r="BJ42" s="58">
        <v>6.6310000000000002</v>
      </c>
      <c r="BK42" s="58">
        <v>19.902000000000001</v>
      </c>
      <c r="BL42" s="58">
        <v>15.567</v>
      </c>
      <c r="BM42" s="58">
        <v>4.3339999999999996</v>
      </c>
      <c r="BN42" s="58">
        <v>58.183</v>
      </c>
      <c r="BO42" s="58">
        <v>25.061</v>
      </c>
      <c r="BP42" s="58">
        <v>33.122</v>
      </c>
      <c r="BQ42" s="58">
        <v>447.68599999999998</v>
      </c>
      <c r="BR42" s="58">
        <v>235.87299999999999</v>
      </c>
      <c r="BS42" s="58">
        <v>211.81299999999999</v>
      </c>
      <c r="BT42" s="58">
        <v>165.14</v>
      </c>
      <c r="BU42" s="58">
        <v>123.117</v>
      </c>
      <c r="BV42" s="58">
        <v>42.024000000000001</v>
      </c>
      <c r="BW42" s="58">
        <v>282.54599999999999</v>
      </c>
      <c r="BX42" s="58">
        <v>112.756</v>
      </c>
      <c r="BY42" s="58">
        <v>169.79</v>
      </c>
      <c r="BZ42" s="58">
        <v>195.315</v>
      </c>
      <c r="CA42" s="58">
        <v>144.06399999999999</v>
      </c>
      <c r="CB42" s="58">
        <v>51.250999999999998</v>
      </c>
      <c r="CC42" s="58">
        <v>308.02999999999997</v>
      </c>
      <c r="CD42" s="58">
        <v>121.997</v>
      </c>
      <c r="CE42" s="58">
        <v>186.03299999999999</v>
      </c>
      <c r="CF42" s="58">
        <v>299.86200000000002</v>
      </c>
      <c r="CG42" s="58">
        <v>123.441</v>
      </c>
      <c r="CH42" s="58">
        <v>176.42099999999999</v>
      </c>
      <c r="CI42" s="58">
        <v>2360.08</v>
      </c>
      <c r="CJ42" s="58">
        <v>1242.7750000000001</v>
      </c>
      <c r="CK42" s="58">
        <v>1117.3040000000001</v>
      </c>
      <c r="CL42" s="58">
        <v>1618.162</v>
      </c>
      <c r="CM42" s="58">
        <v>1015.341</v>
      </c>
      <c r="CN42" s="58">
        <v>602.822</v>
      </c>
      <c r="CO42" s="58">
        <v>741.91700000000003</v>
      </c>
      <c r="CP42" s="58">
        <v>227.435</v>
      </c>
      <c r="CQ42" s="58">
        <v>514.48299999999995</v>
      </c>
      <c r="CR42" s="58">
        <v>364.29</v>
      </c>
      <c r="CS42" s="58">
        <v>194.71700000000001</v>
      </c>
      <c r="CT42" s="58">
        <v>169.57300000000001</v>
      </c>
      <c r="CU42" s="58">
        <v>88.754999999999995</v>
      </c>
      <c r="CV42" s="58">
        <v>52.39</v>
      </c>
      <c r="CW42" s="58">
        <v>36.366</v>
      </c>
      <c r="CX42" s="58">
        <v>42.283000000000001</v>
      </c>
      <c r="CY42" s="58">
        <v>29.460999999999999</v>
      </c>
      <c r="CZ42" s="58">
        <v>12.821999999999999</v>
      </c>
      <c r="DA42" s="58">
        <v>26.093</v>
      </c>
      <c r="DB42" s="58">
        <v>17.474</v>
      </c>
      <c r="DC42" s="58">
        <v>8.6189999999999998</v>
      </c>
      <c r="DD42" s="58">
        <v>16.190000000000001</v>
      </c>
      <c r="DE42" s="58">
        <v>11.987</v>
      </c>
      <c r="DF42" s="58">
        <v>4.2030000000000003</v>
      </c>
      <c r="DG42" s="58">
        <v>46.472000000000001</v>
      </c>
      <c r="DH42" s="58">
        <v>22.928000000000001</v>
      </c>
      <c r="DI42" s="58">
        <v>23.544</v>
      </c>
      <c r="DJ42" s="58">
        <v>317.24299999999999</v>
      </c>
      <c r="DK42" s="58">
        <v>167.86199999999999</v>
      </c>
      <c r="DL42" s="58">
        <v>149.381</v>
      </c>
      <c r="DM42" s="58">
        <v>108.148</v>
      </c>
      <c r="DN42" s="58">
        <v>78.66</v>
      </c>
      <c r="DO42" s="58">
        <v>29.488</v>
      </c>
      <c r="DP42" s="58">
        <v>209.096</v>
      </c>
      <c r="DQ42" s="58">
        <v>89.201999999999998</v>
      </c>
      <c r="DR42" s="58">
        <v>119.893</v>
      </c>
      <c r="DS42" s="58">
        <v>139.90899999999999</v>
      </c>
      <c r="DT42" s="58">
        <v>100.105</v>
      </c>
      <c r="DU42" s="58">
        <v>39.804000000000002</v>
      </c>
      <c r="DV42" s="58">
        <v>224.381</v>
      </c>
      <c r="DW42" s="58">
        <v>94.613</v>
      </c>
      <c r="DX42" s="58">
        <v>129.76900000000001</v>
      </c>
      <c r="DY42" s="58">
        <v>235.18799999999999</v>
      </c>
      <c r="DZ42" s="58">
        <v>106.67700000000001</v>
      </c>
      <c r="EA42" s="58">
        <v>128.512</v>
      </c>
      <c r="EB42" s="58">
        <v>826.39499999999998</v>
      </c>
      <c r="EC42" s="58">
        <v>433.27100000000002</v>
      </c>
      <c r="ED42" s="58">
        <v>393.12400000000002</v>
      </c>
      <c r="EE42" s="58">
        <v>529.423</v>
      </c>
      <c r="EF42" s="58">
        <v>343.28100000000001</v>
      </c>
      <c r="EG42" s="58">
        <v>186.142</v>
      </c>
      <c r="EH42" s="58">
        <v>296.971</v>
      </c>
      <c r="EI42" s="58">
        <v>89.99</v>
      </c>
      <c r="EJ42" s="58">
        <v>206.98099999999999</v>
      </c>
      <c r="EK42" s="58">
        <v>142.04900000000001</v>
      </c>
      <c r="EL42" s="58">
        <v>69.995000000000005</v>
      </c>
      <c r="EM42" s="58">
        <v>72.055000000000007</v>
      </c>
      <c r="EN42" s="58">
        <v>25.655999999999999</v>
      </c>
      <c r="EO42" s="58">
        <v>12.85</v>
      </c>
      <c r="EP42" s="58">
        <v>12.805</v>
      </c>
      <c r="EQ42" s="58">
        <v>8.4079999999999995</v>
      </c>
      <c r="ER42" s="58">
        <v>6.5750000000000002</v>
      </c>
      <c r="ES42" s="58">
        <v>1.833</v>
      </c>
      <c r="ET42" s="58">
        <v>4.76</v>
      </c>
      <c r="EU42" s="58">
        <v>3.972</v>
      </c>
      <c r="EV42" s="58">
        <v>0.78800000000000003</v>
      </c>
      <c r="EW42" s="58">
        <v>3.6480000000000001</v>
      </c>
      <c r="EX42" s="58">
        <v>2.6040000000000001</v>
      </c>
      <c r="EY42" s="58">
        <v>1.044</v>
      </c>
      <c r="EZ42" s="58">
        <v>17.248000000000001</v>
      </c>
      <c r="FA42" s="58">
        <v>6.2750000000000004</v>
      </c>
      <c r="FB42" s="58">
        <v>10.973000000000001</v>
      </c>
      <c r="FC42" s="58">
        <v>126.358</v>
      </c>
      <c r="FD42" s="58">
        <v>61.463000000000001</v>
      </c>
      <c r="FE42" s="58">
        <v>64.894999999999996</v>
      </c>
      <c r="FF42" s="58">
        <v>36.277999999999999</v>
      </c>
      <c r="FG42" s="58">
        <v>26.584</v>
      </c>
      <c r="FH42" s="58">
        <v>9.6940000000000008</v>
      </c>
      <c r="FI42" s="58">
        <v>90.08</v>
      </c>
      <c r="FJ42" s="58">
        <v>34.878999999999998</v>
      </c>
      <c r="FK42" s="58">
        <v>55.201000000000001</v>
      </c>
      <c r="FL42" s="58">
        <v>43.404000000000003</v>
      </c>
      <c r="FM42" s="58">
        <v>32.15</v>
      </c>
      <c r="FN42" s="58">
        <v>11.254</v>
      </c>
      <c r="FO42" s="58">
        <v>98.644999999999996</v>
      </c>
      <c r="FP42" s="58">
        <v>37.844999999999999</v>
      </c>
      <c r="FQ42" s="58">
        <v>60.801000000000002</v>
      </c>
      <c r="FR42" s="58">
        <v>94.84</v>
      </c>
      <c r="FS42" s="58">
        <v>38.850999999999999</v>
      </c>
      <c r="FT42" s="58">
        <v>55.988999999999997</v>
      </c>
      <c r="FU42" s="58">
        <v>1306.962</v>
      </c>
      <c r="FV42" s="58">
        <v>719.94</v>
      </c>
      <c r="FW42" s="58">
        <v>587.02200000000005</v>
      </c>
      <c r="FX42" s="58">
        <v>898.91099999999994</v>
      </c>
      <c r="FY42" s="58">
        <v>596.77499999999998</v>
      </c>
      <c r="FZ42" s="58">
        <v>302.13600000000002</v>
      </c>
      <c r="GA42" s="58">
        <v>408.05099999999999</v>
      </c>
      <c r="GB42" s="58">
        <v>123.16500000000001</v>
      </c>
      <c r="GC42" s="58">
        <v>284.88600000000002</v>
      </c>
      <c r="GD42" s="58">
        <v>247.71799999999999</v>
      </c>
      <c r="GE42" s="58">
        <v>139.03800000000001</v>
      </c>
      <c r="GF42" s="58">
        <v>108.68</v>
      </c>
      <c r="GG42" s="58">
        <v>56.249000000000002</v>
      </c>
      <c r="GH42" s="58">
        <v>34.590000000000003</v>
      </c>
      <c r="GI42" s="58">
        <v>21.658999999999999</v>
      </c>
      <c r="GJ42" s="58">
        <v>26.135999999999999</v>
      </c>
      <c r="GK42" s="58">
        <v>21.484000000000002</v>
      </c>
      <c r="GL42" s="58">
        <v>4.6520000000000001</v>
      </c>
      <c r="GM42" s="58">
        <v>14.782</v>
      </c>
      <c r="GN42" s="58">
        <v>11.861000000000001</v>
      </c>
      <c r="GO42" s="58">
        <v>2.9209999999999998</v>
      </c>
      <c r="GP42" s="58">
        <v>11.353</v>
      </c>
      <c r="GQ42" s="58">
        <v>9.6219999999999999</v>
      </c>
      <c r="GR42" s="58">
        <v>1.7310000000000001</v>
      </c>
      <c r="GS42" s="58">
        <v>30.113</v>
      </c>
      <c r="GT42" s="58">
        <v>13.106</v>
      </c>
      <c r="GU42" s="58">
        <v>17.007000000000001</v>
      </c>
      <c r="GV42" s="58">
        <v>219.62100000000001</v>
      </c>
      <c r="GW42" s="58">
        <v>121.033</v>
      </c>
      <c r="GX42" s="58">
        <v>98.587999999999994</v>
      </c>
      <c r="GY42" s="58">
        <v>85.914000000000001</v>
      </c>
      <c r="GZ42" s="58">
        <v>66.058000000000007</v>
      </c>
      <c r="HA42" s="58">
        <v>19.856000000000002</v>
      </c>
      <c r="HB42" s="58">
        <v>133.70599999999999</v>
      </c>
      <c r="HC42" s="58">
        <v>54.975000000000001</v>
      </c>
      <c r="HD42" s="58">
        <v>78.730999999999995</v>
      </c>
      <c r="HE42" s="58">
        <v>102.845</v>
      </c>
      <c r="HF42" s="58">
        <v>79.837999999999994</v>
      </c>
      <c r="HG42" s="58">
        <v>23.007000000000001</v>
      </c>
      <c r="HH42" s="58">
        <v>144.87299999999999</v>
      </c>
      <c r="HI42" s="58">
        <v>59.201000000000001</v>
      </c>
      <c r="HJ42" s="58">
        <v>85.673000000000002</v>
      </c>
      <c r="HK42" s="58">
        <v>148.489</v>
      </c>
      <c r="HL42" s="58">
        <v>66.835999999999999</v>
      </c>
      <c r="HM42" s="58">
        <v>81.652000000000001</v>
      </c>
      <c r="HN42" s="58">
        <v>240.94900000000001</v>
      </c>
      <c r="HO42" s="58">
        <v>128.68</v>
      </c>
      <c r="HP42" s="58">
        <v>112.26900000000001</v>
      </c>
      <c r="HQ42" s="58">
        <v>154.73500000000001</v>
      </c>
      <c r="HR42" s="58">
        <v>103.239</v>
      </c>
      <c r="HS42" s="58">
        <v>51.496000000000002</v>
      </c>
      <c r="HT42" s="58">
        <v>86.213999999999999</v>
      </c>
      <c r="HU42" s="58">
        <v>25.440999999999999</v>
      </c>
      <c r="HV42" s="58">
        <v>60.773000000000003</v>
      </c>
      <c r="HW42" s="58">
        <v>37.362000000000002</v>
      </c>
      <c r="HX42" s="58">
        <v>19.337</v>
      </c>
      <c r="HY42" s="58">
        <v>18.024000000000001</v>
      </c>
      <c r="HZ42" s="58">
        <v>7.1909999999999998</v>
      </c>
      <c r="IA42" s="58">
        <v>4.1959999999999997</v>
      </c>
      <c r="IB42" s="58">
        <v>2.9950000000000001</v>
      </c>
      <c r="IC42" s="58">
        <v>2.673</v>
      </c>
      <c r="ID42" s="58">
        <v>2.0190000000000001</v>
      </c>
      <c r="IE42" s="58">
        <v>0.65400000000000003</v>
      </c>
      <c r="IF42" s="58">
        <v>1.1950000000000001</v>
      </c>
      <c r="IG42" s="58">
        <v>0.89400000000000002</v>
      </c>
      <c r="IH42" s="58">
        <v>0.30099999999999999</v>
      </c>
      <c r="II42" s="58">
        <v>1.478</v>
      </c>
      <c r="IJ42" s="58">
        <v>1.125</v>
      </c>
      <c r="IK42" s="58">
        <v>0.35299999999999998</v>
      </c>
      <c r="IL42" s="58">
        <v>4.5179999999999998</v>
      </c>
      <c r="IM42" s="58">
        <v>2.1760000000000002</v>
      </c>
      <c r="IN42" s="58">
        <v>2.3410000000000002</v>
      </c>
      <c r="IO42" s="58">
        <v>32.566000000000003</v>
      </c>
      <c r="IP42" s="58">
        <v>16.385999999999999</v>
      </c>
      <c r="IQ42" s="58">
        <v>16.181000000000001</v>
      </c>
    </row>
    <row r="43" spans="1:251">
      <c r="A43" s="5">
        <v>42795</v>
      </c>
      <c r="B43" s="58">
        <v>963.31200000000001</v>
      </c>
      <c r="C43" s="58">
        <v>1191.9490000000001</v>
      </c>
      <c r="D43" s="58">
        <v>377.40600000000001</v>
      </c>
      <c r="E43" s="58">
        <v>814.54399999999998</v>
      </c>
      <c r="F43" s="58">
        <v>509.23</v>
      </c>
      <c r="G43" s="58">
        <v>269.88099999999997</v>
      </c>
      <c r="H43" s="58">
        <v>239.34899999999999</v>
      </c>
      <c r="I43" s="58">
        <v>97.894000000000005</v>
      </c>
      <c r="J43" s="58">
        <v>54.177999999999997</v>
      </c>
      <c r="K43" s="58">
        <v>43.716000000000001</v>
      </c>
      <c r="L43" s="58">
        <v>34.99</v>
      </c>
      <c r="M43" s="58">
        <v>27.927</v>
      </c>
      <c r="N43" s="58">
        <v>7.0629999999999997</v>
      </c>
      <c r="O43" s="58">
        <v>17.805</v>
      </c>
      <c r="P43" s="58">
        <v>13.24</v>
      </c>
      <c r="Q43" s="58">
        <v>4.5650000000000004</v>
      </c>
      <c r="R43" s="58">
        <v>17.184000000000001</v>
      </c>
      <c r="S43" s="58">
        <v>14.686999999999999</v>
      </c>
      <c r="T43" s="58">
        <v>2.4980000000000002</v>
      </c>
      <c r="U43" s="58">
        <v>62.904000000000003</v>
      </c>
      <c r="V43" s="58">
        <v>26.251999999999999</v>
      </c>
      <c r="W43" s="58">
        <v>36.652999999999999</v>
      </c>
      <c r="X43" s="58">
        <v>443.46100000000001</v>
      </c>
      <c r="Y43" s="58">
        <v>234.42400000000001</v>
      </c>
      <c r="Z43" s="58">
        <v>209.03700000000001</v>
      </c>
      <c r="AA43" s="58">
        <v>161.16399999999999</v>
      </c>
      <c r="AB43" s="58">
        <v>121.58</v>
      </c>
      <c r="AC43" s="58">
        <v>39.582999999999998</v>
      </c>
      <c r="AD43" s="58">
        <v>282.29700000000003</v>
      </c>
      <c r="AE43" s="58">
        <v>112.84399999999999</v>
      </c>
      <c r="AF43" s="58">
        <v>169.453</v>
      </c>
      <c r="AG43" s="58">
        <v>188.976</v>
      </c>
      <c r="AH43" s="58">
        <v>143.41499999999999</v>
      </c>
      <c r="AI43" s="58">
        <v>45.561999999999998</v>
      </c>
      <c r="AJ43" s="58">
        <v>320.25400000000002</v>
      </c>
      <c r="AK43" s="58">
        <v>126.467</v>
      </c>
      <c r="AL43" s="58">
        <v>193.78700000000001</v>
      </c>
      <c r="AM43" s="58">
        <v>300.10199999999998</v>
      </c>
      <c r="AN43" s="58">
        <v>126.084</v>
      </c>
      <c r="AO43" s="58">
        <v>174.01900000000001</v>
      </c>
      <c r="AP43" s="58">
        <v>3174.67</v>
      </c>
      <c r="AQ43" s="58">
        <v>1700.749</v>
      </c>
      <c r="AR43" s="58">
        <v>1473.921</v>
      </c>
      <c r="AS43" s="58">
        <v>2137.6179999999999</v>
      </c>
      <c r="AT43" s="58">
        <v>1372.2149999999999</v>
      </c>
      <c r="AU43" s="58">
        <v>765.40200000000004</v>
      </c>
      <c r="AV43" s="58">
        <v>1037.0519999999999</v>
      </c>
      <c r="AW43" s="58">
        <v>328.53399999999999</v>
      </c>
      <c r="AX43" s="58">
        <v>708.51800000000003</v>
      </c>
      <c r="AY43" s="58">
        <v>494.83800000000002</v>
      </c>
      <c r="AZ43" s="58">
        <v>262.84899999999999</v>
      </c>
      <c r="BA43" s="58">
        <v>231.989</v>
      </c>
      <c r="BB43" s="58">
        <v>93.873000000000005</v>
      </c>
      <c r="BC43" s="58">
        <v>53.838000000000001</v>
      </c>
      <c r="BD43" s="58">
        <v>40.036000000000001</v>
      </c>
      <c r="BE43" s="58">
        <v>31.062000000000001</v>
      </c>
      <c r="BF43" s="58">
        <v>23.785</v>
      </c>
      <c r="BG43" s="58">
        <v>7.2770000000000001</v>
      </c>
      <c r="BH43" s="58">
        <v>16.006</v>
      </c>
      <c r="BI43" s="58">
        <v>12.67</v>
      </c>
      <c r="BJ43" s="58">
        <v>3.3359999999999999</v>
      </c>
      <c r="BK43" s="58">
        <v>15.055999999999999</v>
      </c>
      <c r="BL43" s="58">
        <v>11.115</v>
      </c>
      <c r="BM43" s="58">
        <v>3.9409999999999998</v>
      </c>
      <c r="BN43" s="58">
        <v>62.811999999999998</v>
      </c>
      <c r="BO43" s="58">
        <v>30.053000000000001</v>
      </c>
      <c r="BP43" s="58">
        <v>32.759</v>
      </c>
      <c r="BQ43" s="58">
        <v>440.04599999999999</v>
      </c>
      <c r="BR43" s="58">
        <v>232.01900000000001</v>
      </c>
      <c r="BS43" s="58">
        <v>208.02799999999999</v>
      </c>
      <c r="BT43" s="58">
        <v>163.77699999999999</v>
      </c>
      <c r="BU43" s="58">
        <v>124.178</v>
      </c>
      <c r="BV43" s="58">
        <v>39.6</v>
      </c>
      <c r="BW43" s="58">
        <v>276.26900000000001</v>
      </c>
      <c r="BX43" s="58">
        <v>107.84099999999999</v>
      </c>
      <c r="BY43" s="58">
        <v>168.428</v>
      </c>
      <c r="BZ43" s="58">
        <v>189.31100000000001</v>
      </c>
      <c r="CA43" s="58">
        <v>143.30099999999999</v>
      </c>
      <c r="CB43" s="58">
        <v>46.01</v>
      </c>
      <c r="CC43" s="58">
        <v>305.52699999999999</v>
      </c>
      <c r="CD43" s="58">
        <v>119.548</v>
      </c>
      <c r="CE43" s="58">
        <v>185.97900000000001</v>
      </c>
      <c r="CF43" s="58">
        <v>292.27499999999998</v>
      </c>
      <c r="CG43" s="58">
        <v>120.511</v>
      </c>
      <c r="CH43" s="58">
        <v>171.76400000000001</v>
      </c>
      <c r="CI43" s="58">
        <v>2374.6</v>
      </c>
      <c r="CJ43" s="58">
        <v>1244.0350000000001</v>
      </c>
      <c r="CK43" s="58">
        <v>1130.5650000000001</v>
      </c>
      <c r="CL43" s="58">
        <v>1626.038</v>
      </c>
      <c r="CM43" s="58">
        <v>1011.8819999999999</v>
      </c>
      <c r="CN43" s="58">
        <v>614.15599999999995</v>
      </c>
      <c r="CO43" s="58">
        <v>748.56200000000001</v>
      </c>
      <c r="CP43" s="58">
        <v>232.15299999999999</v>
      </c>
      <c r="CQ43" s="58">
        <v>516.40899999999999</v>
      </c>
      <c r="CR43" s="58">
        <v>344.03699999999998</v>
      </c>
      <c r="CS43" s="58">
        <v>182.471</v>
      </c>
      <c r="CT43" s="58">
        <v>161.566</v>
      </c>
      <c r="CU43" s="58">
        <v>86.772999999999996</v>
      </c>
      <c r="CV43" s="58">
        <v>53.307000000000002</v>
      </c>
      <c r="CW43" s="58">
        <v>33.466000000000001</v>
      </c>
      <c r="CX43" s="58">
        <v>32.75</v>
      </c>
      <c r="CY43" s="58">
        <v>26.649000000000001</v>
      </c>
      <c r="CZ43" s="58">
        <v>6.1</v>
      </c>
      <c r="DA43" s="58">
        <v>23.204999999999998</v>
      </c>
      <c r="DB43" s="58">
        <v>18.135000000000002</v>
      </c>
      <c r="DC43" s="58">
        <v>5.07</v>
      </c>
      <c r="DD43" s="58">
        <v>9.5449999999999999</v>
      </c>
      <c r="DE43" s="58">
        <v>8.5139999999999993</v>
      </c>
      <c r="DF43" s="58">
        <v>1.0309999999999999</v>
      </c>
      <c r="DG43" s="58">
        <v>54.023000000000003</v>
      </c>
      <c r="DH43" s="58">
        <v>26.658000000000001</v>
      </c>
      <c r="DI43" s="58">
        <v>27.364999999999998</v>
      </c>
      <c r="DJ43" s="58">
        <v>303.01100000000002</v>
      </c>
      <c r="DK43" s="58">
        <v>157.39599999999999</v>
      </c>
      <c r="DL43" s="58">
        <v>145.61500000000001</v>
      </c>
      <c r="DM43" s="58">
        <v>107.411</v>
      </c>
      <c r="DN43" s="58">
        <v>78.736000000000004</v>
      </c>
      <c r="DO43" s="58">
        <v>28.675000000000001</v>
      </c>
      <c r="DP43" s="58">
        <v>195.6</v>
      </c>
      <c r="DQ43" s="58">
        <v>78.66</v>
      </c>
      <c r="DR43" s="58">
        <v>116.94</v>
      </c>
      <c r="DS43" s="58">
        <v>128.441</v>
      </c>
      <c r="DT43" s="58">
        <v>94.921999999999997</v>
      </c>
      <c r="DU43" s="58">
        <v>33.518999999999998</v>
      </c>
      <c r="DV43" s="58">
        <v>215.596</v>
      </c>
      <c r="DW43" s="58">
        <v>87.549000000000007</v>
      </c>
      <c r="DX43" s="58">
        <v>128.04599999999999</v>
      </c>
      <c r="DY43" s="58">
        <v>218.804</v>
      </c>
      <c r="DZ43" s="58">
        <v>96.795000000000002</v>
      </c>
      <c r="EA43" s="58">
        <v>122.009</v>
      </c>
      <c r="EB43" s="58">
        <v>823.60299999999995</v>
      </c>
      <c r="EC43" s="58">
        <v>435.58</v>
      </c>
      <c r="ED43" s="58">
        <v>388.02199999999999</v>
      </c>
      <c r="EE43" s="58">
        <v>529.298</v>
      </c>
      <c r="EF43" s="58">
        <v>347.34100000000001</v>
      </c>
      <c r="EG43" s="58">
        <v>181.95699999999999</v>
      </c>
      <c r="EH43" s="58">
        <v>294.30500000000001</v>
      </c>
      <c r="EI43" s="58">
        <v>88.239000000000004</v>
      </c>
      <c r="EJ43" s="58">
        <v>206.066</v>
      </c>
      <c r="EK43" s="58">
        <v>136.43899999999999</v>
      </c>
      <c r="EL43" s="58">
        <v>66.222999999999999</v>
      </c>
      <c r="EM43" s="58">
        <v>70.215999999999994</v>
      </c>
      <c r="EN43" s="58">
        <v>30.024999999999999</v>
      </c>
      <c r="EO43" s="58">
        <v>16.263999999999999</v>
      </c>
      <c r="EP43" s="58">
        <v>13.760999999999999</v>
      </c>
      <c r="EQ43" s="58">
        <v>9.9339999999999993</v>
      </c>
      <c r="ER43" s="58">
        <v>8.1319999999999997</v>
      </c>
      <c r="ES43" s="58">
        <v>1.802</v>
      </c>
      <c r="ET43" s="58">
        <v>5.5869999999999997</v>
      </c>
      <c r="EU43" s="58">
        <v>4.0670000000000002</v>
      </c>
      <c r="EV43" s="58">
        <v>1.52</v>
      </c>
      <c r="EW43" s="58">
        <v>4.3470000000000004</v>
      </c>
      <c r="EX43" s="58">
        <v>4.0650000000000004</v>
      </c>
      <c r="EY43" s="58">
        <v>0.28299999999999997</v>
      </c>
      <c r="EZ43" s="58">
        <v>20.091000000000001</v>
      </c>
      <c r="FA43" s="58">
        <v>8.1319999999999997</v>
      </c>
      <c r="FB43" s="58">
        <v>11.959</v>
      </c>
      <c r="FC43" s="58">
        <v>118.592</v>
      </c>
      <c r="FD43" s="58">
        <v>55.488999999999997</v>
      </c>
      <c r="FE43" s="58">
        <v>63.103000000000002</v>
      </c>
      <c r="FF43" s="58">
        <v>35.350999999999999</v>
      </c>
      <c r="FG43" s="58">
        <v>27.045999999999999</v>
      </c>
      <c r="FH43" s="58">
        <v>8.3049999999999997</v>
      </c>
      <c r="FI43" s="58">
        <v>83.241</v>
      </c>
      <c r="FJ43" s="58">
        <v>28.443000000000001</v>
      </c>
      <c r="FK43" s="58">
        <v>54.798000000000002</v>
      </c>
      <c r="FL43" s="58">
        <v>42.905999999999999</v>
      </c>
      <c r="FM43" s="58">
        <v>33.262999999999998</v>
      </c>
      <c r="FN43" s="58">
        <v>9.6430000000000007</v>
      </c>
      <c r="FO43" s="58">
        <v>93.533000000000001</v>
      </c>
      <c r="FP43" s="58">
        <v>32.96</v>
      </c>
      <c r="FQ43" s="58">
        <v>60.573</v>
      </c>
      <c r="FR43" s="58">
        <v>88.828000000000003</v>
      </c>
      <c r="FS43" s="58">
        <v>32.51</v>
      </c>
      <c r="FT43" s="58">
        <v>56.317999999999998</v>
      </c>
      <c r="FU43" s="58">
        <v>1305.021</v>
      </c>
      <c r="FV43" s="58">
        <v>720.26</v>
      </c>
      <c r="FW43" s="58">
        <v>584.76</v>
      </c>
      <c r="FX43" s="58">
        <v>893.87400000000002</v>
      </c>
      <c r="FY43" s="58">
        <v>591.053</v>
      </c>
      <c r="FZ43" s="58">
        <v>302.82</v>
      </c>
      <c r="GA43" s="58">
        <v>411.14699999999999</v>
      </c>
      <c r="GB43" s="58">
        <v>129.20699999999999</v>
      </c>
      <c r="GC43" s="58">
        <v>281.94</v>
      </c>
      <c r="GD43" s="58">
        <v>232.971</v>
      </c>
      <c r="GE43" s="58">
        <v>126.24</v>
      </c>
      <c r="GF43" s="58">
        <v>106.732</v>
      </c>
      <c r="GG43" s="58">
        <v>44.198</v>
      </c>
      <c r="GH43" s="58">
        <v>27.605</v>
      </c>
      <c r="GI43" s="58">
        <v>16.593</v>
      </c>
      <c r="GJ43" s="58">
        <v>19.739000000000001</v>
      </c>
      <c r="GK43" s="58">
        <v>17.940000000000001</v>
      </c>
      <c r="GL43" s="58">
        <v>1.7989999999999999</v>
      </c>
      <c r="GM43" s="58">
        <v>12.754</v>
      </c>
      <c r="GN43" s="58">
        <v>11.962</v>
      </c>
      <c r="GO43" s="58">
        <v>0.79200000000000004</v>
      </c>
      <c r="GP43" s="58">
        <v>6.9850000000000003</v>
      </c>
      <c r="GQ43" s="58">
        <v>5.9779999999999998</v>
      </c>
      <c r="GR43" s="58">
        <v>1.006</v>
      </c>
      <c r="GS43" s="58">
        <v>24.459</v>
      </c>
      <c r="GT43" s="58">
        <v>9.6649999999999991</v>
      </c>
      <c r="GU43" s="58">
        <v>14.794</v>
      </c>
      <c r="GV43" s="58">
        <v>211.636</v>
      </c>
      <c r="GW43" s="58">
        <v>113.508</v>
      </c>
      <c r="GX43" s="58">
        <v>98.126999999999995</v>
      </c>
      <c r="GY43" s="58">
        <v>81.308000000000007</v>
      </c>
      <c r="GZ43" s="58">
        <v>61.774000000000001</v>
      </c>
      <c r="HA43" s="58">
        <v>19.533999999999999</v>
      </c>
      <c r="HB43" s="58">
        <v>130.328</v>
      </c>
      <c r="HC43" s="58">
        <v>51.734999999999999</v>
      </c>
      <c r="HD43" s="58">
        <v>78.593000000000004</v>
      </c>
      <c r="HE43" s="58">
        <v>91.77</v>
      </c>
      <c r="HF43" s="58">
        <v>71.23</v>
      </c>
      <c r="HG43" s="58">
        <v>20.54</v>
      </c>
      <c r="HH43" s="58">
        <v>141.20099999999999</v>
      </c>
      <c r="HI43" s="58">
        <v>55.01</v>
      </c>
      <c r="HJ43" s="58">
        <v>86.191000000000003</v>
      </c>
      <c r="HK43" s="58">
        <v>143.08199999999999</v>
      </c>
      <c r="HL43" s="58">
        <v>63.695999999999998</v>
      </c>
      <c r="HM43" s="58">
        <v>79.385000000000005</v>
      </c>
      <c r="HN43" s="58">
        <v>242.976</v>
      </c>
      <c r="HO43" s="58">
        <v>127.532</v>
      </c>
      <c r="HP43" s="58">
        <v>115.44499999999999</v>
      </c>
      <c r="HQ43" s="58">
        <v>153.77600000000001</v>
      </c>
      <c r="HR43" s="58">
        <v>101.07</v>
      </c>
      <c r="HS43" s="58">
        <v>52.706000000000003</v>
      </c>
      <c r="HT43" s="58">
        <v>89.200999999999993</v>
      </c>
      <c r="HU43" s="58">
        <v>26.462</v>
      </c>
      <c r="HV43" s="58">
        <v>62.738999999999997</v>
      </c>
      <c r="HW43" s="58">
        <v>37.475999999999999</v>
      </c>
      <c r="HX43" s="58">
        <v>17.584</v>
      </c>
      <c r="HY43" s="58">
        <v>19.891999999999999</v>
      </c>
      <c r="HZ43" s="58">
        <v>6.8040000000000003</v>
      </c>
      <c r="IA43" s="58">
        <v>2.8919999999999999</v>
      </c>
      <c r="IB43" s="58">
        <v>3.9119999999999999</v>
      </c>
      <c r="IC43" s="58">
        <v>1.758</v>
      </c>
      <c r="ID43" s="58">
        <v>0.97399999999999998</v>
      </c>
      <c r="IE43" s="58">
        <v>0.78400000000000003</v>
      </c>
      <c r="IF43" s="58">
        <v>0.63900000000000001</v>
      </c>
      <c r="IG43" s="58">
        <v>0.53500000000000003</v>
      </c>
      <c r="IH43" s="58">
        <v>0.104</v>
      </c>
      <c r="II43" s="58">
        <v>1.119</v>
      </c>
      <c r="IJ43" s="58">
        <v>0.44</v>
      </c>
      <c r="IK43" s="58">
        <v>0.68</v>
      </c>
      <c r="IL43" s="58">
        <v>5.0449999999999999</v>
      </c>
      <c r="IM43" s="58">
        <v>1.9179999999999999</v>
      </c>
      <c r="IN43" s="58">
        <v>3.1280000000000001</v>
      </c>
      <c r="IO43" s="58">
        <v>33.96</v>
      </c>
      <c r="IP43" s="58">
        <v>15.971</v>
      </c>
      <c r="IQ43" s="58">
        <v>17.989000000000001</v>
      </c>
    </row>
    <row r="44" spans="1:251">
      <c r="A44" s="5">
        <v>42826</v>
      </c>
      <c r="B44" s="58">
        <v>959.39400000000001</v>
      </c>
      <c r="C44" s="58">
        <v>1219.499</v>
      </c>
      <c r="D44" s="58">
        <v>402.649</v>
      </c>
      <c r="E44" s="58">
        <v>816.85</v>
      </c>
      <c r="F44" s="58">
        <v>540.98800000000006</v>
      </c>
      <c r="G44" s="58">
        <v>277.16699999999997</v>
      </c>
      <c r="H44" s="58">
        <v>263.82100000000003</v>
      </c>
      <c r="I44" s="58">
        <v>82.262</v>
      </c>
      <c r="J44" s="58">
        <v>43.101999999999997</v>
      </c>
      <c r="K44" s="58">
        <v>39.161000000000001</v>
      </c>
      <c r="L44" s="58">
        <v>24.765000000000001</v>
      </c>
      <c r="M44" s="58">
        <v>16.931000000000001</v>
      </c>
      <c r="N44" s="58">
        <v>7.8339999999999996</v>
      </c>
      <c r="O44" s="58">
        <v>16.847000000000001</v>
      </c>
      <c r="P44" s="58">
        <v>12.125</v>
      </c>
      <c r="Q44" s="58">
        <v>4.7229999999999999</v>
      </c>
      <c r="R44" s="58">
        <v>7.9169999999999998</v>
      </c>
      <c r="S44" s="58">
        <v>4.806</v>
      </c>
      <c r="T44" s="58">
        <v>3.1110000000000002</v>
      </c>
      <c r="U44" s="58">
        <v>57.497999999999998</v>
      </c>
      <c r="V44" s="58">
        <v>26.170999999999999</v>
      </c>
      <c r="W44" s="58">
        <v>31.327000000000002</v>
      </c>
      <c r="X44" s="58">
        <v>493.30599999999998</v>
      </c>
      <c r="Y44" s="58">
        <v>251.947</v>
      </c>
      <c r="Z44" s="58">
        <v>241.36</v>
      </c>
      <c r="AA44" s="58">
        <v>164.636</v>
      </c>
      <c r="AB44" s="58">
        <v>126.25700000000001</v>
      </c>
      <c r="AC44" s="58">
        <v>38.378</v>
      </c>
      <c r="AD44" s="58">
        <v>328.67099999999999</v>
      </c>
      <c r="AE44" s="58">
        <v>125.68899999999999</v>
      </c>
      <c r="AF44" s="58">
        <v>202.98099999999999</v>
      </c>
      <c r="AG44" s="58">
        <v>183.351</v>
      </c>
      <c r="AH44" s="58">
        <v>138.238</v>
      </c>
      <c r="AI44" s="58">
        <v>45.113</v>
      </c>
      <c r="AJ44" s="58">
        <v>357.637</v>
      </c>
      <c r="AK44" s="58">
        <v>138.929</v>
      </c>
      <c r="AL44" s="58">
        <v>218.708</v>
      </c>
      <c r="AM44" s="58">
        <v>345.51799999999997</v>
      </c>
      <c r="AN44" s="58">
        <v>137.81399999999999</v>
      </c>
      <c r="AO44" s="58">
        <v>207.70400000000001</v>
      </c>
      <c r="AP44" s="58">
        <v>3192.7939999999999</v>
      </c>
      <c r="AQ44" s="58">
        <v>1712.942</v>
      </c>
      <c r="AR44" s="58">
        <v>1479.8510000000001</v>
      </c>
      <c r="AS44" s="58">
        <v>2117.3519999999999</v>
      </c>
      <c r="AT44" s="58">
        <v>1364.0509999999999</v>
      </c>
      <c r="AU44" s="58">
        <v>753.3</v>
      </c>
      <c r="AV44" s="58">
        <v>1075.442</v>
      </c>
      <c r="AW44" s="58">
        <v>348.89100000000002</v>
      </c>
      <c r="AX44" s="58">
        <v>726.55100000000004</v>
      </c>
      <c r="AY44" s="58">
        <v>478.11099999999999</v>
      </c>
      <c r="AZ44" s="58">
        <v>245.07499999999999</v>
      </c>
      <c r="BA44" s="58">
        <v>233.036</v>
      </c>
      <c r="BB44" s="58">
        <v>80.98</v>
      </c>
      <c r="BC44" s="58">
        <v>41.753999999999998</v>
      </c>
      <c r="BD44" s="58">
        <v>39.225999999999999</v>
      </c>
      <c r="BE44" s="58">
        <v>26.776</v>
      </c>
      <c r="BF44" s="58">
        <v>18.855</v>
      </c>
      <c r="BG44" s="58">
        <v>7.9210000000000003</v>
      </c>
      <c r="BH44" s="58">
        <v>14.086</v>
      </c>
      <c r="BI44" s="58">
        <v>10.815</v>
      </c>
      <c r="BJ44" s="58">
        <v>3.2709999999999999</v>
      </c>
      <c r="BK44" s="58">
        <v>12.69</v>
      </c>
      <c r="BL44" s="58">
        <v>8.0399999999999991</v>
      </c>
      <c r="BM44" s="58">
        <v>4.6500000000000004</v>
      </c>
      <c r="BN44" s="58">
        <v>54.204000000000001</v>
      </c>
      <c r="BO44" s="58">
        <v>22.899000000000001</v>
      </c>
      <c r="BP44" s="58">
        <v>31.306000000000001</v>
      </c>
      <c r="BQ44" s="58">
        <v>436.13499999999999</v>
      </c>
      <c r="BR44" s="58">
        <v>225.101</v>
      </c>
      <c r="BS44" s="58">
        <v>211.03399999999999</v>
      </c>
      <c r="BT44" s="58">
        <v>157.46100000000001</v>
      </c>
      <c r="BU44" s="58">
        <v>110.922</v>
      </c>
      <c r="BV44" s="58">
        <v>46.539000000000001</v>
      </c>
      <c r="BW44" s="58">
        <v>278.67399999999998</v>
      </c>
      <c r="BX44" s="58">
        <v>114.179</v>
      </c>
      <c r="BY44" s="58">
        <v>164.495</v>
      </c>
      <c r="BZ44" s="58">
        <v>177.369</v>
      </c>
      <c r="CA44" s="58">
        <v>124.833</v>
      </c>
      <c r="CB44" s="58">
        <v>52.536000000000001</v>
      </c>
      <c r="CC44" s="58">
        <v>300.74200000000002</v>
      </c>
      <c r="CD44" s="58">
        <v>120.242</v>
      </c>
      <c r="CE44" s="58">
        <v>180.501</v>
      </c>
      <c r="CF44" s="58">
        <v>292.76</v>
      </c>
      <c r="CG44" s="58">
        <v>124.994</v>
      </c>
      <c r="CH44" s="58">
        <v>167.76599999999999</v>
      </c>
      <c r="CI44" s="58">
        <v>2397.9569999999999</v>
      </c>
      <c r="CJ44" s="58">
        <v>1266.9480000000001</v>
      </c>
      <c r="CK44" s="58">
        <v>1131.009</v>
      </c>
      <c r="CL44" s="58">
        <v>1645.1949999999999</v>
      </c>
      <c r="CM44" s="58">
        <v>1034.1469999999999</v>
      </c>
      <c r="CN44" s="58">
        <v>611.048</v>
      </c>
      <c r="CO44" s="58">
        <v>752.76199999999994</v>
      </c>
      <c r="CP44" s="58">
        <v>232.80099999999999</v>
      </c>
      <c r="CQ44" s="58">
        <v>519.96199999999999</v>
      </c>
      <c r="CR44" s="58">
        <v>341.24200000000002</v>
      </c>
      <c r="CS44" s="58">
        <v>183.762</v>
      </c>
      <c r="CT44" s="58">
        <v>157.47999999999999</v>
      </c>
      <c r="CU44" s="58">
        <v>62.238</v>
      </c>
      <c r="CV44" s="58">
        <v>34.56</v>
      </c>
      <c r="CW44" s="58">
        <v>27.678999999999998</v>
      </c>
      <c r="CX44" s="58">
        <v>20.303999999999998</v>
      </c>
      <c r="CY44" s="58">
        <v>14.811</v>
      </c>
      <c r="CZ44" s="58">
        <v>5.4930000000000003</v>
      </c>
      <c r="DA44" s="58">
        <v>11.141999999999999</v>
      </c>
      <c r="DB44" s="58">
        <v>7.4880000000000004</v>
      </c>
      <c r="DC44" s="58">
        <v>3.653</v>
      </c>
      <c r="DD44" s="58">
        <v>9.1630000000000003</v>
      </c>
      <c r="DE44" s="58">
        <v>7.3230000000000004</v>
      </c>
      <c r="DF44" s="58">
        <v>1.839</v>
      </c>
      <c r="DG44" s="58">
        <v>41.933999999999997</v>
      </c>
      <c r="DH44" s="58">
        <v>19.748000000000001</v>
      </c>
      <c r="DI44" s="58">
        <v>22.186</v>
      </c>
      <c r="DJ44" s="58">
        <v>305.46800000000002</v>
      </c>
      <c r="DK44" s="58">
        <v>164.69200000000001</v>
      </c>
      <c r="DL44" s="58">
        <v>140.77600000000001</v>
      </c>
      <c r="DM44" s="58">
        <v>120.578</v>
      </c>
      <c r="DN44" s="58">
        <v>91.623000000000005</v>
      </c>
      <c r="DO44" s="58">
        <v>28.954999999999998</v>
      </c>
      <c r="DP44" s="58">
        <v>184.89</v>
      </c>
      <c r="DQ44" s="58">
        <v>73.069000000000003</v>
      </c>
      <c r="DR44" s="58">
        <v>111.821</v>
      </c>
      <c r="DS44" s="58">
        <v>136.30000000000001</v>
      </c>
      <c r="DT44" s="58">
        <v>102.217</v>
      </c>
      <c r="DU44" s="58">
        <v>34.082999999999998</v>
      </c>
      <c r="DV44" s="58">
        <v>204.94200000000001</v>
      </c>
      <c r="DW44" s="58">
        <v>81.545000000000002</v>
      </c>
      <c r="DX44" s="58">
        <v>123.39700000000001</v>
      </c>
      <c r="DY44" s="58">
        <v>196.03200000000001</v>
      </c>
      <c r="DZ44" s="58">
        <v>80.557000000000002</v>
      </c>
      <c r="EA44" s="58">
        <v>115.47499999999999</v>
      </c>
      <c r="EB44" s="58">
        <v>818.726</v>
      </c>
      <c r="EC44" s="58">
        <v>436.46</v>
      </c>
      <c r="ED44" s="58">
        <v>382.26600000000002</v>
      </c>
      <c r="EE44" s="58">
        <v>531.30600000000004</v>
      </c>
      <c r="EF44" s="58">
        <v>348.226</v>
      </c>
      <c r="EG44" s="58">
        <v>183.08099999999999</v>
      </c>
      <c r="EH44" s="58">
        <v>287.42</v>
      </c>
      <c r="EI44" s="58">
        <v>88.233999999999995</v>
      </c>
      <c r="EJ44" s="58">
        <v>199.18600000000001</v>
      </c>
      <c r="EK44" s="58">
        <v>130.09200000000001</v>
      </c>
      <c r="EL44" s="58">
        <v>62.262999999999998</v>
      </c>
      <c r="EM44" s="58">
        <v>67.828000000000003</v>
      </c>
      <c r="EN44" s="58">
        <v>24.795999999999999</v>
      </c>
      <c r="EO44" s="58">
        <v>14.193</v>
      </c>
      <c r="EP44" s="58">
        <v>10.603999999999999</v>
      </c>
      <c r="EQ44" s="58">
        <v>7.5030000000000001</v>
      </c>
      <c r="ER44" s="58">
        <v>5.9710000000000001</v>
      </c>
      <c r="ES44" s="58">
        <v>1.532</v>
      </c>
      <c r="ET44" s="58">
        <v>4.7869999999999999</v>
      </c>
      <c r="EU44" s="58">
        <v>3.4849999999999999</v>
      </c>
      <c r="EV44" s="58">
        <v>1.302</v>
      </c>
      <c r="EW44" s="58">
        <v>2.7170000000000001</v>
      </c>
      <c r="EX44" s="58">
        <v>2.4860000000000002</v>
      </c>
      <c r="EY44" s="58">
        <v>0.23100000000000001</v>
      </c>
      <c r="EZ44" s="58">
        <v>17.292999999999999</v>
      </c>
      <c r="FA44" s="58">
        <v>8.2219999999999995</v>
      </c>
      <c r="FB44" s="58">
        <v>9.0709999999999997</v>
      </c>
      <c r="FC44" s="58">
        <v>116.908</v>
      </c>
      <c r="FD44" s="58">
        <v>53.52</v>
      </c>
      <c r="FE44" s="58">
        <v>63.387999999999998</v>
      </c>
      <c r="FF44" s="58">
        <v>35.783999999999999</v>
      </c>
      <c r="FG44" s="58">
        <v>25.254000000000001</v>
      </c>
      <c r="FH44" s="58">
        <v>10.53</v>
      </c>
      <c r="FI44" s="58">
        <v>81.123000000000005</v>
      </c>
      <c r="FJ44" s="58">
        <v>28.265000000000001</v>
      </c>
      <c r="FK44" s="58">
        <v>52.857999999999997</v>
      </c>
      <c r="FL44" s="58">
        <v>41.695999999999998</v>
      </c>
      <c r="FM44" s="58">
        <v>30.356000000000002</v>
      </c>
      <c r="FN44" s="58">
        <v>11.340999999999999</v>
      </c>
      <c r="FO44" s="58">
        <v>88.394999999999996</v>
      </c>
      <c r="FP44" s="58">
        <v>31.907</v>
      </c>
      <c r="FQ44" s="58">
        <v>56.488</v>
      </c>
      <c r="FR44" s="58">
        <v>85.91</v>
      </c>
      <c r="FS44" s="58">
        <v>31.75</v>
      </c>
      <c r="FT44" s="58">
        <v>54.16</v>
      </c>
      <c r="FU44" s="58">
        <v>1315.453</v>
      </c>
      <c r="FV44" s="58">
        <v>722.995</v>
      </c>
      <c r="FW44" s="58">
        <v>592.45899999999995</v>
      </c>
      <c r="FX44" s="58">
        <v>898.447</v>
      </c>
      <c r="FY44" s="58">
        <v>591.98599999999999</v>
      </c>
      <c r="FZ44" s="58">
        <v>306.46100000000001</v>
      </c>
      <c r="GA44" s="58">
        <v>417.00599999999997</v>
      </c>
      <c r="GB44" s="58">
        <v>131.00800000000001</v>
      </c>
      <c r="GC44" s="58">
        <v>285.99799999999999</v>
      </c>
      <c r="GD44" s="58">
        <v>229.85400000000001</v>
      </c>
      <c r="GE44" s="58">
        <v>121.40300000000001</v>
      </c>
      <c r="GF44" s="58">
        <v>108.45099999999999</v>
      </c>
      <c r="GG44" s="58">
        <v>31.318999999999999</v>
      </c>
      <c r="GH44" s="58">
        <v>18.361999999999998</v>
      </c>
      <c r="GI44" s="58">
        <v>12.957000000000001</v>
      </c>
      <c r="GJ44" s="58">
        <v>12.754</v>
      </c>
      <c r="GK44" s="58">
        <v>10.646000000000001</v>
      </c>
      <c r="GL44" s="58">
        <v>2.1070000000000002</v>
      </c>
      <c r="GM44" s="58">
        <v>9.8239999999999998</v>
      </c>
      <c r="GN44" s="58">
        <v>8.4359999999999999</v>
      </c>
      <c r="GO44" s="58">
        <v>1.3879999999999999</v>
      </c>
      <c r="GP44" s="58">
        <v>2.9289999999999998</v>
      </c>
      <c r="GQ44" s="58">
        <v>2.21</v>
      </c>
      <c r="GR44" s="58">
        <v>0.71899999999999997</v>
      </c>
      <c r="GS44" s="58">
        <v>18.565999999999999</v>
      </c>
      <c r="GT44" s="58">
        <v>7.7160000000000002</v>
      </c>
      <c r="GU44" s="58">
        <v>10.85</v>
      </c>
      <c r="GV44" s="58">
        <v>218.01900000000001</v>
      </c>
      <c r="GW44" s="58">
        <v>114.41500000000001</v>
      </c>
      <c r="GX44" s="58">
        <v>103.604</v>
      </c>
      <c r="GY44" s="58">
        <v>85.962999999999994</v>
      </c>
      <c r="GZ44" s="58">
        <v>62.734000000000002</v>
      </c>
      <c r="HA44" s="58">
        <v>23.228999999999999</v>
      </c>
      <c r="HB44" s="58">
        <v>132.05600000000001</v>
      </c>
      <c r="HC44" s="58">
        <v>51.682000000000002</v>
      </c>
      <c r="HD44" s="58">
        <v>80.373999999999995</v>
      </c>
      <c r="HE44" s="58">
        <v>92.138000000000005</v>
      </c>
      <c r="HF44" s="58">
        <v>67.844999999999999</v>
      </c>
      <c r="HG44" s="58">
        <v>24.294</v>
      </c>
      <c r="HH44" s="58">
        <v>137.715</v>
      </c>
      <c r="HI44" s="58">
        <v>53.558</v>
      </c>
      <c r="HJ44" s="58">
        <v>84.156999999999996</v>
      </c>
      <c r="HK44" s="58">
        <v>141.88</v>
      </c>
      <c r="HL44" s="58">
        <v>60.116999999999997</v>
      </c>
      <c r="HM44" s="58">
        <v>81.763000000000005</v>
      </c>
      <c r="HN44" s="58">
        <v>245.14</v>
      </c>
      <c r="HO44" s="58">
        <v>129.465</v>
      </c>
      <c r="HP44" s="58">
        <v>115.675</v>
      </c>
      <c r="HQ44" s="58">
        <v>153.38399999999999</v>
      </c>
      <c r="HR44" s="58">
        <v>103.877</v>
      </c>
      <c r="HS44" s="58">
        <v>49.506999999999998</v>
      </c>
      <c r="HT44" s="58">
        <v>91.756</v>
      </c>
      <c r="HU44" s="58">
        <v>25.588000000000001</v>
      </c>
      <c r="HV44" s="58">
        <v>66.168000000000006</v>
      </c>
      <c r="HW44" s="58">
        <v>39.527000000000001</v>
      </c>
      <c r="HX44" s="58">
        <v>18.504000000000001</v>
      </c>
      <c r="HY44" s="58">
        <v>21.023</v>
      </c>
      <c r="HZ44" s="58">
        <v>6.7409999999999997</v>
      </c>
      <c r="IA44" s="58">
        <v>3.4620000000000002</v>
      </c>
      <c r="IB44" s="58">
        <v>3.2789999999999999</v>
      </c>
      <c r="IC44" s="58">
        <v>2.2959999999999998</v>
      </c>
      <c r="ID44" s="58">
        <v>2.0179999999999998</v>
      </c>
      <c r="IE44" s="58">
        <v>0.27800000000000002</v>
      </c>
      <c r="IF44" s="58">
        <v>1.571</v>
      </c>
      <c r="IG44" s="58">
        <v>1.571</v>
      </c>
      <c r="IH44" s="58">
        <v>0</v>
      </c>
      <c r="II44" s="58">
        <v>0.72499999999999998</v>
      </c>
      <c r="IJ44" s="58">
        <v>0.44700000000000001</v>
      </c>
      <c r="IK44" s="58">
        <v>0.27800000000000002</v>
      </c>
      <c r="IL44" s="58">
        <v>4.4450000000000003</v>
      </c>
      <c r="IM44" s="58">
        <v>1.444</v>
      </c>
      <c r="IN44" s="58">
        <v>3.0009999999999999</v>
      </c>
      <c r="IO44" s="58">
        <v>35.350999999999999</v>
      </c>
      <c r="IP44" s="58">
        <v>16.236999999999998</v>
      </c>
      <c r="IQ44" s="58">
        <v>19.114000000000001</v>
      </c>
    </row>
    <row r="45" spans="1:251">
      <c r="A45" s="5">
        <v>42856</v>
      </c>
      <c r="B45" s="58">
        <v>1001.76</v>
      </c>
      <c r="C45" s="58">
        <v>1187.8869999999999</v>
      </c>
      <c r="D45" s="58">
        <v>386.96100000000001</v>
      </c>
      <c r="E45" s="58">
        <v>800.92600000000004</v>
      </c>
      <c r="F45" s="58">
        <v>545.851</v>
      </c>
      <c r="G45" s="58">
        <v>284.16899999999998</v>
      </c>
      <c r="H45" s="58">
        <v>261.68200000000002</v>
      </c>
      <c r="I45" s="58">
        <v>104.42100000000001</v>
      </c>
      <c r="J45" s="58">
        <v>58.625999999999998</v>
      </c>
      <c r="K45" s="58">
        <v>45.793999999999997</v>
      </c>
      <c r="L45" s="58">
        <v>39.381</v>
      </c>
      <c r="M45" s="58">
        <v>29.050999999999998</v>
      </c>
      <c r="N45" s="58">
        <v>10.33</v>
      </c>
      <c r="O45" s="58">
        <v>19.058</v>
      </c>
      <c r="P45" s="58">
        <v>15.670999999999999</v>
      </c>
      <c r="Q45" s="58">
        <v>3.3860000000000001</v>
      </c>
      <c r="R45" s="58">
        <v>20.323</v>
      </c>
      <c r="S45" s="58">
        <v>13.38</v>
      </c>
      <c r="T45" s="58">
        <v>6.9429999999999996</v>
      </c>
      <c r="U45" s="58">
        <v>65.040000000000006</v>
      </c>
      <c r="V45" s="58">
        <v>29.574999999999999</v>
      </c>
      <c r="W45" s="58">
        <v>35.465000000000003</v>
      </c>
      <c r="X45" s="58">
        <v>484.50099999999998</v>
      </c>
      <c r="Y45" s="58">
        <v>248.62100000000001</v>
      </c>
      <c r="Z45" s="58">
        <v>235.88</v>
      </c>
      <c r="AA45" s="58">
        <v>179.619</v>
      </c>
      <c r="AB45" s="58">
        <v>127.16800000000001</v>
      </c>
      <c r="AC45" s="58">
        <v>52.451000000000001</v>
      </c>
      <c r="AD45" s="58">
        <v>304.88200000000001</v>
      </c>
      <c r="AE45" s="58">
        <v>121.453</v>
      </c>
      <c r="AF45" s="58">
        <v>183.429</v>
      </c>
      <c r="AG45" s="58">
        <v>213.69499999999999</v>
      </c>
      <c r="AH45" s="58">
        <v>151.43299999999999</v>
      </c>
      <c r="AI45" s="58">
        <v>62.262</v>
      </c>
      <c r="AJ45" s="58">
        <v>332.15600000000001</v>
      </c>
      <c r="AK45" s="58">
        <v>132.73599999999999</v>
      </c>
      <c r="AL45" s="58">
        <v>199.42</v>
      </c>
      <c r="AM45" s="58">
        <v>323.94</v>
      </c>
      <c r="AN45" s="58">
        <v>137.124</v>
      </c>
      <c r="AO45" s="58">
        <v>186.815</v>
      </c>
      <c r="AP45" s="58">
        <v>3213.933</v>
      </c>
      <c r="AQ45" s="58">
        <v>1720.191</v>
      </c>
      <c r="AR45" s="58">
        <v>1493.741</v>
      </c>
      <c r="AS45" s="58">
        <v>2151.69</v>
      </c>
      <c r="AT45" s="58">
        <v>1386.509</v>
      </c>
      <c r="AU45" s="58">
        <v>765.18</v>
      </c>
      <c r="AV45" s="58">
        <v>1062.2429999999999</v>
      </c>
      <c r="AW45" s="58">
        <v>333.68200000000002</v>
      </c>
      <c r="AX45" s="58">
        <v>728.56100000000004</v>
      </c>
      <c r="AY45" s="58">
        <v>461.07799999999997</v>
      </c>
      <c r="AZ45" s="58">
        <v>242.66499999999999</v>
      </c>
      <c r="BA45" s="58">
        <v>218.41300000000001</v>
      </c>
      <c r="BB45" s="58">
        <v>95.581999999999994</v>
      </c>
      <c r="BC45" s="58">
        <v>52.103999999999999</v>
      </c>
      <c r="BD45" s="58">
        <v>43.478000000000002</v>
      </c>
      <c r="BE45" s="58">
        <v>32.905999999999999</v>
      </c>
      <c r="BF45" s="58">
        <v>24.759</v>
      </c>
      <c r="BG45" s="58">
        <v>8.1479999999999997</v>
      </c>
      <c r="BH45" s="58">
        <v>18.78</v>
      </c>
      <c r="BI45" s="58">
        <v>14.917</v>
      </c>
      <c r="BJ45" s="58">
        <v>3.863</v>
      </c>
      <c r="BK45" s="58">
        <v>14.125999999999999</v>
      </c>
      <c r="BL45" s="58">
        <v>9.8420000000000005</v>
      </c>
      <c r="BM45" s="58">
        <v>4.2839999999999998</v>
      </c>
      <c r="BN45" s="58">
        <v>62.674999999999997</v>
      </c>
      <c r="BO45" s="58">
        <v>27.344999999999999</v>
      </c>
      <c r="BP45" s="58">
        <v>35.33</v>
      </c>
      <c r="BQ45" s="58">
        <v>406.173</v>
      </c>
      <c r="BR45" s="58">
        <v>213.16200000000001</v>
      </c>
      <c r="BS45" s="58">
        <v>193.011</v>
      </c>
      <c r="BT45" s="58">
        <v>147.244</v>
      </c>
      <c r="BU45" s="58">
        <v>111.063</v>
      </c>
      <c r="BV45" s="58">
        <v>36.180999999999997</v>
      </c>
      <c r="BW45" s="58">
        <v>258.92899999999997</v>
      </c>
      <c r="BX45" s="58">
        <v>102.099</v>
      </c>
      <c r="BY45" s="58">
        <v>156.83000000000001</v>
      </c>
      <c r="BZ45" s="58">
        <v>173.86699999999999</v>
      </c>
      <c r="CA45" s="58">
        <v>129.96</v>
      </c>
      <c r="CB45" s="58">
        <v>43.906999999999996</v>
      </c>
      <c r="CC45" s="58">
        <v>287.21100000000001</v>
      </c>
      <c r="CD45" s="58">
        <v>112.705</v>
      </c>
      <c r="CE45" s="58">
        <v>174.506</v>
      </c>
      <c r="CF45" s="58">
        <v>277.70999999999998</v>
      </c>
      <c r="CG45" s="58">
        <v>117.01600000000001</v>
      </c>
      <c r="CH45" s="58">
        <v>160.69300000000001</v>
      </c>
      <c r="CI45" s="58">
        <v>2407.4870000000001</v>
      </c>
      <c r="CJ45" s="58">
        <v>1269.366</v>
      </c>
      <c r="CK45" s="58">
        <v>1138.1210000000001</v>
      </c>
      <c r="CL45" s="58">
        <v>1640.2719999999999</v>
      </c>
      <c r="CM45" s="58">
        <v>1035.942</v>
      </c>
      <c r="CN45" s="58">
        <v>604.33100000000002</v>
      </c>
      <c r="CO45" s="58">
        <v>767.21400000000006</v>
      </c>
      <c r="CP45" s="58">
        <v>233.42400000000001</v>
      </c>
      <c r="CQ45" s="58">
        <v>533.79</v>
      </c>
      <c r="CR45" s="58">
        <v>354.21899999999999</v>
      </c>
      <c r="CS45" s="58">
        <v>172.761</v>
      </c>
      <c r="CT45" s="58">
        <v>181.458</v>
      </c>
      <c r="CU45" s="58">
        <v>53.469000000000001</v>
      </c>
      <c r="CV45" s="58">
        <v>27.437999999999999</v>
      </c>
      <c r="CW45" s="58">
        <v>26.030999999999999</v>
      </c>
      <c r="CX45" s="58">
        <v>16.308</v>
      </c>
      <c r="CY45" s="58">
        <v>11.266</v>
      </c>
      <c r="CZ45" s="58">
        <v>5.0419999999999998</v>
      </c>
      <c r="DA45" s="58">
        <v>12.775</v>
      </c>
      <c r="DB45" s="58">
        <v>8.9920000000000009</v>
      </c>
      <c r="DC45" s="58">
        <v>3.7839999999999998</v>
      </c>
      <c r="DD45" s="58">
        <v>3.5329999999999999</v>
      </c>
      <c r="DE45" s="58">
        <v>2.2749999999999999</v>
      </c>
      <c r="DF45" s="58">
        <v>1.258</v>
      </c>
      <c r="DG45" s="58">
        <v>37.161000000000001</v>
      </c>
      <c r="DH45" s="58">
        <v>16.172000000000001</v>
      </c>
      <c r="DI45" s="58">
        <v>20.989000000000001</v>
      </c>
      <c r="DJ45" s="58">
        <v>325.39</v>
      </c>
      <c r="DK45" s="58">
        <v>158.881</v>
      </c>
      <c r="DL45" s="58">
        <v>166.50800000000001</v>
      </c>
      <c r="DM45" s="58">
        <v>108.863</v>
      </c>
      <c r="DN45" s="58">
        <v>76.739999999999995</v>
      </c>
      <c r="DO45" s="58">
        <v>32.122999999999998</v>
      </c>
      <c r="DP45" s="58">
        <v>216.52699999999999</v>
      </c>
      <c r="DQ45" s="58">
        <v>82.141000000000005</v>
      </c>
      <c r="DR45" s="58">
        <v>134.38499999999999</v>
      </c>
      <c r="DS45" s="58">
        <v>121.318</v>
      </c>
      <c r="DT45" s="58">
        <v>84.525000000000006</v>
      </c>
      <c r="DU45" s="58">
        <v>36.792999999999999</v>
      </c>
      <c r="DV45" s="58">
        <v>232.90100000000001</v>
      </c>
      <c r="DW45" s="58">
        <v>88.234999999999999</v>
      </c>
      <c r="DX45" s="58">
        <v>144.66499999999999</v>
      </c>
      <c r="DY45" s="58">
        <v>229.30199999999999</v>
      </c>
      <c r="DZ45" s="58">
        <v>91.132999999999996</v>
      </c>
      <c r="EA45" s="58">
        <v>138.16900000000001</v>
      </c>
      <c r="EB45" s="58">
        <v>821.63800000000003</v>
      </c>
      <c r="EC45" s="58">
        <v>437.06299999999999</v>
      </c>
      <c r="ED45" s="58">
        <v>384.57499999999999</v>
      </c>
      <c r="EE45" s="58">
        <v>529.86300000000006</v>
      </c>
      <c r="EF45" s="58">
        <v>348.49</v>
      </c>
      <c r="EG45" s="58">
        <v>181.37299999999999</v>
      </c>
      <c r="EH45" s="58">
        <v>291.77499999999998</v>
      </c>
      <c r="EI45" s="58">
        <v>88.572999999999993</v>
      </c>
      <c r="EJ45" s="58">
        <v>203.202</v>
      </c>
      <c r="EK45" s="58">
        <v>130.93899999999999</v>
      </c>
      <c r="EL45" s="58">
        <v>62.134999999999998</v>
      </c>
      <c r="EM45" s="58">
        <v>68.804000000000002</v>
      </c>
      <c r="EN45" s="58">
        <v>29.39</v>
      </c>
      <c r="EO45" s="58">
        <v>15.455</v>
      </c>
      <c r="EP45" s="58">
        <v>13.935</v>
      </c>
      <c r="EQ45" s="58">
        <v>7.6479999999999997</v>
      </c>
      <c r="ER45" s="58">
        <v>5.9729999999999999</v>
      </c>
      <c r="ES45" s="58">
        <v>1.6759999999999999</v>
      </c>
      <c r="ET45" s="58">
        <v>3.81</v>
      </c>
      <c r="EU45" s="58">
        <v>2.6080000000000001</v>
      </c>
      <c r="EV45" s="58">
        <v>1.202</v>
      </c>
      <c r="EW45" s="58">
        <v>3.839</v>
      </c>
      <c r="EX45" s="58">
        <v>3.3650000000000002</v>
      </c>
      <c r="EY45" s="58">
        <v>0.47399999999999998</v>
      </c>
      <c r="EZ45" s="58">
        <v>21.741</v>
      </c>
      <c r="FA45" s="58">
        <v>9.4819999999999993</v>
      </c>
      <c r="FB45" s="58">
        <v>12.26</v>
      </c>
      <c r="FC45" s="58">
        <v>116.265</v>
      </c>
      <c r="FD45" s="58">
        <v>54.956000000000003</v>
      </c>
      <c r="FE45" s="58">
        <v>61.308999999999997</v>
      </c>
      <c r="FF45" s="58">
        <v>33.832000000000001</v>
      </c>
      <c r="FG45" s="58">
        <v>25.001000000000001</v>
      </c>
      <c r="FH45" s="58">
        <v>8.8309999999999995</v>
      </c>
      <c r="FI45" s="58">
        <v>82.433000000000007</v>
      </c>
      <c r="FJ45" s="58">
        <v>29.954000000000001</v>
      </c>
      <c r="FK45" s="58">
        <v>52.478000000000002</v>
      </c>
      <c r="FL45" s="58">
        <v>39.18</v>
      </c>
      <c r="FM45" s="58">
        <v>28.908000000000001</v>
      </c>
      <c r="FN45" s="58">
        <v>10.271000000000001</v>
      </c>
      <c r="FO45" s="58">
        <v>91.759</v>
      </c>
      <c r="FP45" s="58">
        <v>33.226999999999997</v>
      </c>
      <c r="FQ45" s="58">
        <v>58.533000000000001</v>
      </c>
      <c r="FR45" s="58">
        <v>86.242999999999995</v>
      </c>
      <c r="FS45" s="58">
        <v>32.561999999999998</v>
      </c>
      <c r="FT45" s="58">
        <v>53.68</v>
      </c>
      <c r="FU45" s="58">
        <v>1328.502</v>
      </c>
      <c r="FV45" s="58">
        <v>722.755</v>
      </c>
      <c r="FW45" s="58">
        <v>605.74699999999996</v>
      </c>
      <c r="FX45" s="58">
        <v>903.25900000000001</v>
      </c>
      <c r="FY45" s="58">
        <v>591.44100000000003</v>
      </c>
      <c r="FZ45" s="58">
        <v>311.81700000000001</v>
      </c>
      <c r="GA45" s="58">
        <v>425.24299999999999</v>
      </c>
      <c r="GB45" s="58">
        <v>131.31299999999999</v>
      </c>
      <c r="GC45" s="58">
        <v>293.93</v>
      </c>
      <c r="GD45" s="58">
        <v>242.017</v>
      </c>
      <c r="GE45" s="58">
        <v>134.179</v>
      </c>
      <c r="GF45" s="58">
        <v>107.837</v>
      </c>
      <c r="GG45" s="58">
        <v>50.152000000000001</v>
      </c>
      <c r="GH45" s="58">
        <v>34.381</v>
      </c>
      <c r="GI45" s="58">
        <v>15.771000000000001</v>
      </c>
      <c r="GJ45" s="58">
        <v>19.786000000000001</v>
      </c>
      <c r="GK45" s="58">
        <v>16.574000000000002</v>
      </c>
      <c r="GL45" s="58">
        <v>3.2120000000000002</v>
      </c>
      <c r="GM45" s="58">
        <v>11.781000000000001</v>
      </c>
      <c r="GN45" s="58">
        <v>9.8230000000000004</v>
      </c>
      <c r="GO45" s="58">
        <v>1.958</v>
      </c>
      <c r="GP45" s="58">
        <v>8.0050000000000008</v>
      </c>
      <c r="GQ45" s="58">
        <v>6.7510000000000003</v>
      </c>
      <c r="GR45" s="58">
        <v>1.254</v>
      </c>
      <c r="GS45" s="58">
        <v>30.366</v>
      </c>
      <c r="GT45" s="58">
        <v>17.806999999999999</v>
      </c>
      <c r="GU45" s="58">
        <v>12.558999999999999</v>
      </c>
      <c r="GV45" s="58">
        <v>218.148</v>
      </c>
      <c r="GW45" s="58">
        <v>118.699</v>
      </c>
      <c r="GX45" s="58">
        <v>99.448999999999998</v>
      </c>
      <c r="GY45" s="58">
        <v>85.968999999999994</v>
      </c>
      <c r="GZ45" s="58">
        <v>63.122</v>
      </c>
      <c r="HA45" s="58">
        <v>22.847000000000001</v>
      </c>
      <c r="HB45" s="58">
        <v>132.179</v>
      </c>
      <c r="HC45" s="58">
        <v>55.576999999999998</v>
      </c>
      <c r="HD45" s="58">
        <v>76.602000000000004</v>
      </c>
      <c r="HE45" s="58">
        <v>99.673000000000002</v>
      </c>
      <c r="HF45" s="58">
        <v>74.450999999999993</v>
      </c>
      <c r="HG45" s="58">
        <v>25.222000000000001</v>
      </c>
      <c r="HH45" s="58">
        <v>142.34399999999999</v>
      </c>
      <c r="HI45" s="58">
        <v>59.728000000000002</v>
      </c>
      <c r="HJ45" s="58">
        <v>82.614999999999995</v>
      </c>
      <c r="HK45" s="58">
        <v>143.96</v>
      </c>
      <c r="HL45" s="58">
        <v>65.400000000000006</v>
      </c>
      <c r="HM45" s="58">
        <v>78.56</v>
      </c>
      <c r="HN45" s="58">
        <v>247.905</v>
      </c>
      <c r="HO45" s="58">
        <v>129.43299999999999</v>
      </c>
      <c r="HP45" s="58">
        <v>118.47199999999999</v>
      </c>
      <c r="HQ45" s="58">
        <v>157.56299999999999</v>
      </c>
      <c r="HR45" s="58">
        <v>103.57</v>
      </c>
      <c r="HS45" s="58">
        <v>53.993000000000002</v>
      </c>
      <c r="HT45" s="58">
        <v>90.341999999999999</v>
      </c>
      <c r="HU45" s="58">
        <v>25.863</v>
      </c>
      <c r="HV45" s="58">
        <v>64.478999999999999</v>
      </c>
      <c r="HW45" s="58">
        <v>40.793999999999997</v>
      </c>
      <c r="HX45" s="58">
        <v>19.564</v>
      </c>
      <c r="HY45" s="58">
        <v>21.23</v>
      </c>
      <c r="HZ45" s="58">
        <v>10.106</v>
      </c>
      <c r="IA45" s="58">
        <v>4.2430000000000003</v>
      </c>
      <c r="IB45" s="58">
        <v>5.8630000000000004</v>
      </c>
      <c r="IC45" s="58">
        <v>2.5139999999999998</v>
      </c>
      <c r="ID45" s="58">
        <v>1.8560000000000001</v>
      </c>
      <c r="IE45" s="58">
        <v>0.65800000000000003</v>
      </c>
      <c r="IF45" s="58">
        <v>1.2529999999999999</v>
      </c>
      <c r="IG45" s="58">
        <v>1.161</v>
      </c>
      <c r="IH45" s="58">
        <v>9.1999999999999998E-2</v>
      </c>
      <c r="II45" s="58">
        <v>1.2609999999999999</v>
      </c>
      <c r="IJ45" s="58">
        <v>0.69499999999999995</v>
      </c>
      <c r="IK45" s="58">
        <v>0.56699999999999995</v>
      </c>
      <c r="IL45" s="58">
        <v>7.5910000000000002</v>
      </c>
      <c r="IM45" s="58">
        <v>2.387</v>
      </c>
      <c r="IN45" s="58">
        <v>5.2050000000000001</v>
      </c>
      <c r="IO45" s="58">
        <v>35.335000000000001</v>
      </c>
      <c r="IP45" s="58">
        <v>17.300999999999998</v>
      </c>
      <c r="IQ45" s="58">
        <v>18.033999999999999</v>
      </c>
    </row>
    <row r="46" spans="1:251">
      <c r="A46" s="5">
        <v>42887</v>
      </c>
      <c r="B46" s="58">
        <v>1005.996</v>
      </c>
      <c r="C46" s="58">
        <v>1176.02</v>
      </c>
      <c r="D46" s="58">
        <v>362.88799999999998</v>
      </c>
      <c r="E46" s="58">
        <v>813.13199999999995</v>
      </c>
      <c r="F46" s="58">
        <v>509.851</v>
      </c>
      <c r="G46" s="58">
        <v>255.77500000000001</v>
      </c>
      <c r="H46" s="58">
        <v>254.07599999999999</v>
      </c>
      <c r="I46" s="58">
        <v>85.548000000000002</v>
      </c>
      <c r="J46" s="58">
        <v>43.735999999999997</v>
      </c>
      <c r="K46" s="58">
        <v>41.811999999999998</v>
      </c>
      <c r="L46" s="58">
        <v>30.573</v>
      </c>
      <c r="M46" s="58">
        <v>21.949000000000002</v>
      </c>
      <c r="N46" s="58">
        <v>8.6240000000000006</v>
      </c>
      <c r="O46" s="58">
        <v>12.907999999999999</v>
      </c>
      <c r="P46" s="58">
        <v>8.7080000000000002</v>
      </c>
      <c r="Q46" s="58">
        <v>4.2009999999999996</v>
      </c>
      <c r="R46" s="58">
        <v>17.664000000000001</v>
      </c>
      <c r="S46" s="58">
        <v>13.241</v>
      </c>
      <c r="T46" s="58">
        <v>4.423</v>
      </c>
      <c r="U46" s="58">
        <v>54.975000000000001</v>
      </c>
      <c r="V46" s="58">
        <v>21.786999999999999</v>
      </c>
      <c r="W46" s="58">
        <v>33.188000000000002</v>
      </c>
      <c r="X46" s="58">
        <v>463</v>
      </c>
      <c r="Y46" s="58">
        <v>231.535</v>
      </c>
      <c r="Z46" s="58">
        <v>231.465</v>
      </c>
      <c r="AA46" s="58">
        <v>172.27099999999999</v>
      </c>
      <c r="AB46" s="58">
        <v>125.56100000000001</v>
      </c>
      <c r="AC46" s="58">
        <v>46.71</v>
      </c>
      <c r="AD46" s="58">
        <v>290.72800000000001</v>
      </c>
      <c r="AE46" s="58">
        <v>105.973</v>
      </c>
      <c r="AF46" s="58">
        <v>184.755</v>
      </c>
      <c r="AG46" s="58">
        <v>197.08099999999999</v>
      </c>
      <c r="AH46" s="58">
        <v>143.81100000000001</v>
      </c>
      <c r="AI46" s="58">
        <v>53.268999999999998</v>
      </c>
      <c r="AJ46" s="58">
        <v>312.77</v>
      </c>
      <c r="AK46" s="58">
        <v>111.964</v>
      </c>
      <c r="AL46" s="58">
        <v>200.80600000000001</v>
      </c>
      <c r="AM46" s="58">
        <v>303.637</v>
      </c>
      <c r="AN46" s="58">
        <v>114.681</v>
      </c>
      <c r="AO46" s="58">
        <v>188.95599999999999</v>
      </c>
      <c r="AP46" s="58">
        <v>3214.59</v>
      </c>
      <c r="AQ46" s="58">
        <v>1725.8779999999999</v>
      </c>
      <c r="AR46" s="58">
        <v>1488.712</v>
      </c>
      <c r="AS46" s="58">
        <v>2164.2220000000002</v>
      </c>
      <c r="AT46" s="58">
        <v>1399.431</v>
      </c>
      <c r="AU46" s="58">
        <v>764.79100000000005</v>
      </c>
      <c r="AV46" s="58">
        <v>1050.3689999999999</v>
      </c>
      <c r="AW46" s="58">
        <v>326.447</v>
      </c>
      <c r="AX46" s="58">
        <v>723.92200000000003</v>
      </c>
      <c r="AY46" s="58">
        <v>477.68900000000002</v>
      </c>
      <c r="AZ46" s="58">
        <v>261.93</v>
      </c>
      <c r="BA46" s="58">
        <v>215.75899999999999</v>
      </c>
      <c r="BB46" s="58">
        <v>88.414000000000001</v>
      </c>
      <c r="BC46" s="58">
        <v>46.25</v>
      </c>
      <c r="BD46" s="58">
        <v>42.162999999999997</v>
      </c>
      <c r="BE46" s="58">
        <v>33.92</v>
      </c>
      <c r="BF46" s="58">
        <v>23.596</v>
      </c>
      <c r="BG46" s="58">
        <v>10.324</v>
      </c>
      <c r="BH46" s="58">
        <v>17.995000000000001</v>
      </c>
      <c r="BI46" s="58">
        <v>12.842000000000001</v>
      </c>
      <c r="BJ46" s="58">
        <v>5.1529999999999996</v>
      </c>
      <c r="BK46" s="58">
        <v>15.926</v>
      </c>
      <c r="BL46" s="58">
        <v>10.754</v>
      </c>
      <c r="BM46" s="58">
        <v>5.1710000000000003</v>
      </c>
      <c r="BN46" s="58">
        <v>54.494</v>
      </c>
      <c r="BO46" s="58">
        <v>22.654</v>
      </c>
      <c r="BP46" s="58">
        <v>31.838999999999999</v>
      </c>
      <c r="BQ46" s="58">
        <v>428.56299999999999</v>
      </c>
      <c r="BR46" s="58">
        <v>237.63900000000001</v>
      </c>
      <c r="BS46" s="58">
        <v>190.92400000000001</v>
      </c>
      <c r="BT46" s="58">
        <v>163.887</v>
      </c>
      <c r="BU46" s="58">
        <v>124.67100000000001</v>
      </c>
      <c r="BV46" s="58">
        <v>39.216000000000001</v>
      </c>
      <c r="BW46" s="58">
        <v>264.67599999999999</v>
      </c>
      <c r="BX46" s="58">
        <v>112.967</v>
      </c>
      <c r="BY46" s="58">
        <v>151.708</v>
      </c>
      <c r="BZ46" s="58">
        <v>189.34399999999999</v>
      </c>
      <c r="CA46" s="58">
        <v>140.857</v>
      </c>
      <c r="CB46" s="58">
        <v>48.487000000000002</v>
      </c>
      <c r="CC46" s="58">
        <v>288.34500000000003</v>
      </c>
      <c r="CD46" s="58">
        <v>121.07299999999999</v>
      </c>
      <c r="CE46" s="58">
        <v>167.27199999999999</v>
      </c>
      <c r="CF46" s="58">
        <v>282.67099999999999</v>
      </c>
      <c r="CG46" s="58">
        <v>125.809</v>
      </c>
      <c r="CH46" s="58">
        <v>156.86099999999999</v>
      </c>
      <c r="CI46" s="58">
        <v>2400.2539999999999</v>
      </c>
      <c r="CJ46" s="58">
        <v>1264.22</v>
      </c>
      <c r="CK46" s="58">
        <v>1136.0340000000001</v>
      </c>
      <c r="CL46" s="58">
        <v>1649.9780000000001</v>
      </c>
      <c r="CM46" s="58">
        <v>1036.1110000000001</v>
      </c>
      <c r="CN46" s="58">
        <v>613.86699999999996</v>
      </c>
      <c r="CO46" s="58">
        <v>750.27599999999995</v>
      </c>
      <c r="CP46" s="58">
        <v>228.10900000000001</v>
      </c>
      <c r="CQ46" s="58">
        <v>522.16700000000003</v>
      </c>
      <c r="CR46" s="58">
        <v>364.75299999999999</v>
      </c>
      <c r="CS46" s="58">
        <v>186.572</v>
      </c>
      <c r="CT46" s="58">
        <v>178.18199999999999</v>
      </c>
      <c r="CU46" s="58">
        <v>65.287000000000006</v>
      </c>
      <c r="CV46" s="58">
        <v>39.055999999999997</v>
      </c>
      <c r="CW46" s="58">
        <v>26.231000000000002</v>
      </c>
      <c r="CX46" s="58">
        <v>24.663</v>
      </c>
      <c r="CY46" s="58">
        <v>20.809000000000001</v>
      </c>
      <c r="CZ46" s="58">
        <v>3.8540000000000001</v>
      </c>
      <c r="DA46" s="58">
        <v>16.675000000000001</v>
      </c>
      <c r="DB46" s="58">
        <v>14.484</v>
      </c>
      <c r="DC46" s="58">
        <v>2.1909999999999998</v>
      </c>
      <c r="DD46" s="58">
        <v>7.9880000000000004</v>
      </c>
      <c r="DE46" s="58">
        <v>6.3250000000000002</v>
      </c>
      <c r="DF46" s="58">
        <v>1.663</v>
      </c>
      <c r="DG46" s="58">
        <v>40.624000000000002</v>
      </c>
      <c r="DH46" s="58">
        <v>18.247</v>
      </c>
      <c r="DI46" s="58">
        <v>22.378</v>
      </c>
      <c r="DJ46" s="58">
        <v>326.17500000000001</v>
      </c>
      <c r="DK46" s="58">
        <v>163.36600000000001</v>
      </c>
      <c r="DL46" s="58">
        <v>162.809</v>
      </c>
      <c r="DM46" s="58">
        <v>115.331</v>
      </c>
      <c r="DN46" s="58">
        <v>83.593000000000004</v>
      </c>
      <c r="DO46" s="58">
        <v>31.738</v>
      </c>
      <c r="DP46" s="58">
        <v>210.84399999999999</v>
      </c>
      <c r="DQ46" s="58">
        <v>79.772999999999996</v>
      </c>
      <c r="DR46" s="58">
        <v>131.071</v>
      </c>
      <c r="DS46" s="58">
        <v>136.619</v>
      </c>
      <c r="DT46" s="58">
        <v>101.465</v>
      </c>
      <c r="DU46" s="58">
        <v>35.154000000000003</v>
      </c>
      <c r="DV46" s="58">
        <v>228.13499999999999</v>
      </c>
      <c r="DW46" s="58">
        <v>85.106999999999999</v>
      </c>
      <c r="DX46" s="58">
        <v>143.02799999999999</v>
      </c>
      <c r="DY46" s="58">
        <v>227.51900000000001</v>
      </c>
      <c r="DZ46" s="58">
        <v>94.257000000000005</v>
      </c>
      <c r="EA46" s="58">
        <v>133.262</v>
      </c>
      <c r="EB46" s="58">
        <v>828.89300000000003</v>
      </c>
      <c r="EC46" s="58">
        <v>436.62700000000001</v>
      </c>
      <c r="ED46" s="58">
        <v>392.26600000000002</v>
      </c>
      <c r="EE46" s="58">
        <v>536.76900000000001</v>
      </c>
      <c r="EF46" s="58">
        <v>351.13799999999998</v>
      </c>
      <c r="EG46" s="58">
        <v>185.631</v>
      </c>
      <c r="EH46" s="58">
        <v>292.12400000000002</v>
      </c>
      <c r="EI46" s="58">
        <v>85.49</v>
      </c>
      <c r="EJ46" s="58">
        <v>206.63399999999999</v>
      </c>
      <c r="EK46" s="58">
        <v>131.626</v>
      </c>
      <c r="EL46" s="58">
        <v>62.51</v>
      </c>
      <c r="EM46" s="58">
        <v>69.116</v>
      </c>
      <c r="EN46" s="58">
        <v>26.954000000000001</v>
      </c>
      <c r="EO46" s="58">
        <v>12.128</v>
      </c>
      <c r="EP46" s="58">
        <v>14.826000000000001</v>
      </c>
      <c r="EQ46" s="58">
        <v>7.0789999999999997</v>
      </c>
      <c r="ER46" s="58">
        <v>5.5350000000000001</v>
      </c>
      <c r="ES46" s="58">
        <v>1.544</v>
      </c>
      <c r="ET46" s="58">
        <v>3.4470000000000001</v>
      </c>
      <c r="EU46" s="58">
        <v>2.8330000000000002</v>
      </c>
      <c r="EV46" s="58">
        <v>0.61399999999999999</v>
      </c>
      <c r="EW46" s="58">
        <v>3.6320000000000001</v>
      </c>
      <c r="EX46" s="58">
        <v>2.7010000000000001</v>
      </c>
      <c r="EY46" s="58">
        <v>0.93</v>
      </c>
      <c r="EZ46" s="58">
        <v>19.875</v>
      </c>
      <c r="FA46" s="58">
        <v>6.593</v>
      </c>
      <c r="FB46" s="58">
        <v>13.282</v>
      </c>
      <c r="FC46" s="58">
        <v>118.01</v>
      </c>
      <c r="FD46" s="58">
        <v>55.978999999999999</v>
      </c>
      <c r="FE46" s="58">
        <v>62.03</v>
      </c>
      <c r="FF46" s="58">
        <v>37.783000000000001</v>
      </c>
      <c r="FG46" s="58">
        <v>26.334</v>
      </c>
      <c r="FH46" s="58">
        <v>11.449</v>
      </c>
      <c r="FI46" s="58">
        <v>80.225999999999999</v>
      </c>
      <c r="FJ46" s="58">
        <v>29.645</v>
      </c>
      <c r="FK46" s="58">
        <v>50.581000000000003</v>
      </c>
      <c r="FL46" s="58">
        <v>43.064999999999998</v>
      </c>
      <c r="FM46" s="58">
        <v>30.302</v>
      </c>
      <c r="FN46" s="58">
        <v>12.763</v>
      </c>
      <c r="FO46" s="58">
        <v>88.561000000000007</v>
      </c>
      <c r="FP46" s="58">
        <v>32.209000000000003</v>
      </c>
      <c r="FQ46" s="58">
        <v>56.353000000000002</v>
      </c>
      <c r="FR46" s="58">
        <v>83.674000000000007</v>
      </c>
      <c r="FS46" s="58">
        <v>32.478999999999999</v>
      </c>
      <c r="FT46" s="58">
        <v>51.195</v>
      </c>
      <c r="FU46" s="58">
        <v>1328.7619999999999</v>
      </c>
      <c r="FV46" s="58">
        <v>724.94500000000005</v>
      </c>
      <c r="FW46" s="58">
        <v>603.81600000000003</v>
      </c>
      <c r="FX46" s="58">
        <v>909.21100000000001</v>
      </c>
      <c r="FY46" s="58">
        <v>593.84500000000003</v>
      </c>
      <c r="FZ46" s="58">
        <v>315.36500000000001</v>
      </c>
      <c r="GA46" s="58">
        <v>419.55099999999999</v>
      </c>
      <c r="GB46" s="58">
        <v>131.1</v>
      </c>
      <c r="GC46" s="58">
        <v>288.45100000000002</v>
      </c>
      <c r="GD46" s="58">
        <v>241.69800000000001</v>
      </c>
      <c r="GE46" s="58">
        <v>134.887</v>
      </c>
      <c r="GF46" s="58">
        <v>106.81</v>
      </c>
      <c r="GG46" s="58">
        <v>45.923000000000002</v>
      </c>
      <c r="GH46" s="58">
        <v>30.323</v>
      </c>
      <c r="GI46" s="58">
        <v>15.6</v>
      </c>
      <c r="GJ46" s="58">
        <v>20.143000000000001</v>
      </c>
      <c r="GK46" s="58">
        <v>17.38</v>
      </c>
      <c r="GL46" s="58">
        <v>2.7629999999999999</v>
      </c>
      <c r="GM46" s="58">
        <v>12.145</v>
      </c>
      <c r="GN46" s="58">
        <v>10.394</v>
      </c>
      <c r="GO46" s="58">
        <v>1.7509999999999999</v>
      </c>
      <c r="GP46" s="58">
        <v>7.9980000000000002</v>
      </c>
      <c r="GQ46" s="58">
        <v>6.9859999999999998</v>
      </c>
      <c r="GR46" s="58">
        <v>1.0109999999999999</v>
      </c>
      <c r="GS46" s="58">
        <v>25.78</v>
      </c>
      <c r="GT46" s="58">
        <v>12.943</v>
      </c>
      <c r="GU46" s="58">
        <v>12.837</v>
      </c>
      <c r="GV46" s="58">
        <v>218.43299999999999</v>
      </c>
      <c r="GW46" s="58">
        <v>118.67700000000001</v>
      </c>
      <c r="GX46" s="58">
        <v>99.756</v>
      </c>
      <c r="GY46" s="58">
        <v>86.262</v>
      </c>
      <c r="GZ46" s="58">
        <v>66.358000000000004</v>
      </c>
      <c r="HA46" s="58">
        <v>19.904</v>
      </c>
      <c r="HB46" s="58">
        <v>132.17099999999999</v>
      </c>
      <c r="HC46" s="58">
        <v>52.319000000000003</v>
      </c>
      <c r="HD46" s="58">
        <v>79.852000000000004</v>
      </c>
      <c r="HE46" s="58">
        <v>102.05500000000001</v>
      </c>
      <c r="HF46" s="58">
        <v>79.763000000000005</v>
      </c>
      <c r="HG46" s="58">
        <v>22.292000000000002</v>
      </c>
      <c r="HH46" s="58">
        <v>139.643</v>
      </c>
      <c r="HI46" s="58">
        <v>55.125</v>
      </c>
      <c r="HJ46" s="58">
        <v>84.518000000000001</v>
      </c>
      <c r="HK46" s="58">
        <v>144.316</v>
      </c>
      <c r="HL46" s="58">
        <v>62.713000000000001</v>
      </c>
      <c r="HM46" s="58">
        <v>81.602999999999994</v>
      </c>
      <c r="HN46" s="58">
        <v>248.233</v>
      </c>
      <c r="HO46" s="58">
        <v>128.88900000000001</v>
      </c>
      <c r="HP46" s="58">
        <v>119.345</v>
      </c>
      <c r="HQ46" s="58">
        <v>156.06899999999999</v>
      </c>
      <c r="HR46" s="58">
        <v>101.851</v>
      </c>
      <c r="HS46" s="58">
        <v>54.219000000000001</v>
      </c>
      <c r="HT46" s="58">
        <v>92.164000000000001</v>
      </c>
      <c r="HU46" s="58">
        <v>27.038</v>
      </c>
      <c r="HV46" s="58">
        <v>65.126000000000005</v>
      </c>
      <c r="HW46" s="58">
        <v>41.098999999999997</v>
      </c>
      <c r="HX46" s="58">
        <v>20.236000000000001</v>
      </c>
      <c r="HY46" s="58">
        <v>20.861999999999998</v>
      </c>
      <c r="HZ46" s="58">
        <v>8.44</v>
      </c>
      <c r="IA46" s="58">
        <v>4.0439999999999996</v>
      </c>
      <c r="IB46" s="58">
        <v>4.3959999999999999</v>
      </c>
      <c r="IC46" s="58">
        <v>2.2850000000000001</v>
      </c>
      <c r="ID46" s="58">
        <v>1.4970000000000001</v>
      </c>
      <c r="IE46" s="58">
        <v>0.78900000000000003</v>
      </c>
      <c r="IF46" s="58">
        <v>0.85499999999999998</v>
      </c>
      <c r="IG46" s="58">
        <v>0.35499999999999998</v>
      </c>
      <c r="IH46" s="58">
        <v>0.5</v>
      </c>
      <c r="II46" s="58">
        <v>1.431</v>
      </c>
      <c r="IJ46" s="58">
        <v>1.1419999999999999</v>
      </c>
      <c r="IK46" s="58">
        <v>0.28899999999999998</v>
      </c>
      <c r="IL46" s="58">
        <v>6.1550000000000002</v>
      </c>
      <c r="IM46" s="58">
        <v>2.5470000000000002</v>
      </c>
      <c r="IN46" s="58">
        <v>3.6080000000000001</v>
      </c>
      <c r="IO46" s="58">
        <v>36.014000000000003</v>
      </c>
      <c r="IP46" s="58">
        <v>17.748000000000001</v>
      </c>
      <c r="IQ46" s="58">
        <v>18.265999999999998</v>
      </c>
    </row>
    <row r="47" spans="1:251">
      <c r="A47" s="5">
        <v>42917</v>
      </c>
      <c r="B47" s="58">
        <v>1010.94</v>
      </c>
      <c r="C47" s="58">
        <v>1158.826</v>
      </c>
      <c r="D47" s="58">
        <v>373.66500000000002</v>
      </c>
      <c r="E47" s="58">
        <v>785.16099999999994</v>
      </c>
      <c r="F47" s="58">
        <v>538.73699999999997</v>
      </c>
      <c r="G47" s="58">
        <v>288.90800000000002</v>
      </c>
      <c r="H47" s="58">
        <v>249.82900000000001</v>
      </c>
      <c r="I47" s="58">
        <v>111.06100000000001</v>
      </c>
      <c r="J47" s="58">
        <v>58.713000000000001</v>
      </c>
      <c r="K47" s="58">
        <v>52.347999999999999</v>
      </c>
      <c r="L47" s="58">
        <v>39.731000000000002</v>
      </c>
      <c r="M47" s="58">
        <v>27.547999999999998</v>
      </c>
      <c r="N47" s="58">
        <v>12.182</v>
      </c>
      <c r="O47" s="58">
        <v>24.771000000000001</v>
      </c>
      <c r="P47" s="58">
        <v>17.765000000000001</v>
      </c>
      <c r="Q47" s="58">
        <v>7.0069999999999997</v>
      </c>
      <c r="R47" s="58">
        <v>14.959</v>
      </c>
      <c r="S47" s="58">
        <v>9.7829999999999995</v>
      </c>
      <c r="T47" s="58">
        <v>5.1760000000000002</v>
      </c>
      <c r="U47" s="58">
        <v>71.331000000000003</v>
      </c>
      <c r="V47" s="58">
        <v>31.164999999999999</v>
      </c>
      <c r="W47" s="58">
        <v>40.165999999999997</v>
      </c>
      <c r="X47" s="58">
        <v>476.00599999999997</v>
      </c>
      <c r="Y47" s="58">
        <v>255.11600000000001</v>
      </c>
      <c r="Z47" s="58">
        <v>220.89</v>
      </c>
      <c r="AA47" s="58">
        <v>182.261</v>
      </c>
      <c r="AB47" s="58">
        <v>134.72499999999999</v>
      </c>
      <c r="AC47" s="58">
        <v>47.536000000000001</v>
      </c>
      <c r="AD47" s="58">
        <v>293.745</v>
      </c>
      <c r="AE47" s="58">
        <v>120.39100000000001</v>
      </c>
      <c r="AF47" s="58">
        <v>173.35400000000001</v>
      </c>
      <c r="AG47" s="58">
        <v>212.607</v>
      </c>
      <c r="AH47" s="58">
        <v>155.79300000000001</v>
      </c>
      <c r="AI47" s="58">
        <v>56.814</v>
      </c>
      <c r="AJ47" s="58">
        <v>326.13</v>
      </c>
      <c r="AK47" s="58">
        <v>133.11500000000001</v>
      </c>
      <c r="AL47" s="58">
        <v>193.01499999999999</v>
      </c>
      <c r="AM47" s="58">
        <v>318.517</v>
      </c>
      <c r="AN47" s="58">
        <v>138.15600000000001</v>
      </c>
      <c r="AO47" s="58">
        <v>180.36099999999999</v>
      </c>
      <c r="AP47" s="58">
        <v>3199.1660000000002</v>
      </c>
      <c r="AQ47" s="58">
        <v>1715.412</v>
      </c>
      <c r="AR47" s="58">
        <v>1483.7529999999999</v>
      </c>
      <c r="AS47" s="58">
        <v>2158.1570000000002</v>
      </c>
      <c r="AT47" s="58">
        <v>1385.865</v>
      </c>
      <c r="AU47" s="58">
        <v>772.29200000000003</v>
      </c>
      <c r="AV47" s="58">
        <v>1041.009</v>
      </c>
      <c r="AW47" s="58">
        <v>329.548</v>
      </c>
      <c r="AX47" s="58">
        <v>711.46100000000001</v>
      </c>
      <c r="AY47" s="58">
        <v>487.59100000000001</v>
      </c>
      <c r="AZ47" s="58">
        <v>264.06099999999998</v>
      </c>
      <c r="BA47" s="58">
        <v>223.529</v>
      </c>
      <c r="BB47" s="58">
        <v>107.925</v>
      </c>
      <c r="BC47" s="58">
        <v>63.874000000000002</v>
      </c>
      <c r="BD47" s="58">
        <v>44.052</v>
      </c>
      <c r="BE47" s="58">
        <v>44.783000000000001</v>
      </c>
      <c r="BF47" s="58">
        <v>35.146999999999998</v>
      </c>
      <c r="BG47" s="58">
        <v>9.6370000000000005</v>
      </c>
      <c r="BH47" s="58">
        <v>26.65</v>
      </c>
      <c r="BI47" s="58">
        <v>21.88</v>
      </c>
      <c r="BJ47" s="58">
        <v>4.7690000000000001</v>
      </c>
      <c r="BK47" s="58">
        <v>18.134</v>
      </c>
      <c r="BL47" s="58">
        <v>13.266999999999999</v>
      </c>
      <c r="BM47" s="58">
        <v>4.867</v>
      </c>
      <c r="BN47" s="58">
        <v>63.142000000000003</v>
      </c>
      <c r="BO47" s="58">
        <v>28.727</v>
      </c>
      <c r="BP47" s="58">
        <v>34.414999999999999</v>
      </c>
      <c r="BQ47" s="58">
        <v>425.33499999999998</v>
      </c>
      <c r="BR47" s="58">
        <v>227.55099999999999</v>
      </c>
      <c r="BS47" s="58">
        <v>197.785</v>
      </c>
      <c r="BT47" s="58">
        <v>164.78800000000001</v>
      </c>
      <c r="BU47" s="58">
        <v>123.136</v>
      </c>
      <c r="BV47" s="58">
        <v>41.652999999999999</v>
      </c>
      <c r="BW47" s="58">
        <v>260.54700000000003</v>
      </c>
      <c r="BX47" s="58">
        <v>104.41500000000001</v>
      </c>
      <c r="BY47" s="58">
        <v>156.13200000000001</v>
      </c>
      <c r="BZ47" s="58">
        <v>198.63200000000001</v>
      </c>
      <c r="CA47" s="58">
        <v>148.34</v>
      </c>
      <c r="CB47" s="58">
        <v>50.292999999999999</v>
      </c>
      <c r="CC47" s="58">
        <v>288.95800000000003</v>
      </c>
      <c r="CD47" s="58">
        <v>115.72199999999999</v>
      </c>
      <c r="CE47" s="58">
        <v>173.23699999999999</v>
      </c>
      <c r="CF47" s="58">
        <v>287.19600000000003</v>
      </c>
      <c r="CG47" s="58">
        <v>126.295</v>
      </c>
      <c r="CH47" s="58">
        <v>160.90100000000001</v>
      </c>
      <c r="CI47" s="58">
        <v>2432.8110000000001</v>
      </c>
      <c r="CJ47" s="58">
        <v>1273.67</v>
      </c>
      <c r="CK47" s="58">
        <v>1159.1410000000001</v>
      </c>
      <c r="CL47" s="58">
        <v>1661.674</v>
      </c>
      <c r="CM47" s="58">
        <v>1039.02</v>
      </c>
      <c r="CN47" s="58">
        <v>622.654</v>
      </c>
      <c r="CO47" s="58">
        <v>771.13699999999994</v>
      </c>
      <c r="CP47" s="58">
        <v>234.65</v>
      </c>
      <c r="CQ47" s="58">
        <v>536.48699999999997</v>
      </c>
      <c r="CR47" s="58">
        <v>361.18900000000002</v>
      </c>
      <c r="CS47" s="58">
        <v>187.864</v>
      </c>
      <c r="CT47" s="58">
        <v>173.32599999999999</v>
      </c>
      <c r="CU47" s="58">
        <v>63.027000000000001</v>
      </c>
      <c r="CV47" s="58">
        <v>31.51</v>
      </c>
      <c r="CW47" s="58">
        <v>31.516999999999999</v>
      </c>
      <c r="CX47" s="58">
        <v>21.408999999999999</v>
      </c>
      <c r="CY47" s="58">
        <v>16.102</v>
      </c>
      <c r="CZ47" s="58">
        <v>5.3070000000000004</v>
      </c>
      <c r="DA47" s="58">
        <v>13.568</v>
      </c>
      <c r="DB47" s="58">
        <v>10.314</v>
      </c>
      <c r="DC47" s="58">
        <v>3.254</v>
      </c>
      <c r="DD47" s="58">
        <v>7.8410000000000002</v>
      </c>
      <c r="DE47" s="58">
        <v>5.7880000000000003</v>
      </c>
      <c r="DF47" s="58">
        <v>2.0529999999999999</v>
      </c>
      <c r="DG47" s="58">
        <v>41.616999999999997</v>
      </c>
      <c r="DH47" s="58">
        <v>15.407999999999999</v>
      </c>
      <c r="DI47" s="58">
        <v>26.209</v>
      </c>
      <c r="DJ47" s="58">
        <v>326.99099999999999</v>
      </c>
      <c r="DK47" s="58">
        <v>169.48</v>
      </c>
      <c r="DL47" s="58">
        <v>157.511</v>
      </c>
      <c r="DM47" s="58">
        <v>116.72799999999999</v>
      </c>
      <c r="DN47" s="58">
        <v>84.849000000000004</v>
      </c>
      <c r="DO47" s="58">
        <v>31.879000000000001</v>
      </c>
      <c r="DP47" s="58">
        <v>210.26300000000001</v>
      </c>
      <c r="DQ47" s="58">
        <v>84.631</v>
      </c>
      <c r="DR47" s="58">
        <v>125.63200000000001</v>
      </c>
      <c r="DS47" s="58">
        <v>135.108</v>
      </c>
      <c r="DT47" s="58">
        <v>98.856999999999999</v>
      </c>
      <c r="DU47" s="58">
        <v>36.250999999999998</v>
      </c>
      <c r="DV47" s="58">
        <v>226.08099999999999</v>
      </c>
      <c r="DW47" s="58">
        <v>89.006</v>
      </c>
      <c r="DX47" s="58">
        <v>137.07499999999999</v>
      </c>
      <c r="DY47" s="58">
        <v>223.83099999999999</v>
      </c>
      <c r="DZ47" s="58">
        <v>94.944999999999993</v>
      </c>
      <c r="EA47" s="58">
        <v>128.887</v>
      </c>
      <c r="EB47" s="58">
        <v>825.61</v>
      </c>
      <c r="EC47" s="58">
        <v>435.64</v>
      </c>
      <c r="ED47" s="58">
        <v>389.97</v>
      </c>
      <c r="EE47" s="58">
        <v>533.94000000000005</v>
      </c>
      <c r="EF47" s="58">
        <v>346.23500000000001</v>
      </c>
      <c r="EG47" s="58">
        <v>187.70400000000001</v>
      </c>
      <c r="EH47" s="58">
        <v>291.67</v>
      </c>
      <c r="EI47" s="58">
        <v>89.405000000000001</v>
      </c>
      <c r="EJ47" s="58">
        <v>202.26599999999999</v>
      </c>
      <c r="EK47" s="58">
        <v>137.834</v>
      </c>
      <c r="EL47" s="58">
        <v>66.156999999999996</v>
      </c>
      <c r="EM47" s="58">
        <v>71.677000000000007</v>
      </c>
      <c r="EN47" s="58">
        <v>23.547999999999998</v>
      </c>
      <c r="EO47" s="58">
        <v>13.944000000000001</v>
      </c>
      <c r="EP47" s="58">
        <v>9.6039999999999992</v>
      </c>
      <c r="EQ47" s="58">
        <v>9.4789999999999992</v>
      </c>
      <c r="ER47" s="58">
        <v>7.577</v>
      </c>
      <c r="ES47" s="58">
        <v>1.9019999999999999</v>
      </c>
      <c r="ET47" s="58">
        <v>4.2770000000000001</v>
      </c>
      <c r="EU47" s="58">
        <v>3.1469999999999998</v>
      </c>
      <c r="EV47" s="58">
        <v>1.1299999999999999</v>
      </c>
      <c r="EW47" s="58">
        <v>5.2030000000000003</v>
      </c>
      <c r="EX47" s="58">
        <v>4.43</v>
      </c>
      <c r="EY47" s="58">
        <v>0.77200000000000002</v>
      </c>
      <c r="EZ47" s="58">
        <v>14.069000000000001</v>
      </c>
      <c r="FA47" s="58">
        <v>6.367</v>
      </c>
      <c r="FB47" s="58">
        <v>7.702</v>
      </c>
      <c r="FC47" s="58">
        <v>125.634</v>
      </c>
      <c r="FD47" s="58">
        <v>58.476999999999997</v>
      </c>
      <c r="FE47" s="58">
        <v>67.156999999999996</v>
      </c>
      <c r="FF47" s="58">
        <v>41.267000000000003</v>
      </c>
      <c r="FG47" s="58">
        <v>27.312999999999999</v>
      </c>
      <c r="FH47" s="58">
        <v>13.954000000000001</v>
      </c>
      <c r="FI47" s="58">
        <v>84.367999999999995</v>
      </c>
      <c r="FJ47" s="58">
        <v>31.164999999999999</v>
      </c>
      <c r="FK47" s="58">
        <v>53.203000000000003</v>
      </c>
      <c r="FL47" s="58">
        <v>48.386000000000003</v>
      </c>
      <c r="FM47" s="58">
        <v>32.753999999999998</v>
      </c>
      <c r="FN47" s="58">
        <v>15.632</v>
      </c>
      <c r="FO47" s="58">
        <v>89.447999999999993</v>
      </c>
      <c r="FP47" s="58">
        <v>33.402999999999999</v>
      </c>
      <c r="FQ47" s="58">
        <v>56.045000000000002</v>
      </c>
      <c r="FR47" s="58">
        <v>88.644000000000005</v>
      </c>
      <c r="FS47" s="58">
        <v>34.311999999999998</v>
      </c>
      <c r="FT47" s="58">
        <v>54.332999999999998</v>
      </c>
      <c r="FU47" s="58">
        <v>1325.5519999999999</v>
      </c>
      <c r="FV47" s="58">
        <v>719.99199999999996</v>
      </c>
      <c r="FW47" s="58">
        <v>605.56100000000004</v>
      </c>
      <c r="FX47" s="58">
        <v>911.69100000000003</v>
      </c>
      <c r="FY47" s="58">
        <v>594.77</v>
      </c>
      <c r="FZ47" s="58">
        <v>316.92099999999999</v>
      </c>
      <c r="GA47" s="58">
        <v>413.86099999999999</v>
      </c>
      <c r="GB47" s="58">
        <v>125.221</v>
      </c>
      <c r="GC47" s="58">
        <v>288.64</v>
      </c>
      <c r="GD47" s="58">
        <v>216.488</v>
      </c>
      <c r="GE47" s="58">
        <v>121.158</v>
      </c>
      <c r="GF47" s="58">
        <v>95.33</v>
      </c>
      <c r="GG47" s="58">
        <v>38.979999999999997</v>
      </c>
      <c r="GH47" s="58">
        <v>24.582999999999998</v>
      </c>
      <c r="GI47" s="58">
        <v>14.397</v>
      </c>
      <c r="GJ47" s="58">
        <v>16.236000000000001</v>
      </c>
      <c r="GK47" s="58">
        <v>12.765000000000001</v>
      </c>
      <c r="GL47" s="58">
        <v>3.4710000000000001</v>
      </c>
      <c r="GM47" s="58">
        <v>8.3369999999999997</v>
      </c>
      <c r="GN47" s="58">
        <v>6.2030000000000003</v>
      </c>
      <c r="GO47" s="58">
        <v>2.1339999999999999</v>
      </c>
      <c r="GP47" s="58">
        <v>7.899</v>
      </c>
      <c r="GQ47" s="58">
        <v>6.5629999999999997</v>
      </c>
      <c r="GR47" s="58">
        <v>1.337</v>
      </c>
      <c r="GS47" s="58">
        <v>22.742999999999999</v>
      </c>
      <c r="GT47" s="58">
        <v>11.818</v>
      </c>
      <c r="GU47" s="58">
        <v>10.926</v>
      </c>
      <c r="GV47" s="58">
        <v>198.30500000000001</v>
      </c>
      <c r="GW47" s="58">
        <v>109.345</v>
      </c>
      <c r="GX47" s="58">
        <v>88.960999999999999</v>
      </c>
      <c r="GY47" s="58">
        <v>71.531999999999996</v>
      </c>
      <c r="GZ47" s="58">
        <v>54.411999999999999</v>
      </c>
      <c r="HA47" s="58">
        <v>17.12</v>
      </c>
      <c r="HB47" s="58">
        <v>126.774</v>
      </c>
      <c r="HC47" s="58">
        <v>54.933</v>
      </c>
      <c r="HD47" s="58">
        <v>71.840999999999994</v>
      </c>
      <c r="HE47" s="58">
        <v>82.736000000000004</v>
      </c>
      <c r="HF47" s="58">
        <v>63.279000000000003</v>
      </c>
      <c r="HG47" s="58">
        <v>19.457000000000001</v>
      </c>
      <c r="HH47" s="58">
        <v>133.75299999999999</v>
      </c>
      <c r="HI47" s="58">
        <v>57.878999999999998</v>
      </c>
      <c r="HJ47" s="58">
        <v>75.873000000000005</v>
      </c>
      <c r="HK47" s="58">
        <v>135.11099999999999</v>
      </c>
      <c r="HL47" s="58">
        <v>61.136000000000003</v>
      </c>
      <c r="HM47" s="58">
        <v>73.974999999999994</v>
      </c>
      <c r="HN47" s="58">
        <v>244.786</v>
      </c>
      <c r="HO47" s="58">
        <v>128.155</v>
      </c>
      <c r="HP47" s="58">
        <v>116.631</v>
      </c>
      <c r="HQ47" s="58">
        <v>154.12799999999999</v>
      </c>
      <c r="HR47" s="58">
        <v>102.014</v>
      </c>
      <c r="HS47" s="58">
        <v>52.113999999999997</v>
      </c>
      <c r="HT47" s="58">
        <v>90.658000000000001</v>
      </c>
      <c r="HU47" s="58">
        <v>26.140999999999998</v>
      </c>
      <c r="HV47" s="58">
        <v>64.516999999999996</v>
      </c>
      <c r="HW47" s="58">
        <v>40.750999999999998</v>
      </c>
      <c r="HX47" s="58">
        <v>20.579000000000001</v>
      </c>
      <c r="HY47" s="58">
        <v>20.170999999999999</v>
      </c>
      <c r="HZ47" s="58">
        <v>8.1359999999999992</v>
      </c>
      <c r="IA47" s="58">
        <v>4.5519999999999996</v>
      </c>
      <c r="IB47" s="58">
        <v>3.5840000000000001</v>
      </c>
      <c r="IC47" s="58">
        <v>2.8610000000000002</v>
      </c>
      <c r="ID47" s="58">
        <v>2.4079999999999999</v>
      </c>
      <c r="IE47" s="58">
        <v>0.45300000000000001</v>
      </c>
      <c r="IF47" s="58">
        <v>0.71799999999999997</v>
      </c>
      <c r="IG47" s="58">
        <v>0.61499999999999999</v>
      </c>
      <c r="IH47" s="58">
        <v>0.10299999999999999</v>
      </c>
      <c r="II47" s="58">
        <v>2.1419999999999999</v>
      </c>
      <c r="IJ47" s="58">
        <v>1.7929999999999999</v>
      </c>
      <c r="IK47" s="58">
        <v>0.34899999999999998</v>
      </c>
      <c r="IL47" s="58">
        <v>5.2750000000000004</v>
      </c>
      <c r="IM47" s="58">
        <v>2.1440000000000001</v>
      </c>
      <c r="IN47" s="58">
        <v>3.1320000000000001</v>
      </c>
      <c r="IO47" s="58">
        <v>36.506999999999998</v>
      </c>
      <c r="IP47" s="58">
        <v>17.963000000000001</v>
      </c>
      <c r="IQ47" s="58">
        <v>18.542999999999999</v>
      </c>
    </row>
    <row r="48" spans="1:251">
      <c r="A48" s="5">
        <v>42948</v>
      </c>
      <c r="B48" s="58">
        <v>1023.522</v>
      </c>
      <c r="C48" s="58">
        <v>1153.203</v>
      </c>
      <c r="D48" s="58">
        <v>369.55099999999999</v>
      </c>
      <c r="E48" s="58">
        <v>783.65200000000004</v>
      </c>
      <c r="F48" s="58">
        <v>519.68200000000002</v>
      </c>
      <c r="G48" s="58">
        <v>271.88499999999999</v>
      </c>
      <c r="H48" s="58">
        <v>247.797</v>
      </c>
      <c r="I48" s="58">
        <v>86.084999999999994</v>
      </c>
      <c r="J48" s="58">
        <v>49.491999999999997</v>
      </c>
      <c r="K48" s="58">
        <v>36.593000000000004</v>
      </c>
      <c r="L48" s="58">
        <v>32.21</v>
      </c>
      <c r="M48" s="58">
        <v>21.553999999999998</v>
      </c>
      <c r="N48" s="58">
        <v>10.656000000000001</v>
      </c>
      <c r="O48" s="58">
        <v>18.318000000000001</v>
      </c>
      <c r="P48" s="58">
        <v>13.842000000000001</v>
      </c>
      <c r="Q48" s="58">
        <v>4.476</v>
      </c>
      <c r="R48" s="58">
        <v>13.893000000000001</v>
      </c>
      <c r="S48" s="58">
        <v>7.7119999999999997</v>
      </c>
      <c r="T48" s="58">
        <v>6.181</v>
      </c>
      <c r="U48" s="58">
        <v>53.875</v>
      </c>
      <c r="V48" s="58">
        <v>27.937000000000001</v>
      </c>
      <c r="W48" s="58">
        <v>25.937000000000001</v>
      </c>
      <c r="X48" s="58">
        <v>471.25200000000001</v>
      </c>
      <c r="Y48" s="58">
        <v>246.01</v>
      </c>
      <c r="Z48" s="58">
        <v>225.24199999999999</v>
      </c>
      <c r="AA48" s="58">
        <v>178.96600000000001</v>
      </c>
      <c r="AB48" s="58">
        <v>133.124</v>
      </c>
      <c r="AC48" s="58">
        <v>45.841999999999999</v>
      </c>
      <c r="AD48" s="58">
        <v>292.286</v>
      </c>
      <c r="AE48" s="58">
        <v>112.887</v>
      </c>
      <c r="AF48" s="58">
        <v>179.4</v>
      </c>
      <c r="AG48" s="58">
        <v>203.054</v>
      </c>
      <c r="AH48" s="58">
        <v>148.571</v>
      </c>
      <c r="AI48" s="58">
        <v>54.482999999999997</v>
      </c>
      <c r="AJ48" s="58">
        <v>316.62700000000001</v>
      </c>
      <c r="AK48" s="58">
        <v>123.313</v>
      </c>
      <c r="AL48" s="58">
        <v>193.31399999999999</v>
      </c>
      <c r="AM48" s="58">
        <v>310.60399999999998</v>
      </c>
      <c r="AN48" s="58">
        <v>126.729</v>
      </c>
      <c r="AO48" s="58">
        <v>183.875</v>
      </c>
      <c r="AP48" s="58">
        <v>3201.415</v>
      </c>
      <c r="AQ48" s="58">
        <v>1713.2639999999999</v>
      </c>
      <c r="AR48" s="58">
        <v>1488.1510000000001</v>
      </c>
      <c r="AS48" s="58">
        <v>2152.7049999999999</v>
      </c>
      <c r="AT48" s="58">
        <v>1384.95</v>
      </c>
      <c r="AU48" s="58">
        <v>767.75400000000002</v>
      </c>
      <c r="AV48" s="58">
        <v>1048.711</v>
      </c>
      <c r="AW48" s="58">
        <v>328.31400000000002</v>
      </c>
      <c r="AX48" s="58">
        <v>720.39700000000005</v>
      </c>
      <c r="AY48" s="58">
        <v>483.642</v>
      </c>
      <c r="AZ48" s="58">
        <v>263.512</v>
      </c>
      <c r="BA48" s="58">
        <v>220.13</v>
      </c>
      <c r="BB48" s="58">
        <v>103.595</v>
      </c>
      <c r="BC48" s="58">
        <v>60.465000000000003</v>
      </c>
      <c r="BD48" s="58">
        <v>43.128999999999998</v>
      </c>
      <c r="BE48" s="58">
        <v>39.625</v>
      </c>
      <c r="BF48" s="58">
        <v>31.760999999999999</v>
      </c>
      <c r="BG48" s="58">
        <v>7.8650000000000002</v>
      </c>
      <c r="BH48" s="58">
        <v>22.170999999999999</v>
      </c>
      <c r="BI48" s="58">
        <v>19.106000000000002</v>
      </c>
      <c r="BJ48" s="58">
        <v>3.0649999999999999</v>
      </c>
      <c r="BK48" s="58">
        <v>17.454000000000001</v>
      </c>
      <c r="BL48" s="58">
        <v>12.654999999999999</v>
      </c>
      <c r="BM48" s="58">
        <v>4.7990000000000004</v>
      </c>
      <c r="BN48" s="58">
        <v>63.969000000000001</v>
      </c>
      <c r="BO48" s="58">
        <v>28.704999999999998</v>
      </c>
      <c r="BP48" s="58">
        <v>35.265000000000001</v>
      </c>
      <c r="BQ48" s="58">
        <v>417.71600000000001</v>
      </c>
      <c r="BR48" s="58">
        <v>225.518</v>
      </c>
      <c r="BS48" s="58">
        <v>192.19800000000001</v>
      </c>
      <c r="BT48" s="58">
        <v>148.93</v>
      </c>
      <c r="BU48" s="58">
        <v>116.47199999999999</v>
      </c>
      <c r="BV48" s="58">
        <v>32.457999999999998</v>
      </c>
      <c r="BW48" s="58">
        <v>268.786</v>
      </c>
      <c r="BX48" s="58">
        <v>109.04600000000001</v>
      </c>
      <c r="BY48" s="58">
        <v>159.74</v>
      </c>
      <c r="BZ48" s="58">
        <v>180.321</v>
      </c>
      <c r="CA48" s="58">
        <v>140.52000000000001</v>
      </c>
      <c r="CB48" s="58">
        <v>39.801000000000002</v>
      </c>
      <c r="CC48" s="58">
        <v>303.32</v>
      </c>
      <c r="CD48" s="58">
        <v>122.991</v>
      </c>
      <c r="CE48" s="58">
        <v>180.32900000000001</v>
      </c>
      <c r="CF48" s="58">
        <v>290.95699999999999</v>
      </c>
      <c r="CG48" s="58">
        <v>128.15100000000001</v>
      </c>
      <c r="CH48" s="58">
        <v>162.80600000000001</v>
      </c>
      <c r="CI48" s="58">
        <v>2441.0279999999998</v>
      </c>
      <c r="CJ48" s="58">
        <v>1286.329</v>
      </c>
      <c r="CK48" s="58">
        <v>1154.6990000000001</v>
      </c>
      <c r="CL48" s="58">
        <v>1656.018</v>
      </c>
      <c r="CM48" s="58">
        <v>1045.521</v>
      </c>
      <c r="CN48" s="58">
        <v>610.49699999999996</v>
      </c>
      <c r="CO48" s="58">
        <v>785.01</v>
      </c>
      <c r="CP48" s="58">
        <v>240.80799999999999</v>
      </c>
      <c r="CQ48" s="58">
        <v>544.202</v>
      </c>
      <c r="CR48" s="58">
        <v>349.77499999999998</v>
      </c>
      <c r="CS48" s="58">
        <v>182.215</v>
      </c>
      <c r="CT48" s="58">
        <v>167.56</v>
      </c>
      <c r="CU48" s="58">
        <v>65.233999999999995</v>
      </c>
      <c r="CV48" s="58">
        <v>37.936</v>
      </c>
      <c r="CW48" s="58">
        <v>27.297999999999998</v>
      </c>
      <c r="CX48" s="58">
        <v>30.486000000000001</v>
      </c>
      <c r="CY48" s="58">
        <v>21.538</v>
      </c>
      <c r="CZ48" s="58">
        <v>8.9480000000000004</v>
      </c>
      <c r="DA48" s="58">
        <v>18.646999999999998</v>
      </c>
      <c r="DB48" s="58">
        <v>13.053000000000001</v>
      </c>
      <c r="DC48" s="58">
        <v>5.593</v>
      </c>
      <c r="DD48" s="58">
        <v>11.839</v>
      </c>
      <c r="DE48" s="58">
        <v>8.4849999999999994</v>
      </c>
      <c r="DF48" s="58">
        <v>3.3540000000000001</v>
      </c>
      <c r="DG48" s="58">
        <v>34.747999999999998</v>
      </c>
      <c r="DH48" s="58">
        <v>16.398</v>
      </c>
      <c r="DI48" s="58">
        <v>18.350000000000001</v>
      </c>
      <c r="DJ48" s="58">
        <v>315.68799999999999</v>
      </c>
      <c r="DK48" s="58">
        <v>159.01400000000001</v>
      </c>
      <c r="DL48" s="58">
        <v>156.67400000000001</v>
      </c>
      <c r="DM48" s="58">
        <v>106.986</v>
      </c>
      <c r="DN48" s="58">
        <v>78.632999999999996</v>
      </c>
      <c r="DO48" s="58">
        <v>28.353000000000002</v>
      </c>
      <c r="DP48" s="58">
        <v>208.702</v>
      </c>
      <c r="DQ48" s="58">
        <v>80.381</v>
      </c>
      <c r="DR48" s="58">
        <v>128.321</v>
      </c>
      <c r="DS48" s="58">
        <v>130.59</v>
      </c>
      <c r="DT48" s="58">
        <v>95.744</v>
      </c>
      <c r="DU48" s="58">
        <v>34.845999999999997</v>
      </c>
      <c r="DV48" s="58">
        <v>219.185</v>
      </c>
      <c r="DW48" s="58">
        <v>86.471000000000004</v>
      </c>
      <c r="DX48" s="58">
        <v>132.714</v>
      </c>
      <c r="DY48" s="58">
        <v>227.34899999999999</v>
      </c>
      <c r="DZ48" s="58">
        <v>93.435000000000002</v>
      </c>
      <c r="EA48" s="58">
        <v>133.91399999999999</v>
      </c>
      <c r="EB48" s="58">
        <v>825.21900000000005</v>
      </c>
      <c r="EC48" s="58">
        <v>439.19200000000001</v>
      </c>
      <c r="ED48" s="58">
        <v>386.02699999999999</v>
      </c>
      <c r="EE48" s="58">
        <v>530.52300000000002</v>
      </c>
      <c r="EF48" s="58">
        <v>346.27600000000001</v>
      </c>
      <c r="EG48" s="58">
        <v>184.24700000000001</v>
      </c>
      <c r="EH48" s="58">
        <v>294.697</v>
      </c>
      <c r="EI48" s="58">
        <v>92.915999999999997</v>
      </c>
      <c r="EJ48" s="58">
        <v>201.78</v>
      </c>
      <c r="EK48" s="58">
        <v>134.80600000000001</v>
      </c>
      <c r="EL48" s="58">
        <v>65.997</v>
      </c>
      <c r="EM48" s="58">
        <v>68.81</v>
      </c>
      <c r="EN48" s="58">
        <v>27.728999999999999</v>
      </c>
      <c r="EO48" s="58">
        <v>13.885999999999999</v>
      </c>
      <c r="EP48" s="58">
        <v>13.843999999999999</v>
      </c>
      <c r="EQ48" s="58">
        <v>9.7889999999999997</v>
      </c>
      <c r="ER48" s="58">
        <v>5.8079999999999998</v>
      </c>
      <c r="ES48" s="58">
        <v>3.9809999999999999</v>
      </c>
      <c r="ET48" s="58">
        <v>2.3679999999999999</v>
      </c>
      <c r="EU48" s="58">
        <v>1.5009999999999999</v>
      </c>
      <c r="EV48" s="58">
        <v>0.86699999999999999</v>
      </c>
      <c r="EW48" s="58">
        <v>7.4210000000000003</v>
      </c>
      <c r="EX48" s="58">
        <v>4.3070000000000004</v>
      </c>
      <c r="EY48" s="58">
        <v>3.1139999999999999</v>
      </c>
      <c r="EZ48" s="58">
        <v>17.940999999999999</v>
      </c>
      <c r="FA48" s="58">
        <v>8.0779999999999994</v>
      </c>
      <c r="FB48" s="58">
        <v>9.8629999999999995</v>
      </c>
      <c r="FC48" s="58">
        <v>118.703</v>
      </c>
      <c r="FD48" s="58">
        <v>58.802999999999997</v>
      </c>
      <c r="FE48" s="58">
        <v>59.901000000000003</v>
      </c>
      <c r="FF48" s="58">
        <v>36.796999999999997</v>
      </c>
      <c r="FG48" s="58">
        <v>26.79</v>
      </c>
      <c r="FH48" s="58">
        <v>10.007</v>
      </c>
      <c r="FI48" s="58">
        <v>81.906000000000006</v>
      </c>
      <c r="FJ48" s="58">
        <v>32.012</v>
      </c>
      <c r="FK48" s="58">
        <v>49.893000000000001</v>
      </c>
      <c r="FL48" s="58">
        <v>44.976999999999997</v>
      </c>
      <c r="FM48" s="58">
        <v>31.248000000000001</v>
      </c>
      <c r="FN48" s="58">
        <v>13.728999999999999</v>
      </c>
      <c r="FO48" s="58">
        <v>89.828999999999994</v>
      </c>
      <c r="FP48" s="58">
        <v>34.749000000000002</v>
      </c>
      <c r="FQ48" s="58">
        <v>55.08</v>
      </c>
      <c r="FR48" s="58">
        <v>84.272999999999996</v>
      </c>
      <c r="FS48" s="58">
        <v>33.512999999999998</v>
      </c>
      <c r="FT48" s="58">
        <v>50.76</v>
      </c>
      <c r="FU48" s="58">
        <v>1312.29</v>
      </c>
      <c r="FV48" s="58">
        <v>708.57</v>
      </c>
      <c r="FW48" s="58">
        <v>603.72</v>
      </c>
      <c r="FX48" s="58">
        <v>896.399</v>
      </c>
      <c r="FY48" s="58">
        <v>584.24900000000002</v>
      </c>
      <c r="FZ48" s="58">
        <v>312.15100000000001</v>
      </c>
      <c r="GA48" s="58">
        <v>415.89</v>
      </c>
      <c r="GB48" s="58">
        <v>124.321</v>
      </c>
      <c r="GC48" s="58">
        <v>291.56900000000002</v>
      </c>
      <c r="GD48" s="58">
        <v>225.453</v>
      </c>
      <c r="GE48" s="58">
        <v>124.518</v>
      </c>
      <c r="GF48" s="58">
        <v>100.934</v>
      </c>
      <c r="GG48" s="58">
        <v>42.741999999999997</v>
      </c>
      <c r="GH48" s="58">
        <v>25.821999999999999</v>
      </c>
      <c r="GI48" s="58">
        <v>16.920000000000002</v>
      </c>
      <c r="GJ48" s="58">
        <v>20.524000000000001</v>
      </c>
      <c r="GK48" s="58">
        <v>15.952</v>
      </c>
      <c r="GL48" s="58">
        <v>4.5720000000000001</v>
      </c>
      <c r="GM48" s="58">
        <v>10.116</v>
      </c>
      <c r="GN48" s="58">
        <v>8.1760000000000002</v>
      </c>
      <c r="GO48" s="58">
        <v>1.9390000000000001</v>
      </c>
      <c r="GP48" s="58">
        <v>10.409000000000001</v>
      </c>
      <c r="GQ48" s="58">
        <v>7.7759999999999998</v>
      </c>
      <c r="GR48" s="58">
        <v>2.633</v>
      </c>
      <c r="GS48" s="58">
        <v>22.218</v>
      </c>
      <c r="GT48" s="58">
        <v>9.8699999999999992</v>
      </c>
      <c r="GU48" s="58">
        <v>12.348000000000001</v>
      </c>
      <c r="GV48" s="58">
        <v>201.13</v>
      </c>
      <c r="GW48" s="58">
        <v>110.474</v>
      </c>
      <c r="GX48" s="58">
        <v>90.656000000000006</v>
      </c>
      <c r="GY48" s="58">
        <v>84.316000000000003</v>
      </c>
      <c r="GZ48" s="58">
        <v>61.985999999999997</v>
      </c>
      <c r="HA48" s="58">
        <v>22.33</v>
      </c>
      <c r="HB48" s="58">
        <v>116.81399999999999</v>
      </c>
      <c r="HC48" s="58">
        <v>48.488</v>
      </c>
      <c r="HD48" s="58">
        <v>68.325999999999993</v>
      </c>
      <c r="HE48" s="58">
        <v>97.906000000000006</v>
      </c>
      <c r="HF48" s="58">
        <v>71.308999999999997</v>
      </c>
      <c r="HG48" s="58">
        <v>26.597000000000001</v>
      </c>
      <c r="HH48" s="58">
        <v>127.547</v>
      </c>
      <c r="HI48" s="58">
        <v>53.209000000000003</v>
      </c>
      <c r="HJ48" s="58">
        <v>74.337999999999994</v>
      </c>
      <c r="HK48" s="58">
        <v>126.93</v>
      </c>
      <c r="HL48" s="58">
        <v>56.664000000000001</v>
      </c>
      <c r="HM48" s="58">
        <v>70.265000000000001</v>
      </c>
      <c r="HN48" s="58">
        <v>245.8</v>
      </c>
      <c r="HO48" s="58">
        <v>127.574</v>
      </c>
      <c r="HP48" s="58">
        <v>118.226</v>
      </c>
      <c r="HQ48" s="58">
        <v>153.321</v>
      </c>
      <c r="HR48" s="58">
        <v>99.251000000000005</v>
      </c>
      <c r="HS48" s="58">
        <v>54.07</v>
      </c>
      <c r="HT48" s="58">
        <v>92.478999999999999</v>
      </c>
      <c r="HU48" s="58">
        <v>28.323</v>
      </c>
      <c r="HV48" s="58">
        <v>64.156000000000006</v>
      </c>
      <c r="HW48" s="58">
        <v>42.241999999999997</v>
      </c>
      <c r="HX48" s="58">
        <v>19.923999999999999</v>
      </c>
      <c r="HY48" s="58">
        <v>22.318000000000001</v>
      </c>
      <c r="HZ48" s="58">
        <v>9.7629999999999999</v>
      </c>
      <c r="IA48" s="58">
        <v>5.0250000000000004</v>
      </c>
      <c r="IB48" s="58">
        <v>4.7380000000000004</v>
      </c>
      <c r="IC48" s="58">
        <v>3.0649999999999999</v>
      </c>
      <c r="ID48" s="58">
        <v>2.2879999999999998</v>
      </c>
      <c r="IE48" s="58">
        <v>0.77700000000000002</v>
      </c>
      <c r="IF48" s="58">
        <v>1.3089999999999999</v>
      </c>
      <c r="IG48" s="58">
        <v>0.90100000000000002</v>
      </c>
      <c r="IH48" s="58">
        <v>0.40799999999999997</v>
      </c>
      <c r="II48" s="58">
        <v>1.7549999999999999</v>
      </c>
      <c r="IJ48" s="58">
        <v>1.3859999999999999</v>
      </c>
      <c r="IK48" s="58">
        <v>0.36899999999999999</v>
      </c>
      <c r="IL48" s="58">
        <v>6.6980000000000004</v>
      </c>
      <c r="IM48" s="58">
        <v>2.7370000000000001</v>
      </c>
      <c r="IN48" s="58">
        <v>3.9609999999999999</v>
      </c>
      <c r="IO48" s="58">
        <v>36.481999999999999</v>
      </c>
      <c r="IP48" s="58">
        <v>16.645</v>
      </c>
      <c r="IQ48" s="58">
        <v>19.835999999999999</v>
      </c>
    </row>
    <row r="49" spans="1:251">
      <c r="A49" s="5">
        <v>42979</v>
      </c>
      <c r="B49" s="58">
        <v>1016.779</v>
      </c>
      <c r="C49" s="58">
        <v>1179.3119999999999</v>
      </c>
      <c r="D49" s="58">
        <v>368.827</v>
      </c>
      <c r="E49" s="58">
        <v>810.48500000000001</v>
      </c>
      <c r="F49" s="58">
        <v>524.43200000000002</v>
      </c>
      <c r="G49" s="58">
        <v>280.27699999999999</v>
      </c>
      <c r="H49" s="58">
        <v>244.155</v>
      </c>
      <c r="I49" s="58">
        <v>95.102000000000004</v>
      </c>
      <c r="J49" s="58">
        <v>50.262999999999998</v>
      </c>
      <c r="K49" s="58">
        <v>44.838999999999999</v>
      </c>
      <c r="L49" s="58">
        <v>33.953000000000003</v>
      </c>
      <c r="M49" s="58">
        <v>25.359000000000002</v>
      </c>
      <c r="N49" s="58">
        <v>8.593</v>
      </c>
      <c r="O49" s="58">
        <v>18.928000000000001</v>
      </c>
      <c r="P49" s="58">
        <v>14.311</v>
      </c>
      <c r="Q49" s="58">
        <v>4.617</v>
      </c>
      <c r="R49" s="58">
        <v>15.025</v>
      </c>
      <c r="S49" s="58">
        <v>11.048</v>
      </c>
      <c r="T49" s="58">
        <v>3.9769999999999999</v>
      </c>
      <c r="U49" s="58">
        <v>61.15</v>
      </c>
      <c r="V49" s="58">
        <v>24.904</v>
      </c>
      <c r="W49" s="58">
        <v>36.246000000000002</v>
      </c>
      <c r="X49" s="58">
        <v>478.12</v>
      </c>
      <c r="Y49" s="58">
        <v>253.78200000000001</v>
      </c>
      <c r="Z49" s="58">
        <v>224.33799999999999</v>
      </c>
      <c r="AA49" s="58">
        <v>181.38900000000001</v>
      </c>
      <c r="AB49" s="58">
        <v>137.714</v>
      </c>
      <c r="AC49" s="58">
        <v>43.674999999999997</v>
      </c>
      <c r="AD49" s="58">
        <v>296.73</v>
      </c>
      <c r="AE49" s="58">
        <v>116.068</v>
      </c>
      <c r="AF49" s="58">
        <v>180.66300000000001</v>
      </c>
      <c r="AG49" s="58">
        <v>204.292</v>
      </c>
      <c r="AH49" s="58">
        <v>154.291</v>
      </c>
      <c r="AI49" s="58">
        <v>50.000999999999998</v>
      </c>
      <c r="AJ49" s="58">
        <v>320.14</v>
      </c>
      <c r="AK49" s="58">
        <v>125.985</v>
      </c>
      <c r="AL49" s="58">
        <v>194.154</v>
      </c>
      <c r="AM49" s="58">
        <v>315.65800000000002</v>
      </c>
      <c r="AN49" s="58">
        <v>130.37899999999999</v>
      </c>
      <c r="AO49" s="58">
        <v>185.279</v>
      </c>
      <c r="AP49" s="58">
        <v>3218.9760000000001</v>
      </c>
      <c r="AQ49" s="58">
        <v>1712.027</v>
      </c>
      <c r="AR49" s="58">
        <v>1506.9480000000001</v>
      </c>
      <c r="AS49" s="58">
        <v>2148.1669999999999</v>
      </c>
      <c r="AT49" s="58">
        <v>1377.797</v>
      </c>
      <c r="AU49" s="58">
        <v>770.37</v>
      </c>
      <c r="AV49" s="58">
        <v>1070.809</v>
      </c>
      <c r="AW49" s="58">
        <v>334.23099999999999</v>
      </c>
      <c r="AX49" s="58">
        <v>736.57799999999997</v>
      </c>
      <c r="AY49" s="58">
        <v>460.30599999999998</v>
      </c>
      <c r="AZ49" s="58">
        <v>241.96700000000001</v>
      </c>
      <c r="BA49" s="58">
        <v>218.33799999999999</v>
      </c>
      <c r="BB49" s="58">
        <v>87.700999999999993</v>
      </c>
      <c r="BC49" s="58">
        <v>51.618000000000002</v>
      </c>
      <c r="BD49" s="58">
        <v>36.082999999999998</v>
      </c>
      <c r="BE49" s="58">
        <v>34.74</v>
      </c>
      <c r="BF49" s="58">
        <v>28.806000000000001</v>
      </c>
      <c r="BG49" s="58">
        <v>5.9340000000000002</v>
      </c>
      <c r="BH49" s="58">
        <v>16.030999999999999</v>
      </c>
      <c r="BI49" s="58">
        <v>14.521000000000001</v>
      </c>
      <c r="BJ49" s="58">
        <v>1.51</v>
      </c>
      <c r="BK49" s="58">
        <v>18.707999999999998</v>
      </c>
      <c r="BL49" s="58">
        <v>14.284000000000001</v>
      </c>
      <c r="BM49" s="58">
        <v>4.4240000000000004</v>
      </c>
      <c r="BN49" s="58">
        <v>52.960999999999999</v>
      </c>
      <c r="BO49" s="58">
        <v>22.812999999999999</v>
      </c>
      <c r="BP49" s="58">
        <v>30.149000000000001</v>
      </c>
      <c r="BQ49" s="58">
        <v>412.33300000000003</v>
      </c>
      <c r="BR49" s="58">
        <v>211.05500000000001</v>
      </c>
      <c r="BS49" s="58">
        <v>201.27799999999999</v>
      </c>
      <c r="BT49" s="58">
        <v>135.761</v>
      </c>
      <c r="BU49" s="58">
        <v>100.999</v>
      </c>
      <c r="BV49" s="58">
        <v>34.762</v>
      </c>
      <c r="BW49" s="58">
        <v>276.57100000000003</v>
      </c>
      <c r="BX49" s="58">
        <v>110.05500000000001</v>
      </c>
      <c r="BY49" s="58">
        <v>166.51599999999999</v>
      </c>
      <c r="BZ49" s="58">
        <v>164.47900000000001</v>
      </c>
      <c r="CA49" s="58">
        <v>123.783</v>
      </c>
      <c r="CB49" s="58">
        <v>40.695999999999998</v>
      </c>
      <c r="CC49" s="58">
        <v>295.82600000000002</v>
      </c>
      <c r="CD49" s="58">
        <v>118.184</v>
      </c>
      <c r="CE49" s="58">
        <v>177.642</v>
      </c>
      <c r="CF49" s="58">
        <v>292.60300000000001</v>
      </c>
      <c r="CG49" s="58">
        <v>124.577</v>
      </c>
      <c r="CH49" s="58">
        <v>168.02600000000001</v>
      </c>
      <c r="CI49" s="58">
        <v>2442.1089999999999</v>
      </c>
      <c r="CJ49" s="58">
        <v>1281.107</v>
      </c>
      <c r="CK49" s="58">
        <v>1161.002</v>
      </c>
      <c r="CL49" s="58">
        <v>1664.4459999999999</v>
      </c>
      <c r="CM49" s="58">
        <v>1047.252</v>
      </c>
      <c r="CN49" s="58">
        <v>617.19399999999996</v>
      </c>
      <c r="CO49" s="58">
        <v>777.66300000000001</v>
      </c>
      <c r="CP49" s="58">
        <v>233.85499999999999</v>
      </c>
      <c r="CQ49" s="58">
        <v>543.80700000000002</v>
      </c>
      <c r="CR49" s="58">
        <v>332.99700000000001</v>
      </c>
      <c r="CS49" s="58">
        <v>172.767</v>
      </c>
      <c r="CT49" s="58">
        <v>160.22999999999999</v>
      </c>
      <c r="CU49" s="58">
        <v>75.069000000000003</v>
      </c>
      <c r="CV49" s="58">
        <v>44.055999999999997</v>
      </c>
      <c r="CW49" s="58">
        <v>31.013000000000002</v>
      </c>
      <c r="CX49" s="58">
        <v>29.2</v>
      </c>
      <c r="CY49" s="58">
        <v>23.088000000000001</v>
      </c>
      <c r="CZ49" s="58">
        <v>6.1120000000000001</v>
      </c>
      <c r="DA49" s="58">
        <v>17.091999999999999</v>
      </c>
      <c r="DB49" s="58">
        <v>11.44</v>
      </c>
      <c r="DC49" s="58">
        <v>5.6520000000000001</v>
      </c>
      <c r="DD49" s="58">
        <v>12.108000000000001</v>
      </c>
      <c r="DE49" s="58">
        <v>11.648</v>
      </c>
      <c r="DF49" s="58">
        <v>0.46</v>
      </c>
      <c r="DG49" s="58">
        <v>45.869</v>
      </c>
      <c r="DH49" s="58">
        <v>20.968</v>
      </c>
      <c r="DI49" s="58">
        <v>24.901</v>
      </c>
      <c r="DJ49" s="58">
        <v>290.19099999999997</v>
      </c>
      <c r="DK49" s="58">
        <v>145.59299999999999</v>
      </c>
      <c r="DL49" s="58">
        <v>144.59800000000001</v>
      </c>
      <c r="DM49" s="58">
        <v>98.424000000000007</v>
      </c>
      <c r="DN49" s="58">
        <v>70.911000000000001</v>
      </c>
      <c r="DO49" s="58">
        <v>27.513000000000002</v>
      </c>
      <c r="DP49" s="58">
        <v>191.767</v>
      </c>
      <c r="DQ49" s="58">
        <v>74.682000000000002</v>
      </c>
      <c r="DR49" s="58">
        <v>117.08499999999999</v>
      </c>
      <c r="DS49" s="58">
        <v>120.876</v>
      </c>
      <c r="DT49" s="58">
        <v>89.007999999999996</v>
      </c>
      <c r="DU49" s="58">
        <v>31.867999999999999</v>
      </c>
      <c r="DV49" s="58">
        <v>212.12100000000001</v>
      </c>
      <c r="DW49" s="58">
        <v>83.759</v>
      </c>
      <c r="DX49" s="58">
        <v>128.36199999999999</v>
      </c>
      <c r="DY49" s="58">
        <v>208.86</v>
      </c>
      <c r="DZ49" s="58">
        <v>86.123000000000005</v>
      </c>
      <c r="EA49" s="58">
        <v>122.73699999999999</v>
      </c>
      <c r="EB49" s="58">
        <v>827.07600000000002</v>
      </c>
      <c r="EC49" s="58">
        <v>439.72399999999999</v>
      </c>
      <c r="ED49" s="58">
        <v>387.35199999999998</v>
      </c>
      <c r="EE49" s="58">
        <v>527.16099999999994</v>
      </c>
      <c r="EF49" s="58">
        <v>348.64</v>
      </c>
      <c r="EG49" s="58">
        <v>178.52099999999999</v>
      </c>
      <c r="EH49" s="58">
        <v>299.91500000000002</v>
      </c>
      <c r="EI49" s="58">
        <v>91.084000000000003</v>
      </c>
      <c r="EJ49" s="58">
        <v>208.83099999999999</v>
      </c>
      <c r="EK49" s="58">
        <v>124.48399999999999</v>
      </c>
      <c r="EL49" s="58">
        <v>57.673000000000002</v>
      </c>
      <c r="EM49" s="58">
        <v>66.811999999999998</v>
      </c>
      <c r="EN49" s="58">
        <v>24.221</v>
      </c>
      <c r="EO49" s="58">
        <v>13.092000000000001</v>
      </c>
      <c r="EP49" s="58">
        <v>11.129</v>
      </c>
      <c r="EQ49" s="58">
        <v>6.9720000000000004</v>
      </c>
      <c r="ER49" s="58">
        <v>6.4770000000000003</v>
      </c>
      <c r="ES49" s="58">
        <v>0.495</v>
      </c>
      <c r="ET49" s="58">
        <v>3.0840000000000001</v>
      </c>
      <c r="EU49" s="58">
        <v>2.8119999999999998</v>
      </c>
      <c r="EV49" s="58">
        <v>0.27200000000000002</v>
      </c>
      <c r="EW49" s="58">
        <v>3.8879999999999999</v>
      </c>
      <c r="EX49" s="58">
        <v>3.665</v>
      </c>
      <c r="EY49" s="58">
        <v>0.223</v>
      </c>
      <c r="EZ49" s="58">
        <v>17.248999999999999</v>
      </c>
      <c r="FA49" s="58">
        <v>6.6150000000000002</v>
      </c>
      <c r="FB49" s="58">
        <v>10.634</v>
      </c>
      <c r="FC49" s="58">
        <v>110.498</v>
      </c>
      <c r="FD49" s="58">
        <v>50.462000000000003</v>
      </c>
      <c r="FE49" s="58">
        <v>60.036000000000001</v>
      </c>
      <c r="FF49" s="58">
        <v>32.473999999999997</v>
      </c>
      <c r="FG49" s="58">
        <v>23.745000000000001</v>
      </c>
      <c r="FH49" s="58">
        <v>8.7289999999999992</v>
      </c>
      <c r="FI49" s="58">
        <v>78.024000000000001</v>
      </c>
      <c r="FJ49" s="58">
        <v>26.716999999999999</v>
      </c>
      <c r="FK49" s="58">
        <v>51.307000000000002</v>
      </c>
      <c r="FL49" s="58">
        <v>37.591999999999999</v>
      </c>
      <c r="FM49" s="58">
        <v>28.367999999999999</v>
      </c>
      <c r="FN49" s="58">
        <v>9.2240000000000002</v>
      </c>
      <c r="FO49" s="58">
        <v>86.891999999999996</v>
      </c>
      <c r="FP49" s="58">
        <v>29.303999999999998</v>
      </c>
      <c r="FQ49" s="58">
        <v>57.588000000000001</v>
      </c>
      <c r="FR49" s="58">
        <v>81.108000000000004</v>
      </c>
      <c r="FS49" s="58">
        <v>29.529</v>
      </c>
      <c r="FT49" s="58">
        <v>51.579000000000001</v>
      </c>
      <c r="FU49" s="58">
        <v>1324.009</v>
      </c>
      <c r="FV49" s="58">
        <v>720.55100000000004</v>
      </c>
      <c r="FW49" s="58">
        <v>603.45799999999997</v>
      </c>
      <c r="FX49" s="58">
        <v>903.68200000000002</v>
      </c>
      <c r="FY49" s="58">
        <v>593.49800000000005</v>
      </c>
      <c r="FZ49" s="58">
        <v>310.18400000000003</v>
      </c>
      <c r="GA49" s="58">
        <v>420.327</v>
      </c>
      <c r="GB49" s="58">
        <v>127.053</v>
      </c>
      <c r="GC49" s="58">
        <v>293.27300000000002</v>
      </c>
      <c r="GD49" s="58">
        <v>209.892</v>
      </c>
      <c r="GE49" s="58">
        <v>115.619</v>
      </c>
      <c r="GF49" s="58">
        <v>94.272999999999996</v>
      </c>
      <c r="GG49" s="58">
        <v>37.381</v>
      </c>
      <c r="GH49" s="58">
        <v>22.565999999999999</v>
      </c>
      <c r="GI49" s="58">
        <v>14.816000000000001</v>
      </c>
      <c r="GJ49" s="58">
        <v>15.766999999999999</v>
      </c>
      <c r="GK49" s="58">
        <v>13.13</v>
      </c>
      <c r="GL49" s="58">
        <v>2.637</v>
      </c>
      <c r="GM49" s="58">
        <v>9.9909999999999997</v>
      </c>
      <c r="GN49" s="58">
        <v>8.1809999999999992</v>
      </c>
      <c r="GO49" s="58">
        <v>1.81</v>
      </c>
      <c r="GP49" s="58">
        <v>5.7759999999999998</v>
      </c>
      <c r="GQ49" s="58">
        <v>4.95</v>
      </c>
      <c r="GR49" s="58">
        <v>0.82699999999999996</v>
      </c>
      <c r="GS49" s="58">
        <v>21.614000000000001</v>
      </c>
      <c r="GT49" s="58">
        <v>9.4359999999999999</v>
      </c>
      <c r="GU49" s="58">
        <v>12.179</v>
      </c>
      <c r="GV49" s="58">
        <v>190.56800000000001</v>
      </c>
      <c r="GW49" s="58">
        <v>105.462</v>
      </c>
      <c r="GX49" s="58">
        <v>85.105999999999995</v>
      </c>
      <c r="GY49" s="58">
        <v>76.691999999999993</v>
      </c>
      <c r="GZ49" s="58">
        <v>58.326999999999998</v>
      </c>
      <c r="HA49" s="58">
        <v>18.364999999999998</v>
      </c>
      <c r="HB49" s="58">
        <v>113.876</v>
      </c>
      <c r="HC49" s="58">
        <v>47.136000000000003</v>
      </c>
      <c r="HD49" s="58">
        <v>66.739999999999995</v>
      </c>
      <c r="HE49" s="58">
        <v>85.194000000000003</v>
      </c>
      <c r="HF49" s="58">
        <v>65.218000000000004</v>
      </c>
      <c r="HG49" s="58">
        <v>19.975999999999999</v>
      </c>
      <c r="HH49" s="58">
        <v>124.69799999999999</v>
      </c>
      <c r="HI49" s="58">
        <v>50.401000000000003</v>
      </c>
      <c r="HJ49" s="58">
        <v>74.298000000000002</v>
      </c>
      <c r="HK49" s="58">
        <v>123.867</v>
      </c>
      <c r="HL49" s="58">
        <v>55.316000000000003</v>
      </c>
      <c r="HM49" s="58">
        <v>68.551000000000002</v>
      </c>
      <c r="HN49" s="58">
        <v>247.99299999999999</v>
      </c>
      <c r="HO49" s="58">
        <v>127.349</v>
      </c>
      <c r="HP49" s="58">
        <v>120.645</v>
      </c>
      <c r="HQ49" s="58">
        <v>151.821</v>
      </c>
      <c r="HR49" s="58">
        <v>98.625</v>
      </c>
      <c r="HS49" s="58">
        <v>53.195999999999998</v>
      </c>
      <c r="HT49" s="58">
        <v>96.171999999999997</v>
      </c>
      <c r="HU49" s="58">
        <v>28.724</v>
      </c>
      <c r="HV49" s="58">
        <v>67.447999999999993</v>
      </c>
      <c r="HW49" s="58">
        <v>39.911999999999999</v>
      </c>
      <c r="HX49" s="58">
        <v>17.736999999999998</v>
      </c>
      <c r="HY49" s="58">
        <v>22.175000000000001</v>
      </c>
      <c r="HZ49" s="58">
        <v>8.5579999999999998</v>
      </c>
      <c r="IA49" s="58">
        <v>4.2080000000000002</v>
      </c>
      <c r="IB49" s="58">
        <v>4.3499999999999996</v>
      </c>
      <c r="IC49" s="58">
        <v>2.6960000000000002</v>
      </c>
      <c r="ID49" s="58">
        <v>2.016</v>
      </c>
      <c r="IE49" s="58">
        <v>0.68100000000000005</v>
      </c>
      <c r="IF49" s="58">
        <v>0.92200000000000004</v>
      </c>
      <c r="IG49" s="58">
        <v>0.59499999999999997</v>
      </c>
      <c r="IH49" s="58">
        <v>0.32700000000000001</v>
      </c>
      <c r="II49" s="58">
        <v>1.7749999999999999</v>
      </c>
      <c r="IJ49" s="58">
        <v>1.42</v>
      </c>
      <c r="IK49" s="58">
        <v>0.35399999999999998</v>
      </c>
      <c r="IL49" s="58">
        <v>5.8620000000000001</v>
      </c>
      <c r="IM49" s="58">
        <v>2.1930000000000001</v>
      </c>
      <c r="IN49" s="58">
        <v>3.669</v>
      </c>
      <c r="IO49" s="58">
        <v>35.308999999999997</v>
      </c>
      <c r="IP49" s="58">
        <v>15.023999999999999</v>
      </c>
      <c r="IQ49" s="58">
        <v>20.285</v>
      </c>
    </row>
    <row r="50" spans="1:251">
      <c r="A50" s="5">
        <v>43009</v>
      </c>
      <c r="B50" s="58">
        <v>1030</v>
      </c>
      <c r="C50" s="58">
        <v>1162.5229999999999</v>
      </c>
      <c r="D50" s="58">
        <v>367.89800000000002</v>
      </c>
      <c r="E50" s="58">
        <v>794.625</v>
      </c>
      <c r="F50" s="58">
        <v>521.86800000000005</v>
      </c>
      <c r="G50" s="58">
        <v>272.58800000000002</v>
      </c>
      <c r="H50" s="58">
        <v>249.28</v>
      </c>
      <c r="I50" s="58">
        <v>85.596000000000004</v>
      </c>
      <c r="J50" s="58">
        <v>47.533999999999999</v>
      </c>
      <c r="K50" s="58">
        <v>38.061999999999998</v>
      </c>
      <c r="L50" s="58">
        <v>28.13</v>
      </c>
      <c r="M50" s="58">
        <v>21.972000000000001</v>
      </c>
      <c r="N50" s="58">
        <v>6.1580000000000004</v>
      </c>
      <c r="O50" s="58">
        <v>12.667999999999999</v>
      </c>
      <c r="P50" s="58">
        <v>9.6349999999999998</v>
      </c>
      <c r="Q50" s="58">
        <v>3.0329999999999999</v>
      </c>
      <c r="R50" s="58">
        <v>15.462999999999999</v>
      </c>
      <c r="S50" s="58">
        <v>12.337999999999999</v>
      </c>
      <c r="T50" s="58">
        <v>3.125</v>
      </c>
      <c r="U50" s="58">
        <v>57.466000000000001</v>
      </c>
      <c r="V50" s="58">
        <v>25.562000000000001</v>
      </c>
      <c r="W50" s="58">
        <v>31.905000000000001</v>
      </c>
      <c r="X50" s="58">
        <v>476.72500000000002</v>
      </c>
      <c r="Y50" s="58">
        <v>249.15799999999999</v>
      </c>
      <c r="Z50" s="58">
        <v>227.56700000000001</v>
      </c>
      <c r="AA50" s="58">
        <v>178.63</v>
      </c>
      <c r="AB50" s="58">
        <v>134.49100000000001</v>
      </c>
      <c r="AC50" s="58">
        <v>44.139000000000003</v>
      </c>
      <c r="AD50" s="58">
        <v>298.09500000000003</v>
      </c>
      <c r="AE50" s="58">
        <v>114.667</v>
      </c>
      <c r="AF50" s="58">
        <v>183.429</v>
      </c>
      <c r="AG50" s="58">
        <v>197.88499999999999</v>
      </c>
      <c r="AH50" s="58">
        <v>148.691</v>
      </c>
      <c r="AI50" s="58">
        <v>49.194000000000003</v>
      </c>
      <c r="AJ50" s="58">
        <v>323.983</v>
      </c>
      <c r="AK50" s="58">
        <v>123.89700000000001</v>
      </c>
      <c r="AL50" s="58">
        <v>200.08600000000001</v>
      </c>
      <c r="AM50" s="58">
        <v>310.76299999999998</v>
      </c>
      <c r="AN50" s="58">
        <v>124.301</v>
      </c>
      <c r="AO50" s="58">
        <v>186.46199999999999</v>
      </c>
      <c r="AP50" s="58">
        <v>3220.904</v>
      </c>
      <c r="AQ50" s="58">
        <v>1720.549</v>
      </c>
      <c r="AR50" s="58">
        <v>1500.355</v>
      </c>
      <c r="AS50" s="58">
        <v>2162.2170000000001</v>
      </c>
      <c r="AT50" s="58">
        <v>1384.76</v>
      </c>
      <c r="AU50" s="58">
        <v>777.45600000000002</v>
      </c>
      <c r="AV50" s="58">
        <v>1058.6869999999999</v>
      </c>
      <c r="AW50" s="58">
        <v>335.78899999999999</v>
      </c>
      <c r="AX50" s="58">
        <v>722.899</v>
      </c>
      <c r="AY50" s="58">
        <v>450.30399999999997</v>
      </c>
      <c r="AZ50" s="58">
        <v>235.56700000000001</v>
      </c>
      <c r="BA50" s="58">
        <v>214.738</v>
      </c>
      <c r="BB50" s="58">
        <v>79.807000000000002</v>
      </c>
      <c r="BC50" s="58">
        <v>44.718000000000004</v>
      </c>
      <c r="BD50" s="58">
        <v>35.088999999999999</v>
      </c>
      <c r="BE50" s="58">
        <v>29.396000000000001</v>
      </c>
      <c r="BF50" s="58">
        <v>23.661999999999999</v>
      </c>
      <c r="BG50" s="58">
        <v>5.734</v>
      </c>
      <c r="BH50" s="58">
        <v>16.559999999999999</v>
      </c>
      <c r="BI50" s="58">
        <v>11.791</v>
      </c>
      <c r="BJ50" s="58">
        <v>4.7690000000000001</v>
      </c>
      <c r="BK50" s="58">
        <v>12.836</v>
      </c>
      <c r="BL50" s="58">
        <v>11.871</v>
      </c>
      <c r="BM50" s="58">
        <v>0.96499999999999997</v>
      </c>
      <c r="BN50" s="58">
        <v>50.411000000000001</v>
      </c>
      <c r="BO50" s="58">
        <v>21.056000000000001</v>
      </c>
      <c r="BP50" s="58">
        <v>29.355</v>
      </c>
      <c r="BQ50" s="58">
        <v>406.00299999999999</v>
      </c>
      <c r="BR50" s="58">
        <v>209.37100000000001</v>
      </c>
      <c r="BS50" s="58">
        <v>196.631</v>
      </c>
      <c r="BT50" s="58">
        <v>140.1</v>
      </c>
      <c r="BU50" s="58">
        <v>101.89</v>
      </c>
      <c r="BV50" s="58">
        <v>38.21</v>
      </c>
      <c r="BW50" s="58">
        <v>265.90199999999999</v>
      </c>
      <c r="BX50" s="58">
        <v>107.48099999999999</v>
      </c>
      <c r="BY50" s="58">
        <v>158.42099999999999</v>
      </c>
      <c r="BZ50" s="58">
        <v>162.803</v>
      </c>
      <c r="CA50" s="58">
        <v>119.97</v>
      </c>
      <c r="CB50" s="58">
        <v>42.834000000000003</v>
      </c>
      <c r="CC50" s="58">
        <v>287.50099999999998</v>
      </c>
      <c r="CD50" s="58">
        <v>115.59699999999999</v>
      </c>
      <c r="CE50" s="58">
        <v>171.904</v>
      </c>
      <c r="CF50" s="58">
        <v>282.46199999999999</v>
      </c>
      <c r="CG50" s="58">
        <v>119.27200000000001</v>
      </c>
      <c r="CH50" s="58">
        <v>163.19</v>
      </c>
      <c r="CI50" s="58">
        <v>2470.9609999999998</v>
      </c>
      <c r="CJ50" s="58">
        <v>1289.18</v>
      </c>
      <c r="CK50" s="58">
        <v>1181.7809999999999</v>
      </c>
      <c r="CL50" s="58">
        <v>1676.723</v>
      </c>
      <c r="CM50" s="58">
        <v>1050.7809999999999</v>
      </c>
      <c r="CN50" s="58">
        <v>625.94200000000001</v>
      </c>
      <c r="CO50" s="58">
        <v>794.23800000000006</v>
      </c>
      <c r="CP50" s="58">
        <v>238.398</v>
      </c>
      <c r="CQ50" s="58">
        <v>555.83900000000006</v>
      </c>
      <c r="CR50" s="58">
        <v>322.976</v>
      </c>
      <c r="CS50" s="58">
        <v>163.71799999999999</v>
      </c>
      <c r="CT50" s="58">
        <v>159.25800000000001</v>
      </c>
      <c r="CU50" s="58">
        <v>66.840999999999994</v>
      </c>
      <c r="CV50" s="58">
        <v>35.094999999999999</v>
      </c>
      <c r="CW50" s="58">
        <v>31.745999999999999</v>
      </c>
      <c r="CX50" s="58">
        <v>14.081</v>
      </c>
      <c r="CY50" s="58">
        <v>11.563000000000001</v>
      </c>
      <c r="CZ50" s="58">
        <v>2.5179999999999998</v>
      </c>
      <c r="DA50" s="58">
        <v>8.5820000000000007</v>
      </c>
      <c r="DB50" s="58">
        <v>7.6319999999999997</v>
      </c>
      <c r="DC50" s="58">
        <v>0.95</v>
      </c>
      <c r="DD50" s="58">
        <v>5.4989999999999997</v>
      </c>
      <c r="DE50" s="58">
        <v>3.931</v>
      </c>
      <c r="DF50" s="58">
        <v>1.5680000000000001</v>
      </c>
      <c r="DG50" s="58">
        <v>52.76</v>
      </c>
      <c r="DH50" s="58">
        <v>23.532</v>
      </c>
      <c r="DI50" s="58">
        <v>29.228000000000002</v>
      </c>
      <c r="DJ50" s="58">
        <v>293.887</v>
      </c>
      <c r="DK50" s="58">
        <v>149.68700000000001</v>
      </c>
      <c r="DL50" s="58">
        <v>144.19999999999999</v>
      </c>
      <c r="DM50" s="58">
        <v>95.956000000000003</v>
      </c>
      <c r="DN50" s="58">
        <v>68.308999999999997</v>
      </c>
      <c r="DO50" s="58">
        <v>27.646999999999998</v>
      </c>
      <c r="DP50" s="58">
        <v>197.93100000000001</v>
      </c>
      <c r="DQ50" s="58">
        <v>81.379000000000005</v>
      </c>
      <c r="DR50" s="58">
        <v>116.55200000000001</v>
      </c>
      <c r="DS50" s="58">
        <v>105.34399999999999</v>
      </c>
      <c r="DT50" s="58">
        <v>75.177999999999997</v>
      </c>
      <c r="DU50" s="58">
        <v>30.164999999999999</v>
      </c>
      <c r="DV50" s="58">
        <v>217.63200000000001</v>
      </c>
      <c r="DW50" s="58">
        <v>88.539000000000001</v>
      </c>
      <c r="DX50" s="58">
        <v>129.09299999999999</v>
      </c>
      <c r="DY50" s="58">
        <v>206.51300000000001</v>
      </c>
      <c r="DZ50" s="58">
        <v>89.010999999999996</v>
      </c>
      <c r="EA50" s="58">
        <v>117.503</v>
      </c>
      <c r="EB50" s="58">
        <v>822.79499999999996</v>
      </c>
      <c r="EC50" s="58">
        <v>438.92200000000003</v>
      </c>
      <c r="ED50" s="58">
        <v>383.87299999999999</v>
      </c>
      <c r="EE50" s="58">
        <v>532.13300000000004</v>
      </c>
      <c r="EF50" s="58">
        <v>353.45800000000003</v>
      </c>
      <c r="EG50" s="58">
        <v>178.67500000000001</v>
      </c>
      <c r="EH50" s="58">
        <v>290.66199999999998</v>
      </c>
      <c r="EI50" s="58">
        <v>85.463999999999999</v>
      </c>
      <c r="EJ50" s="58">
        <v>205.197</v>
      </c>
      <c r="EK50" s="58">
        <v>127.10899999999999</v>
      </c>
      <c r="EL50" s="58">
        <v>62.265999999999998</v>
      </c>
      <c r="EM50" s="58">
        <v>64.843000000000004</v>
      </c>
      <c r="EN50" s="58">
        <v>25.914000000000001</v>
      </c>
      <c r="EO50" s="58">
        <v>12.031000000000001</v>
      </c>
      <c r="EP50" s="58">
        <v>13.882999999999999</v>
      </c>
      <c r="EQ50" s="58">
        <v>7.08</v>
      </c>
      <c r="ER50" s="58">
        <v>4.7380000000000004</v>
      </c>
      <c r="ES50" s="58">
        <v>2.3420000000000001</v>
      </c>
      <c r="ET50" s="58">
        <v>2.9119999999999999</v>
      </c>
      <c r="EU50" s="58">
        <v>2.266</v>
      </c>
      <c r="EV50" s="58">
        <v>0.64700000000000002</v>
      </c>
      <c r="EW50" s="58">
        <v>4.1680000000000001</v>
      </c>
      <c r="EX50" s="58">
        <v>2.472</v>
      </c>
      <c r="EY50" s="58">
        <v>1.696</v>
      </c>
      <c r="EZ50" s="58">
        <v>18.834</v>
      </c>
      <c r="FA50" s="58">
        <v>7.2939999999999996</v>
      </c>
      <c r="FB50" s="58">
        <v>11.54</v>
      </c>
      <c r="FC50" s="58">
        <v>110.97</v>
      </c>
      <c r="FD50" s="58">
        <v>55.171999999999997</v>
      </c>
      <c r="FE50" s="58">
        <v>55.798000000000002</v>
      </c>
      <c r="FF50" s="58">
        <v>36.655000000000001</v>
      </c>
      <c r="FG50" s="58">
        <v>27.492000000000001</v>
      </c>
      <c r="FH50" s="58">
        <v>9.1630000000000003</v>
      </c>
      <c r="FI50" s="58">
        <v>74.314999999999998</v>
      </c>
      <c r="FJ50" s="58">
        <v>27.68</v>
      </c>
      <c r="FK50" s="58">
        <v>46.634999999999998</v>
      </c>
      <c r="FL50" s="58">
        <v>43.734999999999999</v>
      </c>
      <c r="FM50" s="58">
        <v>32.229999999999997</v>
      </c>
      <c r="FN50" s="58">
        <v>11.506</v>
      </c>
      <c r="FO50" s="58">
        <v>83.373999999999995</v>
      </c>
      <c r="FP50" s="58">
        <v>30.036999999999999</v>
      </c>
      <c r="FQ50" s="58">
        <v>53.337000000000003</v>
      </c>
      <c r="FR50" s="58">
        <v>77.227000000000004</v>
      </c>
      <c r="FS50" s="58">
        <v>29.946000000000002</v>
      </c>
      <c r="FT50" s="58">
        <v>47.280999999999999</v>
      </c>
      <c r="FU50" s="58">
        <v>1319.741</v>
      </c>
      <c r="FV50" s="58">
        <v>719.42200000000003</v>
      </c>
      <c r="FW50" s="58">
        <v>600.31799999999998</v>
      </c>
      <c r="FX50" s="58">
        <v>891.90200000000004</v>
      </c>
      <c r="FY50" s="58">
        <v>588.58799999999997</v>
      </c>
      <c r="FZ50" s="58">
        <v>303.31400000000002</v>
      </c>
      <c r="GA50" s="58">
        <v>427.839</v>
      </c>
      <c r="GB50" s="58">
        <v>130.834</v>
      </c>
      <c r="GC50" s="58">
        <v>297.00400000000002</v>
      </c>
      <c r="GD50" s="58">
        <v>227.00700000000001</v>
      </c>
      <c r="GE50" s="58">
        <v>120.872</v>
      </c>
      <c r="GF50" s="58">
        <v>106.13500000000001</v>
      </c>
      <c r="GG50" s="58">
        <v>35.06</v>
      </c>
      <c r="GH50" s="58">
        <v>23.228999999999999</v>
      </c>
      <c r="GI50" s="58">
        <v>11.831</v>
      </c>
      <c r="GJ50" s="58">
        <v>14.96</v>
      </c>
      <c r="GK50" s="58">
        <v>12.69</v>
      </c>
      <c r="GL50" s="58">
        <v>2.27</v>
      </c>
      <c r="GM50" s="58">
        <v>7.7649999999999997</v>
      </c>
      <c r="GN50" s="58">
        <v>7.0270000000000001</v>
      </c>
      <c r="GO50" s="58">
        <v>0.73899999999999999</v>
      </c>
      <c r="GP50" s="58">
        <v>7.1950000000000003</v>
      </c>
      <c r="GQ50" s="58">
        <v>5.6630000000000003</v>
      </c>
      <c r="GR50" s="58">
        <v>1.532</v>
      </c>
      <c r="GS50" s="58">
        <v>20.100000000000001</v>
      </c>
      <c r="GT50" s="58">
        <v>10.539</v>
      </c>
      <c r="GU50" s="58">
        <v>9.5609999999999999</v>
      </c>
      <c r="GV50" s="58">
        <v>205.10300000000001</v>
      </c>
      <c r="GW50" s="58">
        <v>107.383</v>
      </c>
      <c r="GX50" s="58">
        <v>97.72</v>
      </c>
      <c r="GY50" s="58">
        <v>81.031999999999996</v>
      </c>
      <c r="GZ50" s="58">
        <v>59.814999999999998</v>
      </c>
      <c r="HA50" s="58">
        <v>21.216999999999999</v>
      </c>
      <c r="HB50" s="58">
        <v>124.071</v>
      </c>
      <c r="HC50" s="58">
        <v>47.567999999999998</v>
      </c>
      <c r="HD50" s="58">
        <v>76.503</v>
      </c>
      <c r="HE50" s="58">
        <v>91.736999999999995</v>
      </c>
      <c r="HF50" s="58">
        <v>68.563000000000002</v>
      </c>
      <c r="HG50" s="58">
        <v>23.173999999999999</v>
      </c>
      <c r="HH50" s="58">
        <v>135.26900000000001</v>
      </c>
      <c r="HI50" s="58">
        <v>52.308999999999997</v>
      </c>
      <c r="HJ50" s="58">
        <v>82.960999999999999</v>
      </c>
      <c r="HK50" s="58">
        <v>131.83699999999999</v>
      </c>
      <c r="HL50" s="58">
        <v>54.594000000000001</v>
      </c>
      <c r="HM50" s="58">
        <v>77.242000000000004</v>
      </c>
      <c r="HN50" s="58">
        <v>244.79</v>
      </c>
      <c r="HO50" s="58">
        <v>125.30200000000001</v>
      </c>
      <c r="HP50" s="58">
        <v>119.488</v>
      </c>
      <c r="HQ50" s="58">
        <v>150.08500000000001</v>
      </c>
      <c r="HR50" s="58">
        <v>97.712999999999994</v>
      </c>
      <c r="HS50" s="58">
        <v>52.372</v>
      </c>
      <c r="HT50" s="58">
        <v>94.704999999999998</v>
      </c>
      <c r="HU50" s="58">
        <v>27.588000000000001</v>
      </c>
      <c r="HV50" s="58">
        <v>67.117000000000004</v>
      </c>
      <c r="HW50" s="58">
        <v>41.906999999999996</v>
      </c>
      <c r="HX50" s="58">
        <v>18.696999999999999</v>
      </c>
      <c r="HY50" s="58">
        <v>23.21</v>
      </c>
      <c r="HZ50" s="58">
        <v>8.48</v>
      </c>
      <c r="IA50" s="58">
        <v>4.8719999999999999</v>
      </c>
      <c r="IB50" s="58">
        <v>3.609</v>
      </c>
      <c r="IC50" s="58">
        <v>2.0990000000000002</v>
      </c>
      <c r="ID50" s="58">
        <v>1.4930000000000001</v>
      </c>
      <c r="IE50" s="58">
        <v>0.60599999999999998</v>
      </c>
      <c r="IF50" s="58">
        <v>1.232</v>
      </c>
      <c r="IG50" s="58">
        <v>1.121</v>
      </c>
      <c r="IH50" s="58">
        <v>0.11</v>
      </c>
      <c r="II50" s="58">
        <v>0.86699999999999999</v>
      </c>
      <c r="IJ50" s="58">
        <v>0.371</v>
      </c>
      <c r="IK50" s="58">
        <v>0.496</v>
      </c>
      <c r="IL50" s="58">
        <v>6.3810000000000002</v>
      </c>
      <c r="IM50" s="58">
        <v>3.379</v>
      </c>
      <c r="IN50" s="58">
        <v>3.0019999999999998</v>
      </c>
      <c r="IO50" s="58">
        <v>37.161999999999999</v>
      </c>
      <c r="IP50" s="58">
        <v>16.013000000000002</v>
      </c>
      <c r="IQ50" s="58">
        <v>21.149000000000001</v>
      </c>
    </row>
    <row r="51" spans="1:251">
      <c r="A51" s="5">
        <v>43040</v>
      </c>
      <c r="B51" s="58">
        <v>1037.6020000000001</v>
      </c>
      <c r="C51" s="58">
        <v>1179.221</v>
      </c>
      <c r="D51" s="58">
        <v>368.18700000000001</v>
      </c>
      <c r="E51" s="58">
        <v>811.03399999999999</v>
      </c>
      <c r="F51" s="58">
        <v>556.96900000000005</v>
      </c>
      <c r="G51" s="58">
        <v>284.33999999999997</v>
      </c>
      <c r="H51" s="58">
        <v>272.62900000000002</v>
      </c>
      <c r="I51" s="58">
        <v>86.037999999999997</v>
      </c>
      <c r="J51" s="58">
        <v>44.003999999999998</v>
      </c>
      <c r="K51" s="58">
        <v>42.033999999999999</v>
      </c>
      <c r="L51" s="58">
        <v>29.224</v>
      </c>
      <c r="M51" s="58">
        <v>22.768999999999998</v>
      </c>
      <c r="N51" s="58">
        <v>6.4550000000000001</v>
      </c>
      <c r="O51" s="58">
        <v>14.452</v>
      </c>
      <c r="P51" s="58">
        <v>11.843</v>
      </c>
      <c r="Q51" s="58">
        <v>2.609</v>
      </c>
      <c r="R51" s="58">
        <v>14.773</v>
      </c>
      <c r="S51" s="58">
        <v>10.926</v>
      </c>
      <c r="T51" s="58">
        <v>3.8460000000000001</v>
      </c>
      <c r="U51" s="58">
        <v>56.814</v>
      </c>
      <c r="V51" s="58">
        <v>21.234999999999999</v>
      </c>
      <c r="W51" s="58">
        <v>35.578000000000003</v>
      </c>
      <c r="X51" s="58">
        <v>510.185</v>
      </c>
      <c r="Y51" s="58">
        <v>258.81599999999997</v>
      </c>
      <c r="Z51" s="58">
        <v>251.369</v>
      </c>
      <c r="AA51" s="58">
        <v>184.524</v>
      </c>
      <c r="AB51" s="58">
        <v>133.374</v>
      </c>
      <c r="AC51" s="58">
        <v>51.15</v>
      </c>
      <c r="AD51" s="58">
        <v>325.661</v>
      </c>
      <c r="AE51" s="58">
        <v>125.44199999999999</v>
      </c>
      <c r="AF51" s="58">
        <v>200.22</v>
      </c>
      <c r="AG51" s="58">
        <v>205.52099999999999</v>
      </c>
      <c r="AH51" s="58">
        <v>151.68299999999999</v>
      </c>
      <c r="AI51" s="58">
        <v>53.838999999999999</v>
      </c>
      <c r="AJ51" s="58">
        <v>351.447</v>
      </c>
      <c r="AK51" s="58">
        <v>132.65700000000001</v>
      </c>
      <c r="AL51" s="58">
        <v>218.79</v>
      </c>
      <c r="AM51" s="58">
        <v>340.113</v>
      </c>
      <c r="AN51" s="58">
        <v>137.28399999999999</v>
      </c>
      <c r="AO51" s="58">
        <v>202.82900000000001</v>
      </c>
      <c r="AP51" s="58">
        <v>3254.1640000000002</v>
      </c>
      <c r="AQ51" s="58">
        <v>1736.4290000000001</v>
      </c>
      <c r="AR51" s="58">
        <v>1517.7349999999999</v>
      </c>
      <c r="AS51" s="58">
        <v>2191.5459999999998</v>
      </c>
      <c r="AT51" s="58">
        <v>1401.106</v>
      </c>
      <c r="AU51" s="58">
        <v>790.44</v>
      </c>
      <c r="AV51" s="58">
        <v>1062.6179999999999</v>
      </c>
      <c r="AW51" s="58">
        <v>335.32299999999998</v>
      </c>
      <c r="AX51" s="58">
        <v>727.29499999999996</v>
      </c>
      <c r="AY51" s="58">
        <v>477.09199999999998</v>
      </c>
      <c r="AZ51" s="58">
        <v>260.96499999999997</v>
      </c>
      <c r="BA51" s="58">
        <v>216.126</v>
      </c>
      <c r="BB51" s="58">
        <v>84.69</v>
      </c>
      <c r="BC51" s="58">
        <v>48.536999999999999</v>
      </c>
      <c r="BD51" s="58">
        <v>36.152999999999999</v>
      </c>
      <c r="BE51" s="58">
        <v>31.837</v>
      </c>
      <c r="BF51" s="58">
        <v>26.050999999999998</v>
      </c>
      <c r="BG51" s="58">
        <v>5.7859999999999996</v>
      </c>
      <c r="BH51" s="58">
        <v>12.983000000000001</v>
      </c>
      <c r="BI51" s="58">
        <v>8.1319999999999997</v>
      </c>
      <c r="BJ51" s="58">
        <v>4.851</v>
      </c>
      <c r="BK51" s="58">
        <v>18.853999999999999</v>
      </c>
      <c r="BL51" s="58">
        <v>17.919</v>
      </c>
      <c r="BM51" s="58">
        <v>0.93400000000000005</v>
      </c>
      <c r="BN51" s="58">
        <v>52.853000000000002</v>
      </c>
      <c r="BO51" s="58">
        <v>22.486000000000001</v>
      </c>
      <c r="BP51" s="58">
        <v>30.367000000000001</v>
      </c>
      <c r="BQ51" s="58">
        <v>428.70800000000003</v>
      </c>
      <c r="BR51" s="58">
        <v>232.078</v>
      </c>
      <c r="BS51" s="58">
        <v>196.631</v>
      </c>
      <c r="BT51" s="58">
        <v>144.131</v>
      </c>
      <c r="BU51" s="58">
        <v>110.119</v>
      </c>
      <c r="BV51" s="58">
        <v>34.012</v>
      </c>
      <c r="BW51" s="58">
        <v>284.57799999999997</v>
      </c>
      <c r="BX51" s="58">
        <v>121.959</v>
      </c>
      <c r="BY51" s="58">
        <v>162.619</v>
      </c>
      <c r="BZ51" s="58">
        <v>170.143</v>
      </c>
      <c r="CA51" s="58">
        <v>131.315</v>
      </c>
      <c r="CB51" s="58">
        <v>38.828000000000003</v>
      </c>
      <c r="CC51" s="58">
        <v>306.94900000000001</v>
      </c>
      <c r="CD51" s="58">
        <v>129.65</v>
      </c>
      <c r="CE51" s="58">
        <v>177.29900000000001</v>
      </c>
      <c r="CF51" s="58">
        <v>297.56099999999998</v>
      </c>
      <c r="CG51" s="58">
        <v>130.09</v>
      </c>
      <c r="CH51" s="58">
        <v>167.471</v>
      </c>
      <c r="CI51" s="58">
        <v>2470.5079999999998</v>
      </c>
      <c r="CJ51" s="58">
        <v>1294.2190000000001</v>
      </c>
      <c r="CK51" s="58">
        <v>1176.289</v>
      </c>
      <c r="CL51" s="58">
        <v>1695.684</v>
      </c>
      <c r="CM51" s="58">
        <v>1061.9000000000001</v>
      </c>
      <c r="CN51" s="58">
        <v>633.78399999999999</v>
      </c>
      <c r="CO51" s="58">
        <v>774.82399999999996</v>
      </c>
      <c r="CP51" s="58">
        <v>232.31899999999999</v>
      </c>
      <c r="CQ51" s="58">
        <v>542.505</v>
      </c>
      <c r="CR51" s="58">
        <v>358.14400000000001</v>
      </c>
      <c r="CS51" s="58">
        <v>180.988</v>
      </c>
      <c r="CT51" s="58">
        <v>177.15600000000001</v>
      </c>
      <c r="CU51" s="58">
        <v>63.8</v>
      </c>
      <c r="CV51" s="58">
        <v>33.777999999999999</v>
      </c>
      <c r="CW51" s="58">
        <v>30.021000000000001</v>
      </c>
      <c r="CX51" s="58">
        <v>25.053000000000001</v>
      </c>
      <c r="CY51" s="58">
        <v>19.419</v>
      </c>
      <c r="CZ51" s="58">
        <v>5.6340000000000003</v>
      </c>
      <c r="DA51" s="58">
        <v>13.635</v>
      </c>
      <c r="DB51" s="58">
        <v>10.616</v>
      </c>
      <c r="DC51" s="58">
        <v>3.0190000000000001</v>
      </c>
      <c r="DD51" s="58">
        <v>11.417999999999999</v>
      </c>
      <c r="DE51" s="58">
        <v>8.8030000000000008</v>
      </c>
      <c r="DF51" s="58">
        <v>2.6150000000000002</v>
      </c>
      <c r="DG51" s="58">
        <v>38.747</v>
      </c>
      <c r="DH51" s="58">
        <v>14.359</v>
      </c>
      <c r="DI51" s="58">
        <v>24.388000000000002</v>
      </c>
      <c r="DJ51" s="58">
        <v>323.97800000000001</v>
      </c>
      <c r="DK51" s="58">
        <v>160.316</v>
      </c>
      <c r="DL51" s="58">
        <v>163.66200000000001</v>
      </c>
      <c r="DM51" s="58">
        <v>108.721</v>
      </c>
      <c r="DN51" s="58">
        <v>75.084000000000003</v>
      </c>
      <c r="DO51" s="58">
        <v>33.637</v>
      </c>
      <c r="DP51" s="58">
        <v>215.25700000000001</v>
      </c>
      <c r="DQ51" s="58">
        <v>85.231999999999999</v>
      </c>
      <c r="DR51" s="58">
        <v>130.02500000000001</v>
      </c>
      <c r="DS51" s="58">
        <v>126.97499999999999</v>
      </c>
      <c r="DT51" s="58">
        <v>89.067999999999998</v>
      </c>
      <c r="DU51" s="58">
        <v>37.906999999999996</v>
      </c>
      <c r="DV51" s="58">
        <v>231.16900000000001</v>
      </c>
      <c r="DW51" s="58">
        <v>91.92</v>
      </c>
      <c r="DX51" s="58">
        <v>139.249</v>
      </c>
      <c r="DY51" s="58">
        <v>228.892</v>
      </c>
      <c r="DZ51" s="58">
        <v>95.847999999999999</v>
      </c>
      <c r="EA51" s="58">
        <v>133.04300000000001</v>
      </c>
      <c r="EB51" s="58">
        <v>830.63800000000003</v>
      </c>
      <c r="EC51" s="58">
        <v>441.79500000000002</v>
      </c>
      <c r="ED51" s="58">
        <v>388.84300000000002</v>
      </c>
      <c r="EE51" s="58">
        <v>549.16999999999996</v>
      </c>
      <c r="EF51" s="58">
        <v>355.64299999999997</v>
      </c>
      <c r="EG51" s="58">
        <v>193.52799999999999</v>
      </c>
      <c r="EH51" s="58">
        <v>281.46800000000002</v>
      </c>
      <c r="EI51" s="58">
        <v>86.153000000000006</v>
      </c>
      <c r="EJ51" s="58">
        <v>195.316</v>
      </c>
      <c r="EK51" s="58">
        <v>121.355</v>
      </c>
      <c r="EL51" s="58">
        <v>59.078000000000003</v>
      </c>
      <c r="EM51" s="58">
        <v>62.277000000000001</v>
      </c>
      <c r="EN51" s="58">
        <v>25.08</v>
      </c>
      <c r="EO51" s="58">
        <v>13.255000000000001</v>
      </c>
      <c r="EP51" s="58">
        <v>11.824999999999999</v>
      </c>
      <c r="EQ51" s="58">
        <v>8.0280000000000005</v>
      </c>
      <c r="ER51" s="58">
        <v>5.343</v>
      </c>
      <c r="ES51" s="58">
        <v>2.6850000000000001</v>
      </c>
      <c r="ET51" s="58">
        <v>2.677</v>
      </c>
      <c r="EU51" s="58">
        <v>1.694</v>
      </c>
      <c r="EV51" s="58">
        <v>0.98199999999999998</v>
      </c>
      <c r="EW51" s="58">
        <v>5.3520000000000003</v>
      </c>
      <c r="EX51" s="58">
        <v>3.649</v>
      </c>
      <c r="EY51" s="58">
        <v>1.7030000000000001</v>
      </c>
      <c r="EZ51" s="58">
        <v>17.052</v>
      </c>
      <c r="FA51" s="58">
        <v>7.9130000000000003</v>
      </c>
      <c r="FB51" s="58">
        <v>9.1389999999999993</v>
      </c>
      <c r="FC51" s="58">
        <v>107.464</v>
      </c>
      <c r="FD51" s="58">
        <v>51.398000000000003</v>
      </c>
      <c r="FE51" s="58">
        <v>56.064999999999998</v>
      </c>
      <c r="FF51" s="58">
        <v>33.313000000000002</v>
      </c>
      <c r="FG51" s="58">
        <v>22.222000000000001</v>
      </c>
      <c r="FH51" s="58">
        <v>11.090999999999999</v>
      </c>
      <c r="FI51" s="58">
        <v>74.150999999999996</v>
      </c>
      <c r="FJ51" s="58">
        <v>29.175999999999998</v>
      </c>
      <c r="FK51" s="58">
        <v>44.973999999999997</v>
      </c>
      <c r="FL51" s="58">
        <v>39.177</v>
      </c>
      <c r="FM51" s="58">
        <v>26.128</v>
      </c>
      <c r="FN51" s="58">
        <v>13.048</v>
      </c>
      <c r="FO51" s="58">
        <v>82.177999999999997</v>
      </c>
      <c r="FP51" s="58">
        <v>32.950000000000003</v>
      </c>
      <c r="FQ51" s="58">
        <v>49.228000000000002</v>
      </c>
      <c r="FR51" s="58">
        <v>76.826999999999998</v>
      </c>
      <c r="FS51" s="58">
        <v>30.870999999999999</v>
      </c>
      <c r="FT51" s="58">
        <v>45.957000000000001</v>
      </c>
      <c r="FU51" s="58">
        <v>1332.502</v>
      </c>
      <c r="FV51" s="58">
        <v>718.36900000000003</v>
      </c>
      <c r="FW51" s="58">
        <v>614.13300000000004</v>
      </c>
      <c r="FX51" s="58">
        <v>905.59299999999996</v>
      </c>
      <c r="FY51" s="58">
        <v>589.05499999999995</v>
      </c>
      <c r="FZ51" s="58">
        <v>316.53800000000001</v>
      </c>
      <c r="GA51" s="58">
        <v>426.90899999999999</v>
      </c>
      <c r="GB51" s="58">
        <v>129.315</v>
      </c>
      <c r="GC51" s="58">
        <v>297.59399999999999</v>
      </c>
      <c r="GD51" s="58">
        <v>223.381</v>
      </c>
      <c r="GE51" s="58">
        <v>124.27200000000001</v>
      </c>
      <c r="GF51" s="58">
        <v>99.108999999999995</v>
      </c>
      <c r="GG51" s="58">
        <v>31.707000000000001</v>
      </c>
      <c r="GH51" s="58">
        <v>22.719000000000001</v>
      </c>
      <c r="GI51" s="58">
        <v>8.9879999999999995</v>
      </c>
      <c r="GJ51" s="58">
        <v>12.923</v>
      </c>
      <c r="GK51" s="58">
        <v>11.473000000000001</v>
      </c>
      <c r="GL51" s="58">
        <v>1.45</v>
      </c>
      <c r="GM51" s="58">
        <v>8.1479999999999997</v>
      </c>
      <c r="GN51" s="58">
        <v>7.1050000000000004</v>
      </c>
      <c r="GO51" s="58">
        <v>1.0429999999999999</v>
      </c>
      <c r="GP51" s="58">
        <v>4.7750000000000004</v>
      </c>
      <c r="GQ51" s="58">
        <v>4.3680000000000003</v>
      </c>
      <c r="GR51" s="58">
        <v>0.40699999999999997</v>
      </c>
      <c r="GS51" s="58">
        <v>18.783999999999999</v>
      </c>
      <c r="GT51" s="58">
        <v>11.246</v>
      </c>
      <c r="GU51" s="58">
        <v>7.5380000000000003</v>
      </c>
      <c r="GV51" s="58">
        <v>208.899</v>
      </c>
      <c r="GW51" s="58">
        <v>114.289</v>
      </c>
      <c r="GX51" s="58">
        <v>94.611000000000004</v>
      </c>
      <c r="GY51" s="58">
        <v>87.201999999999998</v>
      </c>
      <c r="GZ51" s="58">
        <v>65.337999999999994</v>
      </c>
      <c r="HA51" s="58">
        <v>21.864000000000001</v>
      </c>
      <c r="HB51" s="58">
        <v>121.69799999999999</v>
      </c>
      <c r="HC51" s="58">
        <v>48.95</v>
      </c>
      <c r="HD51" s="58">
        <v>72.747</v>
      </c>
      <c r="HE51" s="58">
        <v>95.549000000000007</v>
      </c>
      <c r="HF51" s="58">
        <v>73.278999999999996</v>
      </c>
      <c r="HG51" s="58">
        <v>22.27</v>
      </c>
      <c r="HH51" s="58">
        <v>127.83199999999999</v>
      </c>
      <c r="HI51" s="58">
        <v>50.993000000000002</v>
      </c>
      <c r="HJ51" s="58">
        <v>76.838999999999999</v>
      </c>
      <c r="HK51" s="58">
        <v>129.846</v>
      </c>
      <c r="HL51" s="58">
        <v>56.055</v>
      </c>
      <c r="HM51" s="58">
        <v>73.790999999999997</v>
      </c>
      <c r="HN51" s="58">
        <v>248.76</v>
      </c>
      <c r="HO51" s="58">
        <v>127.64700000000001</v>
      </c>
      <c r="HP51" s="58">
        <v>121.113</v>
      </c>
      <c r="HQ51" s="58">
        <v>155.255</v>
      </c>
      <c r="HR51" s="58">
        <v>98.403000000000006</v>
      </c>
      <c r="HS51" s="58">
        <v>56.851999999999997</v>
      </c>
      <c r="HT51" s="58">
        <v>93.504999999999995</v>
      </c>
      <c r="HU51" s="58">
        <v>29.244</v>
      </c>
      <c r="HV51" s="58">
        <v>64.260999999999996</v>
      </c>
      <c r="HW51" s="58">
        <v>43.656999999999996</v>
      </c>
      <c r="HX51" s="58">
        <v>20.548999999999999</v>
      </c>
      <c r="HY51" s="58">
        <v>23.108000000000001</v>
      </c>
      <c r="HZ51" s="58">
        <v>8.4390000000000001</v>
      </c>
      <c r="IA51" s="58">
        <v>4.6989999999999998</v>
      </c>
      <c r="IB51" s="58">
        <v>3.74</v>
      </c>
      <c r="IC51" s="58">
        <v>1.7889999999999999</v>
      </c>
      <c r="ID51" s="58">
        <v>1.4890000000000001</v>
      </c>
      <c r="IE51" s="58">
        <v>0.3</v>
      </c>
      <c r="IF51" s="58">
        <v>0.95799999999999996</v>
      </c>
      <c r="IG51" s="58">
        <v>0.95799999999999996</v>
      </c>
      <c r="IH51" s="58">
        <v>0</v>
      </c>
      <c r="II51" s="58">
        <v>0.83</v>
      </c>
      <c r="IJ51" s="58">
        <v>0.53</v>
      </c>
      <c r="IK51" s="58">
        <v>0.3</v>
      </c>
      <c r="IL51" s="58">
        <v>6.6509999999999998</v>
      </c>
      <c r="IM51" s="58">
        <v>3.21</v>
      </c>
      <c r="IN51" s="58">
        <v>3.44</v>
      </c>
      <c r="IO51" s="58">
        <v>39.575000000000003</v>
      </c>
      <c r="IP51" s="58">
        <v>18.245000000000001</v>
      </c>
      <c r="IQ51" s="58">
        <v>21.33</v>
      </c>
    </row>
    <row r="52" spans="1:251">
      <c r="A52" s="5">
        <v>43070</v>
      </c>
      <c r="B52" s="58">
        <v>1063.808</v>
      </c>
      <c r="C52" s="58">
        <v>1185.0260000000001</v>
      </c>
      <c r="D52" s="58">
        <v>365.59800000000001</v>
      </c>
      <c r="E52" s="58">
        <v>819.42700000000002</v>
      </c>
      <c r="F52" s="58">
        <v>616.68700000000001</v>
      </c>
      <c r="G52" s="58">
        <v>315.95499999999998</v>
      </c>
      <c r="H52" s="58">
        <v>300.73200000000003</v>
      </c>
      <c r="I52" s="58">
        <v>101.209</v>
      </c>
      <c r="J52" s="58">
        <v>59.722000000000001</v>
      </c>
      <c r="K52" s="58">
        <v>41.488</v>
      </c>
      <c r="L52" s="58">
        <v>36.46</v>
      </c>
      <c r="M52" s="58">
        <v>26.905999999999999</v>
      </c>
      <c r="N52" s="58">
        <v>9.5540000000000003</v>
      </c>
      <c r="O52" s="58">
        <v>18.178999999999998</v>
      </c>
      <c r="P52" s="58">
        <v>13.736000000000001</v>
      </c>
      <c r="Q52" s="58">
        <v>4.4429999999999996</v>
      </c>
      <c r="R52" s="58">
        <v>18.280999999999999</v>
      </c>
      <c r="S52" s="58">
        <v>13.17</v>
      </c>
      <c r="T52" s="58">
        <v>5.1109999999999998</v>
      </c>
      <c r="U52" s="58">
        <v>64.75</v>
      </c>
      <c r="V52" s="58">
        <v>32.816000000000003</v>
      </c>
      <c r="W52" s="58">
        <v>31.934000000000001</v>
      </c>
      <c r="X52" s="58">
        <v>560.40099999999995</v>
      </c>
      <c r="Y52" s="58">
        <v>281.43400000000003</v>
      </c>
      <c r="Z52" s="58">
        <v>278.96800000000002</v>
      </c>
      <c r="AA52" s="58">
        <v>200.18199999999999</v>
      </c>
      <c r="AB52" s="58">
        <v>144.977</v>
      </c>
      <c r="AC52" s="58">
        <v>55.204999999999998</v>
      </c>
      <c r="AD52" s="58">
        <v>360.21899999999999</v>
      </c>
      <c r="AE52" s="58">
        <v>136.45599999999999</v>
      </c>
      <c r="AF52" s="58">
        <v>223.76300000000001</v>
      </c>
      <c r="AG52" s="58">
        <v>228.50899999999999</v>
      </c>
      <c r="AH52" s="58">
        <v>165.65299999999999</v>
      </c>
      <c r="AI52" s="58">
        <v>62.856000000000002</v>
      </c>
      <c r="AJ52" s="58">
        <v>388.178</v>
      </c>
      <c r="AK52" s="58">
        <v>150.30199999999999</v>
      </c>
      <c r="AL52" s="58">
        <v>237.876</v>
      </c>
      <c r="AM52" s="58">
        <v>378.39800000000002</v>
      </c>
      <c r="AN52" s="58">
        <v>150.19200000000001</v>
      </c>
      <c r="AO52" s="58">
        <v>228.20500000000001</v>
      </c>
      <c r="AP52" s="58">
        <v>3277.1460000000002</v>
      </c>
      <c r="AQ52" s="58">
        <v>1748.127</v>
      </c>
      <c r="AR52" s="58">
        <v>1529.018</v>
      </c>
      <c r="AS52" s="58">
        <v>2223.2600000000002</v>
      </c>
      <c r="AT52" s="58">
        <v>1416.7159999999999</v>
      </c>
      <c r="AU52" s="58">
        <v>806.54499999999996</v>
      </c>
      <c r="AV52" s="58">
        <v>1053.885</v>
      </c>
      <c r="AW52" s="58">
        <v>331.41199999999998</v>
      </c>
      <c r="AX52" s="58">
        <v>722.47299999999996</v>
      </c>
      <c r="AY52" s="58">
        <v>497.34199999999998</v>
      </c>
      <c r="AZ52" s="58">
        <v>257.28199999999998</v>
      </c>
      <c r="BA52" s="58">
        <v>240.06100000000001</v>
      </c>
      <c r="BB52" s="58">
        <v>86.212000000000003</v>
      </c>
      <c r="BC52" s="58">
        <v>49.018000000000001</v>
      </c>
      <c r="BD52" s="58">
        <v>37.194000000000003</v>
      </c>
      <c r="BE52" s="58">
        <v>34.238</v>
      </c>
      <c r="BF52" s="58">
        <v>26.175999999999998</v>
      </c>
      <c r="BG52" s="58">
        <v>8.0619999999999994</v>
      </c>
      <c r="BH52" s="58">
        <v>19.507000000000001</v>
      </c>
      <c r="BI52" s="58">
        <v>15.039</v>
      </c>
      <c r="BJ52" s="58">
        <v>4.468</v>
      </c>
      <c r="BK52" s="58">
        <v>14.731</v>
      </c>
      <c r="BL52" s="58">
        <v>11.137</v>
      </c>
      <c r="BM52" s="58">
        <v>3.593</v>
      </c>
      <c r="BN52" s="58">
        <v>51.973999999999997</v>
      </c>
      <c r="BO52" s="58">
        <v>22.841999999999999</v>
      </c>
      <c r="BP52" s="58">
        <v>29.132000000000001</v>
      </c>
      <c r="BQ52" s="58">
        <v>444.89</v>
      </c>
      <c r="BR52" s="58">
        <v>225.77500000000001</v>
      </c>
      <c r="BS52" s="58">
        <v>219.11500000000001</v>
      </c>
      <c r="BT52" s="58">
        <v>155.47800000000001</v>
      </c>
      <c r="BU52" s="58">
        <v>110.69</v>
      </c>
      <c r="BV52" s="58">
        <v>44.786999999999999</v>
      </c>
      <c r="BW52" s="58">
        <v>289.41199999999998</v>
      </c>
      <c r="BX52" s="58">
        <v>115.08499999999999</v>
      </c>
      <c r="BY52" s="58">
        <v>174.328</v>
      </c>
      <c r="BZ52" s="58">
        <v>183.46600000000001</v>
      </c>
      <c r="CA52" s="58">
        <v>132.24600000000001</v>
      </c>
      <c r="CB52" s="58">
        <v>51.22</v>
      </c>
      <c r="CC52" s="58">
        <v>313.87599999999998</v>
      </c>
      <c r="CD52" s="58">
        <v>125.036</v>
      </c>
      <c r="CE52" s="58">
        <v>188.84</v>
      </c>
      <c r="CF52" s="58">
        <v>308.91899999999998</v>
      </c>
      <c r="CG52" s="58">
        <v>130.12299999999999</v>
      </c>
      <c r="CH52" s="58">
        <v>178.79599999999999</v>
      </c>
      <c r="CI52" s="58">
        <v>2480.66</v>
      </c>
      <c r="CJ52" s="58">
        <v>1299.7190000000001</v>
      </c>
      <c r="CK52" s="58">
        <v>1180.941</v>
      </c>
      <c r="CL52" s="58">
        <v>1724.2729999999999</v>
      </c>
      <c r="CM52" s="58">
        <v>1075.0830000000001</v>
      </c>
      <c r="CN52" s="58">
        <v>649.18899999999996</v>
      </c>
      <c r="CO52" s="58">
        <v>756.38699999999994</v>
      </c>
      <c r="CP52" s="58">
        <v>224.63499999999999</v>
      </c>
      <c r="CQ52" s="58">
        <v>531.75199999999995</v>
      </c>
      <c r="CR52" s="58">
        <v>379.65199999999999</v>
      </c>
      <c r="CS52" s="58">
        <v>189.53399999999999</v>
      </c>
      <c r="CT52" s="58">
        <v>190.11799999999999</v>
      </c>
      <c r="CU52" s="58">
        <v>59.933</v>
      </c>
      <c r="CV52" s="58">
        <v>32.012999999999998</v>
      </c>
      <c r="CW52" s="58">
        <v>27.92</v>
      </c>
      <c r="CX52" s="58">
        <v>22.835000000000001</v>
      </c>
      <c r="CY52" s="58">
        <v>16.471</v>
      </c>
      <c r="CZ52" s="58">
        <v>6.3639999999999999</v>
      </c>
      <c r="DA52" s="58">
        <v>11.157</v>
      </c>
      <c r="DB52" s="58">
        <v>8.2710000000000008</v>
      </c>
      <c r="DC52" s="58">
        <v>2.887</v>
      </c>
      <c r="DD52" s="58">
        <v>11.678000000000001</v>
      </c>
      <c r="DE52" s="58">
        <v>8.1999999999999993</v>
      </c>
      <c r="DF52" s="58">
        <v>3.4769999999999999</v>
      </c>
      <c r="DG52" s="58">
        <v>37.097999999999999</v>
      </c>
      <c r="DH52" s="58">
        <v>15.542</v>
      </c>
      <c r="DI52" s="58">
        <v>21.556000000000001</v>
      </c>
      <c r="DJ52" s="58">
        <v>342.16800000000001</v>
      </c>
      <c r="DK52" s="58">
        <v>168.583</v>
      </c>
      <c r="DL52" s="58">
        <v>173.58500000000001</v>
      </c>
      <c r="DM52" s="58">
        <v>122.702</v>
      </c>
      <c r="DN52" s="58">
        <v>90.191999999999993</v>
      </c>
      <c r="DO52" s="58">
        <v>32.51</v>
      </c>
      <c r="DP52" s="58">
        <v>219.46600000000001</v>
      </c>
      <c r="DQ52" s="58">
        <v>78.391000000000005</v>
      </c>
      <c r="DR52" s="58">
        <v>141.07499999999999</v>
      </c>
      <c r="DS52" s="58">
        <v>140.66499999999999</v>
      </c>
      <c r="DT52" s="58">
        <v>102.61</v>
      </c>
      <c r="DU52" s="58">
        <v>38.055</v>
      </c>
      <c r="DV52" s="58">
        <v>238.98699999999999</v>
      </c>
      <c r="DW52" s="58">
        <v>86.924000000000007</v>
      </c>
      <c r="DX52" s="58">
        <v>152.06299999999999</v>
      </c>
      <c r="DY52" s="58">
        <v>230.62299999999999</v>
      </c>
      <c r="DZ52" s="58">
        <v>86.662000000000006</v>
      </c>
      <c r="EA52" s="58">
        <v>143.96199999999999</v>
      </c>
      <c r="EB52" s="58">
        <v>837.96500000000003</v>
      </c>
      <c r="EC52" s="58">
        <v>443.53699999999998</v>
      </c>
      <c r="ED52" s="58">
        <v>394.428</v>
      </c>
      <c r="EE52" s="58">
        <v>545.28300000000002</v>
      </c>
      <c r="EF52" s="58">
        <v>356.83300000000003</v>
      </c>
      <c r="EG52" s="58">
        <v>188.45</v>
      </c>
      <c r="EH52" s="58">
        <v>292.68200000000002</v>
      </c>
      <c r="EI52" s="58">
        <v>86.703999999999994</v>
      </c>
      <c r="EJ52" s="58">
        <v>205.97800000000001</v>
      </c>
      <c r="EK52" s="58">
        <v>127.316</v>
      </c>
      <c r="EL52" s="58">
        <v>63.975999999999999</v>
      </c>
      <c r="EM52" s="58">
        <v>63.34</v>
      </c>
      <c r="EN52" s="58">
        <v>28.427</v>
      </c>
      <c r="EO52" s="58">
        <v>15.984999999999999</v>
      </c>
      <c r="EP52" s="58">
        <v>12.442</v>
      </c>
      <c r="EQ52" s="58">
        <v>8.1379999999999999</v>
      </c>
      <c r="ER52" s="58">
        <v>6.24</v>
      </c>
      <c r="ES52" s="58">
        <v>1.8979999999999999</v>
      </c>
      <c r="ET52" s="58">
        <v>4.0090000000000003</v>
      </c>
      <c r="EU52" s="58">
        <v>2.8130000000000002</v>
      </c>
      <c r="EV52" s="58">
        <v>1.196</v>
      </c>
      <c r="EW52" s="58">
        <v>4.1289999999999996</v>
      </c>
      <c r="EX52" s="58">
        <v>3.427</v>
      </c>
      <c r="EY52" s="58">
        <v>0.70199999999999996</v>
      </c>
      <c r="EZ52" s="58">
        <v>20.289000000000001</v>
      </c>
      <c r="FA52" s="58">
        <v>9.7449999999999992</v>
      </c>
      <c r="FB52" s="58">
        <v>10.544</v>
      </c>
      <c r="FC52" s="58">
        <v>112.024</v>
      </c>
      <c r="FD52" s="58">
        <v>55.488</v>
      </c>
      <c r="FE52" s="58">
        <v>56.536000000000001</v>
      </c>
      <c r="FF52" s="58">
        <v>32.883000000000003</v>
      </c>
      <c r="FG52" s="58">
        <v>23.28</v>
      </c>
      <c r="FH52" s="58">
        <v>9.6020000000000003</v>
      </c>
      <c r="FI52" s="58">
        <v>79.141000000000005</v>
      </c>
      <c r="FJ52" s="58">
        <v>32.207000000000001</v>
      </c>
      <c r="FK52" s="58">
        <v>46.933999999999997</v>
      </c>
      <c r="FL52" s="58">
        <v>38.881999999999998</v>
      </c>
      <c r="FM52" s="58">
        <v>27.891999999999999</v>
      </c>
      <c r="FN52" s="58">
        <v>10.991</v>
      </c>
      <c r="FO52" s="58">
        <v>88.433999999999997</v>
      </c>
      <c r="FP52" s="58">
        <v>36.084000000000003</v>
      </c>
      <c r="FQ52" s="58">
        <v>52.35</v>
      </c>
      <c r="FR52" s="58">
        <v>83.15</v>
      </c>
      <c r="FS52" s="58">
        <v>35.020000000000003</v>
      </c>
      <c r="FT52" s="58">
        <v>48.13</v>
      </c>
      <c r="FU52" s="58">
        <v>1352.087</v>
      </c>
      <c r="FV52" s="58">
        <v>728.51400000000001</v>
      </c>
      <c r="FW52" s="58">
        <v>623.57299999999998</v>
      </c>
      <c r="FX52" s="58">
        <v>918.10599999999999</v>
      </c>
      <c r="FY52" s="58">
        <v>600.255</v>
      </c>
      <c r="FZ52" s="58">
        <v>317.85000000000002</v>
      </c>
      <c r="GA52" s="58">
        <v>433.98099999999999</v>
      </c>
      <c r="GB52" s="58">
        <v>128.25899999999999</v>
      </c>
      <c r="GC52" s="58">
        <v>305.72199999999998</v>
      </c>
      <c r="GD52" s="58">
        <v>217.286</v>
      </c>
      <c r="GE52" s="58">
        <v>108.071</v>
      </c>
      <c r="GF52" s="58">
        <v>109.215</v>
      </c>
      <c r="GG52" s="58">
        <v>38.703000000000003</v>
      </c>
      <c r="GH52" s="58">
        <v>20.937000000000001</v>
      </c>
      <c r="GI52" s="58">
        <v>17.765000000000001</v>
      </c>
      <c r="GJ52" s="58">
        <v>16.141999999999999</v>
      </c>
      <c r="GK52" s="58">
        <v>11.659000000000001</v>
      </c>
      <c r="GL52" s="58">
        <v>4.4829999999999997</v>
      </c>
      <c r="GM52" s="58">
        <v>8.843</v>
      </c>
      <c r="GN52" s="58">
        <v>7.0759999999999996</v>
      </c>
      <c r="GO52" s="58">
        <v>1.7669999999999999</v>
      </c>
      <c r="GP52" s="58">
        <v>7.2990000000000004</v>
      </c>
      <c r="GQ52" s="58">
        <v>4.5830000000000002</v>
      </c>
      <c r="GR52" s="58">
        <v>2.7149999999999999</v>
      </c>
      <c r="GS52" s="58">
        <v>22.561</v>
      </c>
      <c r="GT52" s="58">
        <v>9.2780000000000005</v>
      </c>
      <c r="GU52" s="58">
        <v>13.282999999999999</v>
      </c>
      <c r="GV52" s="58">
        <v>193.852</v>
      </c>
      <c r="GW52" s="58">
        <v>94.902000000000001</v>
      </c>
      <c r="GX52" s="58">
        <v>98.95</v>
      </c>
      <c r="GY52" s="58">
        <v>67.748999999999995</v>
      </c>
      <c r="GZ52" s="58">
        <v>47.292000000000002</v>
      </c>
      <c r="HA52" s="58">
        <v>20.456</v>
      </c>
      <c r="HB52" s="58">
        <v>126.10299999999999</v>
      </c>
      <c r="HC52" s="58">
        <v>47.609000000000002</v>
      </c>
      <c r="HD52" s="58">
        <v>78.494</v>
      </c>
      <c r="HE52" s="58">
        <v>81.019000000000005</v>
      </c>
      <c r="HF52" s="58">
        <v>56.868000000000002</v>
      </c>
      <c r="HG52" s="58">
        <v>24.152000000000001</v>
      </c>
      <c r="HH52" s="58">
        <v>136.26599999999999</v>
      </c>
      <c r="HI52" s="58">
        <v>51.203000000000003</v>
      </c>
      <c r="HJ52" s="58">
        <v>85.063000000000002</v>
      </c>
      <c r="HK52" s="58">
        <v>134.946</v>
      </c>
      <c r="HL52" s="58">
        <v>54.685000000000002</v>
      </c>
      <c r="HM52" s="58">
        <v>80.260999999999996</v>
      </c>
      <c r="HN52" s="58">
        <v>251.68799999999999</v>
      </c>
      <c r="HO52" s="58">
        <v>129.60599999999999</v>
      </c>
      <c r="HP52" s="58">
        <v>122.081</v>
      </c>
      <c r="HQ52" s="58">
        <v>157.39099999999999</v>
      </c>
      <c r="HR52" s="58">
        <v>101.378</v>
      </c>
      <c r="HS52" s="58">
        <v>56.012999999999998</v>
      </c>
      <c r="HT52" s="58">
        <v>94.296000000000006</v>
      </c>
      <c r="HU52" s="58">
        <v>28.228000000000002</v>
      </c>
      <c r="HV52" s="58">
        <v>66.067999999999998</v>
      </c>
      <c r="HW52" s="58">
        <v>41.627000000000002</v>
      </c>
      <c r="HX52" s="58">
        <v>19.015000000000001</v>
      </c>
      <c r="HY52" s="58">
        <v>22.611999999999998</v>
      </c>
      <c r="HZ52" s="58">
        <v>6.9859999999999998</v>
      </c>
      <c r="IA52" s="58">
        <v>3.7719999999999998</v>
      </c>
      <c r="IB52" s="58">
        <v>3.214</v>
      </c>
      <c r="IC52" s="58">
        <v>2.0790000000000002</v>
      </c>
      <c r="ID52" s="58">
        <v>1.5549999999999999</v>
      </c>
      <c r="IE52" s="58">
        <v>0.52400000000000002</v>
      </c>
      <c r="IF52" s="58">
        <v>1.2030000000000001</v>
      </c>
      <c r="IG52" s="58">
        <v>0.67900000000000005</v>
      </c>
      <c r="IH52" s="58">
        <v>0.52400000000000002</v>
      </c>
      <c r="II52" s="58">
        <v>0.876</v>
      </c>
      <c r="IJ52" s="58">
        <v>0.876</v>
      </c>
      <c r="IK52" s="58">
        <v>0</v>
      </c>
      <c r="IL52" s="58">
        <v>4.907</v>
      </c>
      <c r="IM52" s="58">
        <v>2.2170000000000001</v>
      </c>
      <c r="IN52" s="58">
        <v>2.69</v>
      </c>
      <c r="IO52" s="58">
        <v>38.277000000000001</v>
      </c>
      <c r="IP52" s="58">
        <v>17.109000000000002</v>
      </c>
      <c r="IQ52" s="58">
        <v>21.167999999999999</v>
      </c>
    </row>
    <row r="53" spans="1:251">
      <c r="A53" s="5">
        <v>43101</v>
      </c>
      <c r="B53" s="58">
        <v>1021.562</v>
      </c>
      <c r="C53" s="58">
        <v>1152.5170000000001</v>
      </c>
      <c r="D53" s="58">
        <v>371.19400000000002</v>
      </c>
      <c r="E53" s="58">
        <v>781.32299999999998</v>
      </c>
      <c r="F53" s="58">
        <v>574.279</v>
      </c>
      <c r="G53" s="58">
        <v>289.47300000000001</v>
      </c>
      <c r="H53" s="58">
        <v>284.80700000000002</v>
      </c>
      <c r="I53" s="58">
        <v>86.926000000000002</v>
      </c>
      <c r="J53" s="58">
        <v>47.164999999999999</v>
      </c>
      <c r="K53" s="58">
        <v>39.761000000000003</v>
      </c>
      <c r="L53" s="58">
        <v>32.655000000000001</v>
      </c>
      <c r="M53" s="58">
        <v>22.960999999999999</v>
      </c>
      <c r="N53" s="58">
        <v>9.6940000000000008</v>
      </c>
      <c r="O53" s="58">
        <v>15.776999999999999</v>
      </c>
      <c r="P53" s="58">
        <v>10.208</v>
      </c>
      <c r="Q53" s="58">
        <v>5.569</v>
      </c>
      <c r="R53" s="58">
        <v>16.876999999999999</v>
      </c>
      <c r="S53" s="58">
        <v>12.753</v>
      </c>
      <c r="T53" s="58">
        <v>4.1239999999999997</v>
      </c>
      <c r="U53" s="58">
        <v>54.271999999999998</v>
      </c>
      <c r="V53" s="58">
        <v>24.204000000000001</v>
      </c>
      <c r="W53" s="58">
        <v>30.067</v>
      </c>
      <c r="X53" s="58">
        <v>524.77800000000002</v>
      </c>
      <c r="Y53" s="58">
        <v>261.75599999999997</v>
      </c>
      <c r="Z53" s="58">
        <v>263.02199999999999</v>
      </c>
      <c r="AA53" s="58">
        <v>183.66399999999999</v>
      </c>
      <c r="AB53" s="58">
        <v>124.346</v>
      </c>
      <c r="AC53" s="58">
        <v>59.317999999999998</v>
      </c>
      <c r="AD53" s="58">
        <v>341.11399999999998</v>
      </c>
      <c r="AE53" s="58">
        <v>137.41</v>
      </c>
      <c r="AF53" s="58">
        <v>203.70400000000001</v>
      </c>
      <c r="AG53" s="58">
        <v>210.50200000000001</v>
      </c>
      <c r="AH53" s="58">
        <v>143.65100000000001</v>
      </c>
      <c r="AI53" s="58">
        <v>66.850999999999999</v>
      </c>
      <c r="AJ53" s="58">
        <v>363.77699999999999</v>
      </c>
      <c r="AK53" s="58">
        <v>145.821</v>
      </c>
      <c r="AL53" s="58">
        <v>217.95599999999999</v>
      </c>
      <c r="AM53" s="58">
        <v>356.89100000000002</v>
      </c>
      <c r="AN53" s="58">
        <v>147.61799999999999</v>
      </c>
      <c r="AO53" s="58">
        <v>209.273</v>
      </c>
      <c r="AP53" s="58">
        <v>3214.1709999999998</v>
      </c>
      <c r="AQ53" s="58">
        <v>1728.817</v>
      </c>
      <c r="AR53" s="58">
        <v>1485.354</v>
      </c>
      <c r="AS53" s="58">
        <v>2172.8939999999998</v>
      </c>
      <c r="AT53" s="58">
        <v>1375.636</v>
      </c>
      <c r="AU53" s="58">
        <v>797.25800000000004</v>
      </c>
      <c r="AV53" s="58">
        <v>1041.277</v>
      </c>
      <c r="AW53" s="58">
        <v>353.18099999999998</v>
      </c>
      <c r="AX53" s="58">
        <v>688.096</v>
      </c>
      <c r="AY53" s="58">
        <v>511.31200000000001</v>
      </c>
      <c r="AZ53" s="58">
        <v>283.84699999999998</v>
      </c>
      <c r="BA53" s="58">
        <v>227.465</v>
      </c>
      <c r="BB53" s="58">
        <v>112.499</v>
      </c>
      <c r="BC53" s="58">
        <v>63.677</v>
      </c>
      <c r="BD53" s="58">
        <v>48.822000000000003</v>
      </c>
      <c r="BE53" s="58">
        <v>50.645000000000003</v>
      </c>
      <c r="BF53" s="58">
        <v>35.981000000000002</v>
      </c>
      <c r="BG53" s="58">
        <v>14.664999999999999</v>
      </c>
      <c r="BH53" s="58">
        <v>32.51</v>
      </c>
      <c r="BI53" s="58">
        <v>23.577000000000002</v>
      </c>
      <c r="BJ53" s="58">
        <v>8.9329999999999998</v>
      </c>
      <c r="BK53" s="58">
        <v>18.135999999999999</v>
      </c>
      <c r="BL53" s="58">
        <v>12.403</v>
      </c>
      <c r="BM53" s="58">
        <v>5.7320000000000002</v>
      </c>
      <c r="BN53" s="58">
        <v>61.853999999999999</v>
      </c>
      <c r="BO53" s="58">
        <v>27.696000000000002</v>
      </c>
      <c r="BP53" s="58">
        <v>34.158000000000001</v>
      </c>
      <c r="BQ53" s="58">
        <v>439.04199999999997</v>
      </c>
      <c r="BR53" s="58">
        <v>242.02699999999999</v>
      </c>
      <c r="BS53" s="58">
        <v>197.01499999999999</v>
      </c>
      <c r="BT53" s="58">
        <v>155.744</v>
      </c>
      <c r="BU53" s="58">
        <v>117.93300000000001</v>
      </c>
      <c r="BV53" s="58">
        <v>37.811</v>
      </c>
      <c r="BW53" s="58">
        <v>283.29899999999998</v>
      </c>
      <c r="BX53" s="58">
        <v>124.095</v>
      </c>
      <c r="BY53" s="58">
        <v>159.20400000000001</v>
      </c>
      <c r="BZ53" s="58">
        <v>198.50899999999999</v>
      </c>
      <c r="CA53" s="58">
        <v>146.94300000000001</v>
      </c>
      <c r="CB53" s="58">
        <v>51.566000000000003</v>
      </c>
      <c r="CC53" s="58">
        <v>312.80200000000002</v>
      </c>
      <c r="CD53" s="58">
        <v>136.90299999999999</v>
      </c>
      <c r="CE53" s="58">
        <v>175.899</v>
      </c>
      <c r="CF53" s="58">
        <v>315.80799999999999</v>
      </c>
      <c r="CG53" s="58">
        <v>147.672</v>
      </c>
      <c r="CH53" s="58">
        <v>168.137</v>
      </c>
      <c r="CI53" s="58">
        <v>2449.4789999999998</v>
      </c>
      <c r="CJ53" s="58">
        <v>1282.7570000000001</v>
      </c>
      <c r="CK53" s="58">
        <v>1166.722</v>
      </c>
      <c r="CL53" s="58">
        <v>1682.3869999999999</v>
      </c>
      <c r="CM53" s="58">
        <v>1047.182</v>
      </c>
      <c r="CN53" s="58">
        <v>635.20500000000004</v>
      </c>
      <c r="CO53" s="58">
        <v>767.09299999999996</v>
      </c>
      <c r="CP53" s="58">
        <v>235.57499999999999</v>
      </c>
      <c r="CQ53" s="58">
        <v>531.51800000000003</v>
      </c>
      <c r="CR53" s="58">
        <v>389.49900000000002</v>
      </c>
      <c r="CS53" s="58">
        <v>199.72200000000001</v>
      </c>
      <c r="CT53" s="58">
        <v>189.77699999999999</v>
      </c>
      <c r="CU53" s="58">
        <v>68.501999999999995</v>
      </c>
      <c r="CV53" s="58">
        <v>38.944000000000003</v>
      </c>
      <c r="CW53" s="58">
        <v>29.558</v>
      </c>
      <c r="CX53" s="58">
        <v>25.817</v>
      </c>
      <c r="CY53" s="58">
        <v>19.146000000000001</v>
      </c>
      <c r="CZ53" s="58">
        <v>6.6710000000000003</v>
      </c>
      <c r="DA53" s="58">
        <v>17.074000000000002</v>
      </c>
      <c r="DB53" s="58">
        <v>11.67</v>
      </c>
      <c r="DC53" s="58">
        <v>5.4039999999999999</v>
      </c>
      <c r="DD53" s="58">
        <v>8.7430000000000003</v>
      </c>
      <c r="DE53" s="58">
        <v>7.476</v>
      </c>
      <c r="DF53" s="58">
        <v>1.2669999999999999</v>
      </c>
      <c r="DG53" s="58">
        <v>42.683999999999997</v>
      </c>
      <c r="DH53" s="58">
        <v>19.797999999999998</v>
      </c>
      <c r="DI53" s="58">
        <v>22.887</v>
      </c>
      <c r="DJ53" s="58">
        <v>350.005</v>
      </c>
      <c r="DK53" s="58">
        <v>175.90199999999999</v>
      </c>
      <c r="DL53" s="58">
        <v>174.10400000000001</v>
      </c>
      <c r="DM53" s="58">
        <v>118.952</v>
      </c>
      <c r="DN53" s="58">
        <v>86.716999999999999</v>
      </c>
      <c r="DO53" s="58">
        <v>32.234999999999999</v>
      </c>
      <c r="DP53" s="58">
        <v>231.053</v>
      </c>
      <c r="DQ53" s="58">
        <v>89.183999999999997</v>
      </c>
      <c r="DR53" s="58">
        <v>141.869</v>
      </c>
      <c r="DS53" s="58">
        <v>140.83000000000001</v>
      </c>
      <c r="DT53" s="58">
        <v>102.34</v>
      </c>
      <c r="DU53" s="58">
        <v>38.49</v>
      </c>
      <c r="DV53" s="58">
        <v>248.66900000000001</v>
      </c>
      <c r="DW53" s="58">
        <v>97.382000000000005</v>
      </c>
      <c r="DX53" s="58">
        <v>151.28700000000001</v>
      </c>
      <c r="DY53" s="58">
        <v>248.12799999999999</v>
      </c>
      <c r="DZ53" s="58">
        <v>100.855</v>
      </c>
      <c r="EA53" s="58">
        <v>147.273</v>
      </c>
      <c r="EB53" s="58">
        <v>826.84799999999996</v>
      </c>
      <c r="EC53" s="58">
        <v>438.32400000000001</v>
      </c>
      <c r="ED53" s="58">
        <v>388.524</v>
      </c>
      <c r="EE53" s="58">
        <v>537.66700000000003</v>
      </c>
      <c r="EF53" s="58">
        <v>352.202</v>
      </c>
      <c r="EG53" s="58">
        <v>185.465</v>
      </c>
      <c r="EH53" s="58">
        <v>289.18099999999998</v>
      </c>
      <c r="EI53" s="58">
        <v>86.123000000000005</v>
      </c>
      <c r="EJ53" s="58">
        <v>203.059</v>
      </c>
      <c r="EK53" s="58">
        <v>130.43</v>
      </c>
      <c r="EL53" s="58">
        <v>63.703000000000003</v>
      </c>
      <c r="EM53" s="58">
        <v>66.727000000000004</v>
      </c>
      <c r="EN53" s="58">
        <v>29.584</v>
      </c>
      <c r="EO53" s="58">
        <v>16.613</v>
      </c>
      <c r="EP53" s="58">
        <v>12.971</v>
      </c>
      <c r="EQ53" s="58">
        <v>13.064</v>
      </c>
      <c r="ER53" s="58">
        <v>9.2759999999999998</v>
      </c>
      <c r="ES53" s="58">
        <v>3.7879999999999998</v>
      </c>
      <c r="ET53" s="58">
        <v>9.7219999999999995</v>
      </c>
      <c r="EU53" s="58">
        <v>6.6159999999999997</v>
      </c>
      <c r="EV53" s="58">
        <v>3.1059999999999999</v>
      </c>
      <c r="EW53" s="58">
        <v>3.343</v>
      </c>
      <c r="EX53" s="58">
        <v>2.66</v>
      </c>
      <c r="EY53" s="58">
        <v>0.68300000000000005</v>
      </c>
      <c r="EZ53" s="58">
        <v>16.52</v>
      </c>
      <c r="FA53" s="58">
        <v>7.3369999999999997</v>
      </c>
      <c r="FB53" s="58">
        <v>9.1829999999999998</v>
      </c>
      <c r="FC53" s="58">
        <v>110.35299999999999</v>
      </c>
      <c r="FD53" s="58">
        <v>52.692999999999998</v>
      </c>
      <c r="FE53" s="58">
        <v>57.66</v>
      </c>
      <c r="FF53" s="58">
        <v>32.094000000000001</v>
      </c>
      <c r="FG53" s="58">
        <v>23.587</v>
      </c>
      <c r="FH53" s="58">
        <v>8.5069999999999997</v>
      </c>
      <c r="FI53" s="58">
        <v>78.259</v>
      </c>
      <c r="FJ53" s="58">
        <v>29.106000000000002</v>
      </c>
      <c r="FK53" s="58">
        <v>49.152999999999999</v>
      </c>
      <c r="FL53" s="58">
        <v>42.92</v>
      </c>
      <c r="FM53" s="58">
        <v>31.4</v>
      </c>
      <c r="FN53" s="58">
        <v>11.52</v>
      </c>
      <c r="FO53" s="58">
        <v>87.51</v>
      </c>
      <c r="FP53" s="58">
        <v>32.302999999999997</v>
      </c>
      <c r="FQ53" s="58">
        <v>55.206000000000003</v>
      </c>
      <c r="FR53" s="58">
        <v>87.980999999999995</v>
      </c>
      <c r="FS53" s="58">
        <v>35.722000000000001</v>
      </c>
      <c r="FT53" s="58">
        <v>52.258000000000003</v>
      </c>
      <c r="FU53" s="58">
        <v>1318.0809999999999</v>
      </c>
      <c r="FV53" s="58">
        <v>707.721</v>
      </c>
      <c r="FW53" s="58">
        <v>610.36099999999999</v>
      </c>
      <c r="FX53" s="58">
        <v>889.197</v>
      </c>
      <c r="FY53" s="58">
        <v>580.92399999999998</v>
      </c>
      <c r="FZ53" s="58">
        <v>308.27199999999999</v>
      </c>
      <c r="GA53" s="58">
        <v>428.88499999999999</v>
      </c>
      <c r="GB53" s="58">
        <v>126.79600000000001</v>
      </c>
      <c r="GC53" s="58">
        <v>302.08800000000002</v>
      </c>
      <c r="GD53" s="58">
        <v>229.09299999999999</v>
      </c>
      <c r="GE53" s="58">
        <v>119.608</v>
      </c>
      <c r="GF53" s="58">
        <v>109.485</v>
      </c>
      <c r="GG53" s="58">
        <v>42.326999999999998</v>
      </c>
      <c r="GH53" s="58">
        <v>22.231000000000002</v>
      </c>
      <c r="GI53" s="58">
        <v>20.096</v>
      </c>
      <c r="GJ53" s="58">
        <v>16.963999999999999</v>
      </c>
      <c r="GK53" s="58">
        <v>11.792</v>
      </c>
      <c r="GL53" s="58">
        <v>5.1719999999999997</v>
      </c>
      <c r="GM53" s="58">
        <v>8.8140000000000001</v>
      </c>
      <c r="GN53" s="58">
        <v>6.5</v>
      </c>
      <c r="GO53" s="58">
        <v>2.3140000000000001</v>
      </c>
      <c r="GP53" s="58">
        <v>8.1509999999999998</v>
      </c>
      <c r="GQ53" s="58">
        <v>5.2930000000000001</v>
      </c>
      <c r="GR53" s="58">
        <v>2.8580000000000001</v>
      </c>
      <c r="GS53" s="58">
        <v>25.363</v>
      </c>
      <c r="GT53" s="58">
        <v>10.439</v>
      </c>
      <c r="GU53" s="58">
        <v>14.923</v>
      </c>
      <c r="GV53" s="58">
        <v>204.458</v>
      </c>
      <c r="GW53" s="58">
        <v>107.303</v>
      </c>
      <c r="GX53" s="58">
        <v>97.155000000000001</v>
      </c>
      <c r="GY53" s="58">
        <v>87.06</v>
      </c>
      <c r="GZ53" s="58">
        <v>64.685000000000002</v>
      </c>
      <c r="HA53" s="58">
        <v>22.375</v>
      </c>
      <c r="HB53" s="58">
        <v>117.398</v>
      </c>
      <c r="HC53" s="58">
        <v>42.618000000000002</v>
      </c>
      <c r="HD53" s="58">
        <v>74.78</v>
      </c>
      <c r="HE53" s="58">
        <v>101.577</v>
      </c>
      <c r="HF53" s="58">
        <v>74.388999999999996</v>
      </c>
      <c r="HG53" s="58">
        <v>27.189</v>
      </c>
      <c r="HH53" s="58">
        <v>127.515</v>
      </c>
      <c r="HI53" s="58">
        <v>45.219000000000001</v>
      </c>
      <c r="HJ53" s="58">
        <v>82.296000000000006</v>
      </c>
      <c r="HK53" s="58">
        <v>126.212</v>
      </c>
      <c r="HL53" s="58">
        <v>49.118000000000002</v>
      </c>
      <c r="HM53" s="58">
        <v>77.093999999999994</v>
      </c>
      <c r="HN53" s="58">
        <v>247.149</v>
      </c>
      <c r="HO53" s="58">
        <v>129.13800000000001</v>
      </c>
      <c r="HP53" s="58">
        <v>118.011</v>
      </c>
      <c r="HQ53" s="58">
        <v>154.345</v>
      </c>
      <c r="HR53" s="58">
        <v>99.884</v>
      </c>
      <c r="HS53" s="58">
        <v>54.462000000000003</v>
      </c>
      <c r="HT53" s="58">
        <v>92.804000000000002</v>
      </c>
      <c r="HU53" s="58">
        <v>29.254000000000001</v>
      </c>
      <c r="HV53" s="58">
        <v>63.548999999999999</v>
      </c>
      <c r="HW53" s="58">
        <v>39.645000000000003</v>
      </c>
      <c r="HX53" s="58">
        <v>19.664000000000001</v>
      </c>
      <c r="HY53" s="58">
        <v>19.981000000000002</v>
      </c>
      <c r="HZ53" s="58">
        <v>7.1619999999999999</v>
      </c>
      <c r="IA53" s="58">
        <v>4.7050000000000001</v>
      </c>
      <c r="IB53" s="58">
        <v>2.4569999999999999</v>
      </c>
      <c r="IC53" s="58">
        <v>1.766</v>
      </c>
      <c r="ID53" s="58">
        <v>1.3759999999999999</v>
      </c>
      <c r="IE53" s="58">
        <v>0.39</v>
      </c>
      <c r="IF53" s="58">
        <v>1.0860000000000001</v>
      </c>
      <c r="IG53" s="58">
        <v>0.81</v>
      </c>
      <c r="IH53" s="58">
        <v>0.27600000000000002</v>
      </c>
      <c r="II53" s="58">
        <v>0.68</v>
      </c>
      <c r="IJ53" s="58">
        <v>0.56699999999999995</v>
      </c>
      <c r="IK53" s="58">
        <v>0.113</v>
      </c>
      <c r="IL53" s="58">
        <v>5.3959999999999999</v>
      </c>
      <c r="IM53" s="58">
        <v>3.3290000000000002</v>
      </c>
      <c r="IN53" s="58">
        <v>2.0670000000000002</v>
      </c>
      <c r="IO53" s="58">
        <v>36.523000000000003</v>
      </c>
      <c r="IP53" s="58">
        <v>17.885000000000002</v>
      </c>
      <c r="IQ53" s="58">
        <v>18.638000000000002</v>
      </c>
    </row>
    <row r="54" spans="1:251">
      <c r="A54" s="5">
        <v>43132</v>
      </c>
      <c r="B54" s="58">
        <v>1029.241</v>
      </c>
      <c r="C54" s="58">
        <v>1196.894</v>
      </c>
      <c r="D54" s="58">
        <v>372.096</v>
      </c>
      <c r="E54" s="58">
        <v>824.79700000000003</v>
      </c>
      <c r="F54" s="58">
        <v>555.34699999999998</v>
      </c>
      <c r="G54" s="58">
        <v>288.25700000000001</v>
      </c>
      <c r="H54" s="58">
        <v>267.08999999999997</v>
      </c>
      <c r="I54" s="58">
        <v>110.821</v>
      </c>
      <c r="J54" s="58">
        <v>56.207000000000001</v>
      </c>
      <c r="K54" s="58">
        <v>54.613999999999997</v>
      </c>
      <c r="L54" s="58">
        <v>40.850999999999999</v>
      </c>
      <c r="M54" s="58">
        <v>28.919</v>
      </c>
      <c r="N54" s="58">
        <v>11.932</v>
      </c>
      <c r="O54" s="58">
        <v>19.965</v>
      </c>
      <c r="P54" s="58">
        <v>14.971</v>
      </c>
      <c r="Q54" s="58">
        <v>4.9930000000000003</v>
      </c>
      <c r="R54" s="58">
        <v>20.887</v>
      </c>
      <c r="S54" s="58">
        <v>13.948</v>
      </c>
      <c r="T54" s="58">
        <v>6.9390000000000001</v>
      </c>
      <c r="U54" s="58">
        <v>69.968999999999994</v>
      </c>
      <c r="V54" s="58">
        <v>27.288</v>
      </c>
      <c r="W54" s="58">
        <v>42.680999999999997</v>
      </c>
      <c r="X54" s="58">
        <v>493.99</v>
      </c>
      <c r="Y54" s="58">
        <v>254.05099999999999</v>
      </c>
      <c r="Z54" s="58">
        <v>239.93899999999999</v>
      </c>
      <c r="AA54" s="58">
        <v>178.71899999999999</v>
      </c>
      <c r="AB54" s="58">
        <v>131.55000000000001</v>
      </c>
      <c r="AC54" s="58">
        <v>47.168999999999997</v>
      </c>
      <c r="AD54" s="58">
        <v>315.27</v>
      </c>
      <c r="AE54" s="58">
        <v>122.501</v>
      </c>
      <c r="AF54" s="58">
        <v>192.76900000000001</v>
      </c>
      <c r="AG54" s="58">
        <v>212.47499999999999</v>
      </c>
      <c r="AH54" s="58">
        <v>153.37299999999999</v>
      </c>
      <c r="AI54" s="58">
        <v>59.101999999999997</v>
      </c>
      <c r="AJ54" s="58">
        <v>342.87200000000001</v>
      </c>
      <c r="AK54" s="58">
        <v>134.88399999999999</v>
      </c>
      <c r="AL54" s="58">
        <v>207.988</v>
      </c>
      <c r="AM54" s="58">
        <v>335.23500000000001</v>
      </c>
      <c r="AN54" s="58">
        <v>137.47200000000001</v>
      </c>
      <c r="AO54" s="58">
        <v>197.76300000000001</v>
      </c>
      <c r="AP54" s="58">
        <v>3261.1930000000002</v>
      </c>
      <c r="AQ54" s="58">
        <v>1744.2270000000001</v>
      </c>
      <c r="AR54" s="58">
        <v>1516.9659999999999</v>
      </c>
      <c r="AS54" s="58">
        <v>2219.2170000000001</v>
      </c>
      <c r="AT54" s="58">
        <v>1415.4770000000001</v>
      </c>
      <c r="AU54" s="58">
        <v>803.74</v>
      </c>
      <c r="AV54" s="58">
        <v>1041.9760000000001</v>
      </c>
      <c r="AW54" s="58">
        <v>328.75</v>
      </c>
      <c r="AX54" s="58">
        <v>713.226</v>
      </c>
      <c r="AY54" s="58">
        <v>471.291</v>
      </c>
      <c r="AZ54" s="58">
        <v>252.57900000000001</v>
      </c>
      <c r="BA54" s="58">
        <v>218.71199999999999</v>
      </c>
      <c r="BB54" s="58">
        <v>98.167000000000002</v>
      </c>
      <c r="BC54" s="58">
        <v>51.771999999999998</v>
      </c>
      <c r="BD54" s="58">
        <v>46.395000000000003</v>
      </c>
      <c r="BE54" s="58">
        <v>34.024999999999999</v>
      </c>
      <c r="BF54" s="58">
        <v>26.469000000000001</v>
      </c>
      <c r="BG54" s="58">
        <v>7.556</v>
      </c>
      <c r="BH54" s="58">
        <v>16.122</v>
      </c>
      <c r="BI54" s="58">
        <v>12.289</v>
      </c>
      <c r="BJ54" s="58">
        <v>3.8330000000000002</v>
      </c>
      <c r="BK54" s="58">
        <v>17.902999999999999</v>
      </c>
      <c r="BL54" s="58">
        <v>14.179</v>
      </c>
      <c r="BM54" s="58">
        <v>3.7229999999999999</v>
      </c>
      <c r="BN54" s="58">
        <v>64.141999999999996</v>
      </c>
      <c r="BO54" s="58">
        <v>25.303999999999998</v>
      </c>
      <c r="BP54" s="58">
        <v>38.838000000000001</v>
      </c>
      <c r="BQ54" s="58">
        <v>414.42</v>
      </c>
      <c r="BR54" s="58">
        <v>221.93299999999999</v>
      </c>
      <c r="BS54" s="58">
        <v>192.48699999999999</v>
      </c>
      <c r="BT54" s="58">
        <v>154.625</v>
      </c>
      <c r="BU54" s="58">
        <v>118.491</v>
      </c>
      <c r="BV54" s="58">
        <v>36.134999999999998</v>
      </c>
      <c r="BW54" s="58">
        <v>259.79500000000002</v>
      </c>
      <c r="BX54" s="58">
        <v>103.44199999999999</v>
      </c>
      <c r="BY54" s="58">
        <v>156.35300000000001</v>
      </c>
      <c r="BZ54" s="58">
        <v>181.07300000000001</v>
      </c>
      <c r="CA54" s="58">
        <v>138.84800000000001</v>
      </c>
      <c r="CB54" s="58">
        <v>42.225000000000001</v>
      </c>
      <c r="CC54" s="58">
        <v>290.21800000000002</v>
      </c>
      <c r="CD54" s="58">
        <v>113.73099999999999</v>
      </c>
      <c r="CE54" s="58">
        <v>176.48699999999999</v>
      </c>
      <c r="CF54" s="58">
        <v>275.91699999999997</v>
      </c>
      <c r="CG54" s="58">
        <v>115.73099999999999</v>
      </c>
      <c r="CH54" s="58">
        <v>160.18600000000001</v>
      </c>
      <c r="CI54" s="58">
        <v>2490.3159999999998</v>
      </c>
      <c r="CJ54" s="58">
        <v>1304.712</v>
      </c>
      <c r="CK54" s="58">
        <v>1185.604</v>
      </c>
      <c r="CL54" s="58">
        <v>1724.904</v>
      </c>
      <c r="CM54" s="58">
        <v>1069.31</v>
      </c>
      <c r="CN54" s="58">
        <v>655.59400000000005</v>
      </c>
      <c r="CO54" s="58">
        <v>765.41200000000003</v>
      </c>
      <c r="CP54" s="58">
        <v>235.40100000000001</v>
      </c>
      <c r="CQ54" s="58">
        <v>530.01099999999997</v>
      </c>
      <c r="CR54" s="58">
        <v>377.55099999999999</v>
      </c>
      <c r="CS54" s="58">
        <v>190.61099999999999</v>
      </c>
      <c r="CT54" s="58">
        <v>186.94</v>
      </c>
      <c r="CU54" s="58">
        <v>88.614999999999995</v>
      </c>
      <c r="CV54" s="58">
        <v>45.841999999999999</v>
      </c>
      <c r="CW54" s="58">
        <v>42.773000000000003</v>
      </c>
      <c r="CX54" s="58">
        <v>33.365000000000002</v>
      </c>
      <c r="CY54" s="58">
        <v>24.681000000000001</v>
      </c>
      <c r="CZ54" s="58">
        <v>8.6839999999999993</v>
      </c>
      <c r="DA54" s="58">
        <v>19.13</v>
      </c>
      <c r="DB54" s="58">
        <v>13.962</v>
      </c>
      <c r="DC54" s="58">
        <v>5.1669999999999998</v>
      </c>
      <c r="DD54" s="58">
        <v>14.234999999999999</v>
      </c>
      <c r="DE54" s="58">
        <v>10.718999999999999</v>
      </c>
      <c r="DF54" s="58">
        <v>3.5169999999999999</v>
      </c>
      <c r="DG54" s="58">
        <v>55.25</v>
      </c>
      <c r="DH54" s="58">
        <v>21.16</v>
      </c>
      <c r="DI54" s="58">
        <v>34.088999999999999</v>
      </c>
      <c r="DJ54" s="58">
        <v>322.83100000000002</v>
      </c>
      <c r="DK54" s="58">
        <v>162.715</v>
      </c>
      <c r="DL54" s="58">
        <v>160.11600000000001</v>
      </c>
      <c r="DM54" s="58">
        <v>112.196</v>
      </c>
      <c r="DN54" s="58">
        <v>78.003</v>
      </c>
      <c r="DO54" s="58">
        <v>34.192999999999998</v>
      </c>
      <c r="DP54" s="58">
        <v>210.63499999999999</v>
      </c>
      <c r="DQ54" s="58">
        <v>84.712000000000003</v>
      </c>
      <c r="DR54" s="58">
        <v>125.923</v>
      </c>
      <c r="DS54" s="58">
        <v>139.12700000000001</v>
      </c>
      <c r="DT54" s="58">
        <v>97.356999999999999</v>
      </c>
      <c r="DU54" s="58">
        <v>41.77</v>
      </c>
      <c r="DV54" s="58">
        <v>238.42400000000001</v>
      </c>
      <c r="DW54" s="58">
        <v>93.254000000000005</v>
      </c>
      <c r="DX54" s="58">
        <v>145.16999999999999</v>
      </c>
      <c r="DY54" s="58">
        <v>229.76499999999999</v>
      </c>
      <c r="DZ54" s="58">
        <v>98.674000000000007</v>
      </c>
      <c r="EA54" s="58">
        <v>131.09100000000001</v>
      </c>
      <c r="EB54" s="58">
        <v>850.06799999999998</v>
      </c>
      <c r="EC54" s="58">
        <v>447.84100000000001</v>
      </c>
      <c r="ED54" s="58">
        <v>402.22699999999998</v>
      </c>
      <c r="EE54" s="58">
        <v>558.29899999999998</v>
      </c>
      <c r="EF54" s="58">
        <v>360.536</v>
      </c>
      <c r="EG54" s="58">
        <v>197.762</v>
      </c>
      <c r="EH54" s="58">
        <v>291.76900000000001</v>
      </c>
      <c r="EI54" s="58">
        <v>87.305000000000007</v>
      </c>
      <c r="EJ54" s="58">
        <v>204.465</v>
      </c>
      <c r="EK54" s="58">
        <v>135.04</v>
      </c>
      <c r="EL54" s="58">
        <v>71.84</v>
      </c>
      <c r="EM54" s="58">
        <v>63.198999999999998</v>
      </c>
      <c r="EN54" s="58">
        <v>31.367999999999999</v>
      </c>
      <c r="EO54" s="58">
        <v>19.437000000000001</v>
      </c>
      <c r="EP54" s="58">
        <v>11.930999999999999</v>
      </c>
      <c r="EQ54" s="58">
        <v>10.736000000000001</v>
      </c>
      <c r="ER54" s="58">
        <v>8.4489999999999998</v>
      </c>
      <c r="ES54" s="58">
        <v>2.2869999999999999</v>
      </c>
      <c r="ET54" s="58">
        <v>6.5750000000000002</v>
      </c>
      <c r="EU54" s="58">
        <v>4.4859999999999998</v>
      </c>
      <c r="EV54" s="58">
        <v>2.089</v>
      </c>
      <c r="EW54" s="58">
        <v>4.1609999999999996</v>
      </c>
      <c r="EX54" s="58">
        <v>3.9630000000000001</v>
      </c>
      <c r="EY54" s="58">
        <v>0.19800000000000001</v>
      </c>
      <c r="EZ54" s="58">
        <v>20.632999999999999</v>
      </c>
      <c r="FA54" s="58">
        <v>10.988</v>
      </c>
      <c r="FB54" s="58">
        <v>9.6440000000000001</v>
      </c>
      <c r="FC54" s="58">
        <v>117.33</v>
      </c>
      <c r="FD54" s="58">
        <v>60.015000000000001</v>
      </c>
      <c r="FE54" s="58">
        <v>57.314999999999998</v>
      </c>
      <c r="FF54" s="58">
        <v>33.853000000000002</v>
      </c>
      <c r="FG54" s="58">
        <v>24.943000000000001</v>
      </c>
      <c r="FH54" s="58">
        <v>8.91</v>
      </c>
      <c r="FI54" s="58">
        <v>83.477000000000004</v>
      </c>
      <c r="FJ54" s="58">
        <v>35.072000000000003</v>
      </c>
      <c r="FK54" s="58">
        <v>48.405000000000001</v>
      </c>
      <c r="FL54" s="58">
        <v>41.926000000000002</v>
      </c>
      <c r="FM54" s="58">
        <v>31.221</v>
      </c>
      <c r="FN54" s="58">
        <v>10.705</v>
      </c>
      <c r="FO54" s="58">
        <v>93.114000000000004</v>
      </c>
      <c r="FP54" s="58">
        <v>40.619999999999997</v>
      </c>
      <c r="FQ54" s="58">
        <v>52.494</v>
      </c>
      <c r="FR54" s="58">
        <v>90.052000000000007</v>
      </c>
      <c r="FS54" s="58">
        <v>39.558</v>
      </c>
      <c r="FT54" s="58">
        <v>50.494</v>
      </c>
      <c r="FU54" s="58">
        <v>1332.961</v>
      </c>
      <c r="FV54" s="58">
        <v>720.81799999999998</v>
      </c>
      <c r="FW54" s="58">
        <v>612.14200000000005</v>
      </c>
      <c r="FX54" s="58">
        <v>905.84500000000003</v>
      </c>
      <c r="FY54" s="58">
        <v>592.78800000000001</v>
      </c>
      <c r="FZ54" s="58">
        <v>313.05799999999999</v>
      </c>
      <c r="GA54" s="58">
        <v>427.11500000000001</v>
      </c>
      <c r="GB54" s="58">
        <v>128.03100000000001</v>
      </c>
      <c r="GC54" s="58">
        <v>299.084</v>
      </c>
      <c r="GD54" s="58">
        <v>220.238</v>
      </c>
      <c r="GE54" s="58">
        <v>121.129</v>
      </c>
      <c r="GF54" s="58">
        <v>99.108999999999995</v>
      </c>
      <c r="GG54" s="58">
        <v>51.011000000000003</v>
      </c>
      <c r="GH54" s="58">
        <v>36.124000000000002</v>
      </c>
      <c r="GI54" s="58">
        <v>14.887</v>
      </c>
      <c r="GJ54" s="58">
        <v>24.212</v>
      </c>
      <c r="GK54" s="58">
        <v>22.911000000000001</v>
      </c>
      <c r="GL54" s="58">
        <v>1.3009999999999999</v>
      </c>
      <c r="GM54" s="58">
        <v>16.565999999999999</v>
      </c>
      <c r="GN54" s="58">
        <v>15.917</v>
      </c>
      <c r="GO54" s="58">
        <v>0.64900000000000002</v>
      </c>
      <c r="GP54" s="58">
        <v>7.6459999999999999</v>
      </c>
      <c r="GQ54" s="58">
        <v>6.9939999999999998</v>
      </c>
      <c r="GR54" s="58">
        <v>0.65100000000000002</v>
      </c>
      <c r="GS54" s="58">
        <v>26.798999999999999</v>
      </c>
      <c r="GT54" s="58">
        <v>13.212</v>
      </c>
      <c r="GU54" s="58">
        <v>13.586</v>
      </c>
      <c r="GV54" s="58">
        <v>194.56399999999999</v>
      </c>
      <c r="GW54" s="58">
        <v>102.416</v>
      </c>
      <c r="GX54" s="58">
        <v>92.147999999999996</v>
      </c>
      <c r="GY54" s="58">
        <v>85.861999999999995</v>
      </c>
      <c r="GZ54" s="58">
        <v>60.17</v>
      </c>
      <c r="HA54" s="58">
        <v>25.692</v>
      </c>
      <c r="HB54" s="58">
        <v>108.702</v>
      </c>
      <c r="HC54" s="58">
        <v>42.246000000000002</v>
      </c>
      <c r="HD54" s="58">
        <v>66.456000000000003</v>
      </c>
      <c r="HE54" s="58">
        <v>100.315</v>
      </c>
      <c r="HF54" s="58">
        <v>74.004999999999995</v>
      </c>
      <c r="HG54" s="58">
        <v>26.31</v>
      </c>
      <c r="HH54" s="58">
        <v>119.92400000000001</v>
      </c>
      <c r="HI54" s="58">
        <v>47.124000000000002</v>
      </c>
      <c r="HJ54" s="58">
        <v>72.8</v>
      </c>
      <c r="HK54" s="58">
        <v>125.268</v>
      </c>
      <c r="HL54" s="58">
        <v>58.162999999999997</v>
      </c>
      <c r="HM54" s="58">
        <v>67.105999999999995</v>
      </c>
      <c r="HN54" s="58">
        <v>248.62799999999999</v>
      </c>
      <c r="HO54" s="58">
        <v>128.96100000000001</v>
      </c>
      <c r="HP54" s="58">
        <v>119.666</v>
      </c>
      <c r="HQ54" s="58">
        <v>157.99299999999999</v>
      </c>
      <c r="HR54" s="58">
        <v>101.602</v>
      </c>
      <c r="HS54" s="58">
        <v>56.390999999999998</v>
      </c>
      <c r="HT54" s="58">
        <v>90.635000000000005</v>
      </c>
      <c r="HU54" s="58">
        <v>27.36</v>
      </c>
      <c r="HV54" s="58">
        <v>63.276000000000003</v>
      </c>
      <c r="HW54" s="58">
        <v>38.957000000000001</v>
      </c>
      <c r="HX54" s="58">
        <v>17.856000000000002</v>
      </c>
      <c r="HY54" s="58">
        <v>21.100999999999999</v>
      </c>
      <c r="HZ54" s="58">
        <v>6.43</v>
      </c>
      <c r="IA54" s="58">
        <v>3.4550000000000001</v>
      </c>
      <c r="IB54" s="58">
        <v>2.9750000000000001</v>
      </c>
      <c r="IC54" s="58">
        <v>2.1280000000000001</v>
      </c>
      <c r="ID54" s="58">
        <v>1.7509999999999999</v>
      </c>
      <c r="IE54" s="58">
        <v>0.376</v>
      </c>
      <c r="IF54" s="58">
        <v>1.03</v>
      </c>
      <c r="IG54" s="58">
        <v>0.72899999999999998</v>
      </c>
      <c r="IH54" s="58">
        <v>0.30099999999999999</v>
      </c>
      <c r="II54" s="58">
        <v>1.0980000000000001</v>
      </c>
      <c r="IJ54" s="58">
        <v>1.0229999999999999</v>
      </c>
      <c r="IK54" s="58">
        <v>7.4999999999999997E-2</v>
      </c>
      <c r="IL54" s="58">
        <v>4.3019999999999996</v>
      </c>
      <c r="IM54" s="58">
        <v>1.704</v>
      </c>
      <c r="IN54" s="58">
        <v>2.5979999999999999</v>
      </c>
      <c r="IO54" s="58">
        <v>34.683999999999997</v>
      </c>
      <c r="IP54" s="58">
        <v>15.614000000000001</v>
      </c>
      <c r="IQ54" s="58">
        <v>19.068999999999999</v>
      </c>
    </row>
    <row r="55" spans="1:251">
      <c r="A55" s="5">
        <v>43160</v>
      </c>
      <c r="B55" s="58">
        <v>1018.8680000000001</v>
      </c>
      <c r="C55" s="58">
        <v>1219.752</v>
      </c>
      <c r="D55" s="58">
        <v>380.78800000000001</v>
      </c>
      <c r="E55" s="58">
        <v>838.96400000000006</v>
      </c>
      <c r="F55" s="58">
        <v>555.149</v>
      </c>
      <c r="G55" s="58">
        <v>289.363</v>
      </c>
      <c r="H55" s="58">
        <v>265.786</v>
      </c>
      <c r="I55" s="58">
        <v>91.251999999999995</v>
      </c>
      <c r="J55" s="58">
        <v>50.994999999999997</v>
      </c>
      <c r="K55" s="58">
        <v>40.258000000000003</v>
      </c>
      <c r="L55" s="58">
        <v>36.656999999999996</v>
      </c>
      <c r="M55" s="58">
        <v>26.965</v>
      </c>
      <c r="N55" s="58">
        <v>9.6920000000000002</v>
      </c>
      <c r="O55" s="58">
        <v>18.738</v>
      </c>
      <c r="P55" s="58">
        <v>10.896000000000001</v>
      </c>
      <c r="Q55" s="58">
        <v>7.8419999999999996</v>
      </c>
      <c r="R55" s="58">
        <v>17.919</v>
      </c>
      <c r="S55" s="58">
        <v>16.068999999999999</v>
      </c>
      <c r="T55" s="58">
        <v>1.85</v>
      </c>
      <c r="U55" s="58">
        <v>54.594999999999999</v>
      </c>
      <c r="V55" s="58">
        <v>24.029</v>
      </c>
      <c r="W55" s="58">
        <v>30.565999999999999</v>
      </c>
      <c r="X55" s="58">
        <v>500.84899999999999</v>
      </c>
      <c r="Y55" s="58">
        <v>257.625</v>
      </c>
      <c r="Z55" s="58">
        <v>243.22399999999999</v>
      </c>
      <c r="AA55" s="58">
        <v>191.62</v>
      </c>
      <c r="AB55" s="58">
        <v>140.29</v>
      </c>
      <c r="AC55" s="58">
        <v>51.331000000000003</v>
      </c>
      <c r="AD55" s="58">
        <v>309.22899999999998</v>
      </c>
      <c r="AE55" s="58">
        <v>117.336</v>
      </c>
      <c r="AF55" s="58">
        <v>191.893</v>
      </c>
      <c r="AG55" s="58">
        <v>219.73</v>
      </c>
      <c r="AH55" s="58">
        <v>160.72800000000001</v>
      </c>
      <c r="AI55" s="58">
        <v>59.000999999999998</v>
      </c>
      <c r="AJ55" s="58">
        <v>335.42</v>
      </c>
      <c r="AK55" s="58">
        <v>128.63499999999999</v>
      </c>
      <c r="AL55" s="58">
        <v>206.785</v>
      </c>
      <c r="AM55" s="58">
        <v>327.96699999999998</v>
      </c>
      <c r="AN55" s="58">
        <v>128.232</v>
      </c>
      <c r="AO55" s="58">
        <v>199.73500000000001</v>
      </c>
      <c r="AP55" s="58">
        <v>3263.7660000000001</v>
      </c>
      <c r="AQ55" s="58">
        <v>1746.4449999999999</v>
      </c>
      <c r="AR55" s="58">
        <v>1517.3209999999999</v>
      </c>
      <c r="AS55" s="58">
        <v>2182.739</v>
      </c>
      <c r="AT55" s="58">
        <v>1401.896</v>
      </c>
      <c r="AU55" s="58">
        <v>780.84199999999998</v>
      </c>
      <c r="AV55" s="58">
        <v>1081.027</v>
      </c>
      <c r="AW55" s="58">
        <v>344.54899999999998</v>
      </c>
      <c r="AX55" s="58">
        <v>736.47799999999995</v>
      </c>
      <c r="AY55" s="58">
        <v>435.15899999999999</v>
      </c>
      <c r="AZ55" s="58">
        <v>225.99199999999999</v>
      </c>
      <c r="BA55" s="58">
        <v>209.167</v>
      </c>
      <c r="BB55" s="58">
        <v>79.132000000000005</v>
      </c>
      <c r="BC55" s="58">
        <v>46.186999999999998</v>
      </c>
      <c r="BD55" s="58">
        <v>32.945</v>
      </c>
      <c r="BE55" s="58">
        <v>31.498000000000001</v>
      </c>
      <c r="BF55" s="58">
        <v>23.754999999999999</v>
      </c>
      <c r="BG55" s="58">
        <v>7.7430000000000003</v>
      </c>
      <c r="BH55" s="58">
        <v>21.105</v>
      </c>
      <c r="BI55" s="58">
        <v>16.367999999999999</v>
      </c>
      <c r="BJ55" s="58">
        <v>4.7380000000000004</v>
      </c>
      <c r="BK55" s="58">
        <v>10.393000000000001</v>
      </c>
      <c r="BL55" s="58">
        <v>7.3879999999999999</v>
      </c>
      <c r="BM55" s="58">
        <v>3.0049999999999999</v>
      </c>
      <c r="BN55" s="58">
        <v>47.634</v>
      </c>
      <c r="BO55" s="58">
        <v>22.431999999999999</v>
      </c>
      <c r="BP55" s="58">
        <v>25.202000000000002</v>
      </c>
      <c r="BQ55" s="58">
        <v>389.52499999999998</v>
      </c>
      <c r="BR55" s="58">
        <v>200.642</v>
      </c>
      <c r="BS55" s="58">
        <v>188.88300000000001</v>
      </c>
      <c r="BT55" s="58">
        <v>131.43199999999999</v>
      </c>
      <c r="BU55" s="58">
        <v>98.495000000000005</v>
      </c>
      <c r="BV55" s="58">
        <v>32.936999999999998</v>
      </c>
      <c r="BW55" s="58">
        <v>258.09300000000002</v>
      </c>
      <c r="BX55" s="58">
        <v>102.14700000000001</v>
      </c>
      <c r="BY55" s="58">
        <v>155.946</v>
      </c>
      <c r="BZ55" s="58">
        <v>155.589</v>
      </c>
      <c r="CA55" s="58">
        <v>115.842</v>
      </c>
      <c r="CB55" s="58">
        <v>39.747999999999998</v>
      </c>
      <c r="CC55" s="58">
        <v>279.57</v>
      </c>
      <c r="CD55" s="58">
        <v>110.15</v>
      </c>
      <c r="CE55" s="58">
        <v>169.41900000000001</v>
      </c>
      <c r="CF55" s="58">
        <v>279.19799999999998</v>
      </c>
      <c r="CG55" s="58">
        <v>118.515</v>
      </c>
      <c r="CH55" s="58">
        <v>160.68299999999999</v>
      </c>
      <c r="CI55" s="58">
        <v>2468.2869999999998</v>
      </c>
      <c r="CJ55" s="58">
        <v>1289.8710000000001</v>
      </c>
      <c r="CK55" s="58">
        <v>1178.4159999999999</v>
      </c>
      <c r="CL55" s="58">
        <v>1690.0940000000001</v>
      </c>
      <c r="CM55" s="58">
        <v>1052.431</v>
      </c>
      <c r="CN55" s="58">
        <v>637.66300000000001</v>
      </c>
      <c r="CO55" s="58">
        <v>778.19200000000001</v>
      </c>
      <c r="CP55" s="58">
        <v>237.44</v>
      </c>
      <c r="CQ55" s="58">
        <v>540.75300000000004</v>
      </c>
      <c r="CR55" s="58">
        <v>378.48399999999998</v>
      </c>
      <c r="CS55" s="58">
        <v>184.76499999999999</v>
      </c>
      <c r="CT55" s="58">
        <v>193.72</v>
      </c>
      <c r="CU55" s="58">
        <v>76.462000000000003</v>
      </c>
      <c r="CV55" s="58">
        <v>42.177999999999997</v>
      </c>
      <c r="CW55" s="58">
        <v>34.283999999999999</v>
      </c>
      <c r="CX55" s="58">
        <v>30.943999999999999</v>
      </c>
      <c r="CY55" s="58">
        <v>22.72</v>
      </c>
      <c r="CZ55" s="58">
        <v>8.2240000000000002</v>
      </c>
      <c r="DA55" s="58">
        <v>17.315000000000001</v>
      </c>
      <c r="DB55" s="58">
        <v>11.311999999999999</v>
      </c>
      <c r="DC55" s="58">
        <v>6.0030000000000001</v>
      </c>
      <c r="DD55" s="58">
        <v>13.629</v>
      </c>
      <c r="DE55" s="58">
        <v>11.407</v>
      </c>
      <c r="DF55" s="58">
        <v>2.2210000000000001</v>
      </c>
      <c r="DG55" s="58">
        <v>45.518000000000001</v>
      </c>
      <c r="DH55" s="58">
        <v>19.459</v>
      </c>
      <c r="DI55" s="58">
        <v>26.059000000000001</v>
      </c>
      <c r="DJ55" s="58">
        <v>331.99200000000002</v>
      </c>
      <c r="DK55" s="58">
        <v>156.22999999999999</v>
      </c>
      <c r="DL55" s="58">
        <v>175.762</v>
      </c>
      <c r="DM55" s="58">
        <v>108.33799999999999</v>
      </c>
      <c r="DN55" s="58">
        <v>76.263000000000005</v>
      </c>
      <c r="DO55" s="58">
        <v>32.075000000000003</v>
      </c>
      <c r="DP55" s="58">
        <v>223.654</v>
      </c>
      <c r="DQ55" s="58">
        <v>79.966999999999999</v>
      </c>
      <c r="DR55" s="58">
        <v>143.68700000000001</v>
      </c>
      <c r="DS55" s="58">
        <v>134.78700000000001</v>
      </c>
      <c r="DT55" s="58">
        <v>95.94</v>
      </c>
      <c r="DU55" s="58">
        <v>38.847000000000001</v>
      </c>
      <c r="DV55" s="58">
        <v>243.69800000000001</v>
      </c>
      <c r="DW55" s="58">
        <v>88.825000000000003</v>
      </c>
      <c r="DX55" s="58">
        <v>154.87299999999999</v>
      </c>
      <c r="DY55" s="58">
        <v>240.96899999999999</v>
      </c>
      <c r="DZ55" s="58">
        <v>91.278999999999996</v>
      </c>
      <c r="EA55" s="58">
        <v>149.69</v>
      </c>
      <c r="EB55" s="58">
        <v>842.45799999999997</v>
      </c>
      <c r="EC55" s="58">
        <v>445.59199999999998</v>
      </c>
      <c r="ED55" s="58">
        <v>396.86599999999999</v>
      </c>
      <c r="EE55" s="58">
        <v>546.38599999999997</v>
      </c>
      <c r="EF55" s="58">
        <v>353.58699999999999</v>
      </c>
      <c r="EG55" s="58">
        <v>192.8</v>
      </c>
      <c r="EH55" s="58">
        <v>296.072</v>
      </c>
      <c r="EI55" s="58">
        <v>92.004999999999995</v>
      </c>
      <c r="EJ55" s="58">
        <v>204.06700000000001</v>
      </c>
      <c r="EK55" s="58">
        <v>132.75</v>
      </c>
      <c r="EL55" s="58">
        <v>69.233000000000004</v>
      </c>
      <c r="EM55" s="58">
        <v>63.517000000000003</v>
      </c>
      <c r="EN55" s="58">
        <v>26.812000000000001</v>
      </c>
      <c r="EO55" s="58">
        <v>16.425000000000001</v>
      </c>
      <c r="EP55" s="58">
        <v>10.387</v>
      </c>
      <c r="EQ55" s="58">
        <v>9.5909999999999993</v>
      </c>
      <c r="ER55" s="58">
        <v>7.9489999999999998</v>
      </c>
      <c r="ES55" s="58">
        <v>1.641</v>
      </c>
      <c r="ET55" s="58">
        <v>6.2519999999999998</v>
      </c>
      <c r="EU55" s="58">
        <v>4.8360000000000003</v>
      </c>
      <c r="EV55" s="58">
        <v>1.4159999999999999</v>
      </c>
      <c r="EW55" s="58">
        <v>3.3380000000000001</v>
      </c>
      <c r="EX55" s="58">
        <v>3.113</v>
      </c>
      <c r="EY55" s="58">
        <v>0.22500000000000001</v>
      </c>
      <c r="EZ55" s="58">
        <v>17.222000000000001</v>
      </c>
      <c r="FA55" s="58">
        <v>8.4760000000000009</v>
      </c>
      <c r="FB55" s="58">
        <v>8.7460000000000004</v>
      </c>
      <c r="FC55" s="58">
        <v>116.85899999999999</v>
      </c>
      <c r="FD55" s="58">
        <v>60.444000000000003</v>
      </c>
      <c r="FE55" s="58">
        <v>56.414999999999999</v>
      </c>
      <c r="FF55" s="58">
        <v>34.646999999999998</v>
      </c>
      <c r="FG55" s="58">
        <v>24.401</v>
      </c>
      <c r="FH55" s="58">
        <v>10.244999999999999</v>
      </c>
      <c r="FI55" s="58">
        <v>82.212000000000003</v>
      </c>
      <c r="FJ55" s="58">
        <v>36.042000000000002</v>
      </c>
      <c r="FK55" s="58">
        <v>46.17</v>
      </c>
      <c r="FL55" s="58">
        <v>41.9</v>
      </c>
      <c r="FM55" s="58">
        <v>30.474</v>
      </c>
      <c r="FN55" s="58">
        <v>11.426</v>
      </c>
      <c r="FO55" s="58">
        <v>90.85</v>
      </c>
      <c r="FP55" s="58">
        <v>38.759</v>
      </c>
      <c r="FQ55" s="58">
        <v>52.091000000000001</v>
      </c>
      <c r="FR55" s="58">
        <v>88.463999999999999</v>
      </c>
      <c r="FS55" s="58">
        <v>40.878</v>
      </c>
      <c r="FT55" s="58">
        <v>47.585999999999999</v>
      </c>
      <c r="FU55" s="58">
        <v>1332.191</v>
      </c>
      <c r="FV55" s="58">
        <v>718.101</v>
      </c>
      <c r="FW55" s="58">
        <v>614.08900000000006</v>
      </c>
      <c r="FX55" s="58">
        <v>881.32100000000003</v>
      </c>
      <c r="FY55" s="58">
        <v>581.57100000000003</v>
      </c>
      <c r="FZ55" s="58">
        <v>299.75</v>
      </c>
      <c r="GA55" s="58">
        <v>450.86900000000003</v>
      </c>
      <c r="GB55" s="58">
        <v>136.53</v>
      </c>
      <c r="GC55" s="58">
        <v>314.33999999999997</v>
      </c>
      <c r="GD55" s="58">
        <v>211.065</v>
      </c>
      <c r="GE55" s="58">
        <v>106.988</v>
      </c>
      <c r="GF55" s="58">
        <v>104.077</v>
      </c>
      <c r="GG55" s="58">
        <v>45.543999999999997</v>
      </c>
      <c r="GH55" s="58">
        <v>24.059000000000001</v>
      </c>
      <c r="GI55" s="58">
        <v>21.484999999999999</v>
      </c>
      <c r="GJ55" s="58">
        <v>16.757000000000001</v>
      </c>
      <c r="GK55" s="58">
        <v>12.489000000000001</v>
      </c>
      <c r="GL55" s="58">
        <v>4.2679999999999998</v>
      </c>
      <c r="GM55" s="58">
        <v>11.068</v>
      </c>
      <c r="GN55" s="58">
        <v>7.782</v>
      </c>
      <c r="GO55" s="58">
        <v>3.286</v>
      </c>
      <c r="GP55" s="58">
        <v>5.6890000000000001</v>
      </c>
      <c r="GQ55" s="58">
        <v>4.7069999999999999</v>
      </c>
      <c r="GR55" s="58">
        <v>0.98199999999999998</v>
      </c>
      <c r="GS55" s="58">
        <v>28.786999999999999</v>
      </c>
      <c r="GT55" s="58">
        <v>11.57</v>
      </c>
      <c r="GU55" s="58">
        <v>17.216999999999999</v>
      </c>
      <c r="GV55" s="58">
        <v>188.25299999999999</v>
      </c>
      <c r="GW55" s="58">
        <v>95.843999999999994</v>
      </c>
      <c r="GX55" s="58">
        <v>92.409000000000006</v>
      </c>
      <c r="GY55" s="58">
        <v>66.281999999999996</v>
      </c>
      <c r="GZ55" s="58">
        <v>47.680999999999997</v>
      </c>
      <c r="HA55" s="58">
        <v>18.600999999999999</v>
      </c>
      <c r="HB55" s="58">
        <v>121.971</v>
      </c>
      <c r="HC55" s="58">
        <v>48.162999999999997</v>
      </c>
      <c r="HD55" s="58">
        <v>73.807000000000002</v>
      </c>
      <c r="HE55" s="58">
        <v>78.251999999999995</v>
      </c>
      <c r="HF55" s="58">
        <v>55.695</v>
      </c>
      <c r="HG55" s="58">
        <v>22.556999999999999</v>
      </c>
      <c r="HH55" s="58">
        <v>132.81299999999999</v>
      </c>
      <c r="HI55" s="58">
        <v>51.292000000000002</v>
      </c>
      <c r="HJ55" s="58">
        <v>81.52</v>
      </c>
      <c r="HK55" s="58">
        <v>133.03899999999999</v>
      </c>
      <c r="HL55" s="58">
        <v>55.945</v>
      </c>
      <c r="HM55" s="58">
        <v>77.093000000000004</v>
      </c>
      <c r="HN55" s="58">
        <v>250.26400000000001</v>
      </c>
      <c r="HO55" s="58">
        <v>128.352</v>
      </c>
      <c r="HP55" s="58">
        <v>121.91200000000001</v>
      </c>
      <c r="HQ55" s="58">
        <v>158.679</v>
      </c>
      <c r="HR55" s="58">
        <v>101.593</v>
      </c>
      <c r="HS55" s="58">
        <v>57.085999999999999</v>
      </c>
      <c r="HT55" s="58">
        <v>91.584999999999994</v>
      </c>
      <c r="HU55" s="58">
        <v>26.757999999999999</v>
      </c>
      <c r="HV55" s="58">
        <v>64.825999999999993</v>
      </c>
      <c r="HW55" s="58">
        <v>38.195999999999998</v>
      </c>
      <c r="HX55" s="58">
        <v>17.439</v>
      </c>
      <c r="HY55" s="58">
        <v>20.757000000000001</v>
      </c>
      <c r="HZ55" s="58">
        <v>6.7539999999999996</v>
      </c>
      <c r="IA55" s="58">
        <v>3.5230000000000001</v>
      </c>
      <c r="IB55" s="58">
        <v>3.2309999999999999</v>
      </c>
      <c r="IC55" s="58">
        <v>1.9850000000000001</v>
      </c>
      <c r="ID55" s="58">
        <v>1.7709999999999999</v>
      </c>
      <c r="IE55" s="58">
        <v>0.215</v>
      </c>
      <c r="IF55" s="58">
        <v>0.95199999999999996</v>
      </c>
      <c r="IG55" s="58">
        <v>0.84699999999999998</v>
      </c>
      <c r="IH55" s="58">
        <v>0.105</v>
      </c>
      <c r="II55" s="58">
        <v>1.0329999999999999</v>
      </c>
      <c r="IJ55" s="58">
        <v>0.92400000000000004</v>
      </c>
      <c r="IK55" s="58">
        <v>0.11</v>
      </c>
      <c r="IL55" s="58">
        <v>4.7690000000000001</v>
      </c>
      <c r="IM55" s="58">
        <v>1.752</v>
      </c>
      <c r="IN55" s="58">
        <v>3.0169999999999999</v>
      </c>
      <c r="IO55" s="58">
        <v>34.048000000000002</v>
      </c>
      <c r="IP55" s="58">
        <v>15.246</v>
      </c>
      <c r="IQ55" s="58">
        <v>18.802</v>
      </c>
    </row>
    <row r="56" spans="1:251">
      <c r="A56" s="5">
        <v>43191</v>
      </c>
      <c r="B56" s="58">
        <v>1044.568</v>
      </c>
      <c r="C56" s="58">
        <v>1236.135</v>
      </c>
      <c r="D56" s="58">
        <v>400.42599999999999</v>
      </c>
      <c r="E56" s="58">
        <v>835.70899999999995</v>
      </c>
      <c r="F56" s="58">
        <v>566.48299999999995</v>
      </c>
      <c r="G56" s="58">
        <v>291.77800000000002</v>
      </c>
      <c r="H56" s="58">
        <v>274.70499999999998</v>
      </c>
      <c r="I56" s="58">
        <v>97.052999999999997</v>
      </c>
      <c r="J56" s="58">
        <v>55.220999999999997</v>
      </c>
      <c r="K56" s="58">
        <v>41.832000000000001</v>
      </c>
      <c r="L56" s="58">
        <v>37.323</v>
      </c>
      <c r="M56" s="58">
        <v>28.452000000000002</v>
      </c>
      <c r="N56" s="58">
        <v>8.8710000000000004</v>
      </c>
      <c r="O56" s="58">
        <v>20.831</v>
      </c>
      <c r="P56" s="58">
        <v>15.99</v>
      </c>
      <c r="Q56" s="58">
        <v>4.84</v>
      </c>
      <c r="R56" s="58">
        <v>16.492999999999999</v>
      </c>
      <c r="S56" s="58">
        <v>12.462</v>
      </c>
      <c r="T56" s="58">
        <v>4.0309999999999997</v>
      </c>
      <c r="U56" s="58">
        <v>59.73</v>
      </c>
      <c r="V56" s="58">
        <v>26.768999999999998</v>
      </c>
      <c r="W56" s="58">
        <v>32.960999999999999</v>
      </c>
      <c r="X56" s="58">
        <v>515.74300000000005</v>
      </c>
      <c r="Y56" s="58">
        <v>259.904</v>
      </c>
      <c r="Z56" s="58">
        <v>255.839</v>
      </c>
      <c r="AA56" s="58">
        <v>190.65299999999999</v>
      </c>
      <c r="AB56" s="58">
        <v>137.697</v>
      </c>
      <c r="AC56" s="58">
        <v>52.956000000000003</v>
      </c>
      <c r="AD56" s="58">
        <v>325.08999999999997</v>
      </c>
      <c r="AE56" s="58">
        <v>122.20699999999999</v>
      </c>
      <c r="AF56" s="58">
        <v>202.88300000000001</v>
      </c>
      <c r="AG56" s="58">
        <v>219.792</v>
      </c>
      <c r="AH56" s="58">
        <v>159.90100000000001</v>
      </c>
      <c r="AI56" s="58">
        <v>59.892000000000003</v>
      </c>
      <c r="AJ56" s="58">
        <v>346.69099999999997</v>
      </c>
      <c r="AK56" s="58">
        <v>131.87799999999999</v>
      </c>
      <c r="AL56" s="58">
        <v>214.81299999999999</v>
      </c>
      <c r="AM56" s="58">
        <v>345.92</v>
      </c>
      <c r="AN56" s="58">
        <v>138.197</v>
      </c>
      <c r="AO56" s="58">
        <v>207.72300000000001</v>
      </c>
      <c r="AP56" s="58">
        <v>3249.0880000000002</v>
      </c>
      <c r="AQ56" s="58">
        <v>1741.2739999999999</v>
      </c>
      <c r="AR56" s="58">
        <v>1507.8140000000001</v>
      </c>
      <c r="AS56" s="58">
        <v>2188.17</v>
      </c>
      <c r="AT56" s="58">
        <v>1399.5940000000001</v>
      </c>
      <c r="AU56" s="58">
        <v>788.57600000000002</v>
      </c>
      <c r="AV56" s="58">
        <v>1060.9179999999999</v>
      </c>
      <c r="AW56" s="58">
        <v>341.68</v>
      </c>
      <c r="AX56" s="58">
        <v>719.23800000000006</v>
      </c>
      <c r="AY56" s="58">
        <v>422.83</v>
      </c>
      <c r="AZ56" s="58">
        <v>226.155</v>
      </c>
      <c r="BA56" s="58">
        <v>196.67500000000001</v>
      </c>
      <c r="BB56" s="58">
        <v>72.501000000000005</v>
      </c>
      <c r="BC56" s="58">
        <v>41.64</v>
      </c>
      <c r="BD56" s="58">
        <v>30.861000000000001</v>
      </c>
      <c r="BE56" s="58">
        <v>22.79</v>
      </c>
      <c r="BF56" s="58">
        <v>17.187999999999999</v>
      </c>
      <c r="BG56" s="58">
        <v>5.6020000000000003</v>
      </c>
      <c r="BH56" s="58">
        <v>11.433999999999999</v>
      </c>
      <c r="BI56" s="58">
        <v>8.8469999999999995</v>
      </c>
      <c r="BJ56" s="58">
        <v>2.5870000000000002</v>
      </c>
      <c r="BK56" s="58">
        <v>11.356</v>
      </c>
      <c r="BL56" s="58">
        <v>8.3409999999999993</v>
      </c>
      <c r="BM56" s="58">
        <v>3.0150000000000001</v>
      </c>
      <c r="BN56" s="58">
        <v>49.710999999999999</v>
      </c>
      <c r="BO56" s="58">
        <v>24.452000000000002</v>
      </c>
      <c r="BP56" s="58">
        <v>25.259</v>
      </c>
      <c r="BQ56" s="58">
        <v>381.65899999999999</v>
      </c>
      <c r="BR56" s="58">
        <v>203.25899999999999</v>
      </c>
      <c r="BS56" s="58">
        <v>178.399</v>
      </c>
      <c r="BT56" s="58">
        <v>134.489</v>
      </c>
      <c r="BU56" s="58">
        <v>104.95099999999999</v>
      </c>
      <c r="BV56" s="58">
        <v>29.538</v>
      </c>
      <c r="BW56" s="58">
        <v>247.17</v>
      </c>
      <c r="BX56" s="58">
        <v>98.308000000000007</v>
      </c>
      <c r="BY56" s="58">
        <v>148.86199999999999</v>
      </c>
      <c r="BZ56" s="58">
        <v>151.96</v>
      </c>
      <c r="CA56" s="58">
        <v>117.66</v>
      </c>
      <c r="CB56" s="58">
        <v>34.298999999999999</v>
      </c>
      <c r="CC56" s="58">
        <v>270.87</v>
      </c>
      <c r="CD56" s="58">
        <v>108.494</v>
      </c>
      <c r="CE56" s="58">
        <v>162.375</v>
      </c>
      <c r="CF56" s="58">
        <v>258.60300000000001</v>
      </c>
      <c r="CG56" s="58">
        <v>107.155</v>
      </c>
      <c r="CH56" s="58">
        <v>151.44900000000001</v>
      </c>
      <c r="CI56" s="58">
        <v>2466.3359999999998</v>
      </c>
      <c r="CJ56" s="58">
        <v>1296.451</v>
      </c>
      <c r="CK56" s="58">
        <v>1169.885</v>
      </c>
      <c r="CL56" s="58">
        <v>1691.6310000000001</v>
      </c>
      <c r="CM56" s="58">
        <v>1058.2909999999999</v>
      </c>
      <c r="CN56" s="58">
        <v>633.34</v>
      </c>
      <c r="CO56" s="58">
        <v>774.70500000000004</v>
      </c>
      <c r="CP56" s="58">
        <v>238.15899999999999</v>
      </c>
      <c r="CQ56" s="58">
        <v>536.54499999999996</v>
      </c>
      <c r="CR56" s="58">
        <v>378.68799999999999</v>
      </c>
      <c r="CS56" s="58">
        <v>188.28899999999999</v>
      </c>
      <c r="CT56" s="58">
        <v>190.399</v>
      </c>
      <c r="CU56" s="58">
        <v>64.510000000000005</v>
      </c>
      <c r="CV56" s="58">
        <v>35.206000000000003</v>
      </c>
      <c r="CW56" s="58">
        <v>29.303999999999998</v>
      </c>
      <c r="CX56" s="58">
        <v>17.353999999999999</v>
      </c>
      <c r="CY56" s="58">
        <v>14.837</v>
      </c>
      <c r="CZ56" s="58">
        <v>2.516</v>
      </c>
      <c r="DA56" s="58">
        <v>13.026999999999999</v>
      </c>
      <c r="DB56" s="58">
        <v>10.920999999999999</v>
      </c>
      <c r="DC56" s="58">
        <v>2.1070000000000002</v>
      </c>
      <c r="DD56" s="58">
        <v>4.327</v>
      </c>
      <c r="DE56" s="58">
        <v>3.9169999999999998</v>
      </c>
      <c r="DF56" s="58">
        <v>0.41</v>
      </c>
      <c r="DG56" s="58">
        <v>47.155999999999999</v>
      </c>
      <c r="DH56" s="58">
        <v>20.367999999999999</v>
      </c>
      <c r="DI56" s="58">
        <v>26.788</v>
      </c>
      <c r="DJ56" s="58">
        <v>342.221</v>
      </c>
      <c r="DK56" s="58">
        <v>168.952</v>
      </c>
      <c r="DL56" s="58">
        <v>173.27</v>
      </c>
      <c r="DM56" s="58">
        <v>118.608</v>
      </c>
      <c r="DN56" s="58">
        <v>87.236000000000004</v>
      </c>
      <c r="DO56" s="58">
        <v>31.372</v>
      </c>
      <c r="DP56" s="58">
        <v>223.613</v>
      </c>
      <c r="DQ56" s="58">
        <v>81.715999999999994</v>
      </c>
      <c r="DR56" s="58">
        <v>141.89699999999999</v>
      </c>
      <c r="DS56" s="58">
        <v>129.86099999999999</v>
      </c>
      <c r="DT56" s="58">
        <v>96.459000000000003</v>
      </c>
      <c r="DU56" s="58">
        <v>33.402000000000001</v>
      </c>
      <c r="DV56" s="58">
        <v>248.827</v>
      </c>
      <c r="DW56" s="58">
        <v>91.831000000000003</v>
      </c>
      <c r="DX56" s="58">
        <v>156.99600000000001</v>
      </c>
      <c r="DY56" s="58">
        <v>236.64</v>
      </c>
      <c r="DZ56" s="58">
        <v>92.637</v>
      </c>
      <c r="EA56" s="58">
        <v>144.00399999999999</v>
      </c>
      <c r="EB56" s="58">
        <v>846.42100000000005</v>
      </c>
      <c r="EC56" s="58">
        <v>446.601</v>
      </c>
      <c r="ED56" s="58">
        <v>399.81900000000002</v>
      </c>
      <c r="EE56" s="58">
        <v>545.73</v>
      </c>
      <c r="EF56" s="58">
        <v>353.50599999999997</v>
      </c>
      <c r="EG56" s="58">
        <v>192.22399999999999</v>
      </c>
      <c r="EH56" s="58">
        <v>300.69099999999997</v>
      </c>
      <c r="EI56" s="58">
        <v>93.094999999999999</v>
      </c>
      <c r="EJ56" s="58">
        <v>207.595</v>
      </c>
      <c r="EK56" s="58">
        <v>130.15199999999999</v>
      </c>
      <c r="EL56" s="58">
        <v>67.593999999999994</v>
      </c>
      <c r="EM56" s="58">
        <v>62.558</v>
      </c>
      <c r="EN56" s="58">
        <v>27.882999999999999</v>
      </c>
      <c r="EO56" s="58">
        <v>15.272</v>
      </c>
      <c r="EP56" s="58">
        <v>12.612</v>
      </c>
      <c r="EQ56" s="58">
        <v>8.2260000000000009</v>
      </c>
      <c r="ER56" s="58">
        <v>6.1449999999999996</v>
      </c>
      <c r="ES56" s="58">
        <v>2.081</v>
      </c>
      <c r="ET56" s="58">
        <v>5.2779999999999996</v>
      </c>
      <c r="EU56" s="58">
        <v>3.9359999999999999</v>
      </c>
      <c r="EV56" s="58">
        <v>1.3420000000000001</v>
      </c>
      <c r="EW56" s="58">
        <v>2.948</v>
      </c>
      <c r="EX56" s="58">
        <v>2.2090000000000001</v>
      </c>
      <c r="EY56" s="58">
        <v>0.73899999999999999</v>
      </c>
      <c r="EZ56" s="58">
        <v>19.657</v>
      </c>
      <c r="FA56" s="58">
        <v>9.1259999999999994</v>
      </c>
      <c r="FB56" s="58">
        <v>10.531000000000001</v>
      </c>
      <c r="FC56" s="58">
        <v>116.327</v>
      </c>
      <c r="FD56" s="58">
        <v>60.555999999999997</v>
      </c>
      <c r="FE56" s="58">
        <v>55.771000000000001</v>
      </c>
      <c r="FF56" s="58">
        <v>38.975999999999999</v>
      </c>
      <c r="FG56" s="58">
        <v>28.858000000000001</v>
      </c>
      <c r="FH56" s="58">
        <v>10.118</v>
      </c>
      <c r="FI56" s="58">
        <v>77.350999999999999</v>
      </c>
      <c r="FJ56" s="58">
        <v>31.698</v>
      </c>
      <c r="FK56" s="58">
        <v>45.652999999999999</v>
      </c>
      <c r="FL56" s="58">
        <v>44.466999999999999</v>
      </c>
      <c r="FM56" s="58">
        <v>32.731999999999999</v>
      </c>
      <c r="FN56" s="58">
        <v>11.734999999999999</v>
      </c>
      <c r="FO56" s="58">
        <v>85.683999999999997</v>
      </c>
      <c r="FP56" s="58">
        <v>34.860999999999997</v>
      </c>
      <c r="FQ56" s="58">
        <v>50.823</v>
      </c>
      <c r="FR56" s="58">
        <v>82.629000000000005</v>
      </c>
      <c r="FS56" s="58">
        <v>35.634</v>
      </c>
      <c r="FT56" s="58">
        <v>46.994999999999997</v>
      </c>
      <c r="FU56" s="58">
        <v>1341.933</v>
      </c>
      <c r="FV56" s="58">
        <v>722.74699999999996</v>
      </c>
      <c r="FW56" s="58">
        <v>619.18600000000004</v>
      </c>
      <c r="FX56" s="58">
        <v>885.59900000000005</v>
      </c>
      <c r="FY56" s="58">
        <v>590.15</v>
      </c>
      <c r="FZ56" s="58">
        <v>295.44900000000001</v>
      </c>
      <c r="GA56" s="58">
        <v>456.334</v>
      </c>
      <c r="GB56" s="58">
        <v>132.59700000000001</v>
      </c>
      <c r="GC56" s="58">
        <v>323.73700000000002</v>
      </c>
      <c r="GD56" s="58">
        <v>218.57400000000001</v>
      </c>
      <c r="GE56" s="58">
        <v>114.875</v>
      </c>
      <c r="GF56" s="58">
        <v>103.699</v>
      </c>
      <c r="GG56" s="58">
        <v>40.118000000000002</v>
      </c>
      <c r="GH56" s="58">
        <v>22.241</v>
      </c>
      <c r="GI56" s="58">
        <v>17.876000000000001</v>
      </c>
      <c r="GJ56" s="58">
        <v>13.606999999999999</v>
      </c>
      <c r="GK56" s="58">
        <v>10.146000000000001</v>
      </c>
      <c r="GL56" s="58">
        <v>3.4609999999999999</v>
      </c>
      <c r="GM56" s="58">
        <v>8.8490000000000002</v>
      </c>
      <c r="GN56" s="58">
        <v>6.149</v>
      </c>
      <c r="GO56" s="58">
        <v>2.6989999999999998</v>
      </c>
      <c r="GP56" s="58">
        <v>4.7590000000000003</v>
      </c>
      <c r="GQ56" s="58">
        <v>3.996</v>
      </c>
      <c r="GR56" s="58">
        <v>0.76200000000000001</v>
      </c>
      <c r="GS56" s="58">
        <v>26.51</v>
      </c>
      <c r="GT56" s="58">
        <v>12.095000000000001</v>
      </c>
      <c r="GU56" s="58">
        <v>14.414999999999999</v>
      </c>
      <c r="GV56" s="58">
        <v>199.46700000000001</v>
      </c>
      <c r="GW56" s="58">
        <v>103.355</v>
      </c>
      <c r="GX56" s="58">
        <v>96.111999999999995</v>
      </c>
      <c r="GY56" s="58">
        <v>71.986999999999995</v>
      </c>
      <c r="GZ56" s="58">
        <v>54.66</v>
      </c>
      <c r="HA56" s="58">
        <v>17.327999999999999</v>
      </c>
      <c r="HB56" s="58">
        <v>127.48</v>
      </c>
      <c r="HC56" s="58">
        <v>48.695999999999998</v>
      </c>
      <c r="HD56" s="58">
        <v>78.784999999999997</v>
      </c>
      <c r="HE56" s="58">
        <v>81.965000000000003</v>
      </c>
      <c r="HF56" s="58">
        <v>62.517000000000003</v>
      </c>
      <c r="HG56" s="58">
        <v>19.449000000000002</v>
      </c>
      <c r="HH56" s="58">
        <v>136.608</v>
      </c>
      <c r="HI56" s="58">
        <v>52.357999999999997</v>
      </c>
      <c r="HJ56" s="58">
        <v>84.25</v>
      </c>
      <c r="HK56" s="58">
        <v>136.32900000000001</v>
      </c>
      <c r="HL56" s="58">
        <v>54.844999999999999</v>
      </c>
      <c r="HM56" s="58">
        <v>81.483999999999995</v>
      </c>
      <c r="HN56" s="58">
        <v>249.685</v>
      </c>
      <c r="HO56" s="58">
        <v>127.455</v>
      </c>
      <c r="HP56" s="58">
        <v>122.23</v>
      </c>
      <c r="HQ56" s="58">
        <v>157.36199999999999</v>
      </c>
      <c r="HR56" s="58">
        <v>100.79300000000001</v>
      </c>
      <c r="HS56" s="58">
        <v>56.569000000000003</v>
      </c>
      <c r="HT56" s="58">
        <v>92.322999999999993</v>
      </c>
      <c r="HU56" s="58">
        <v>26.663</v>
      </c>
      <c r="HV56" s="58">
        <v>65.66</v>
      </c>
      <c r="HW56" s="58">
        <v>39.122999999999998</v>
      </c>
      <c r="HX56" s="58">
        <v>18.943999999999999</v>
      </c>
      <c r="HY56" s="58">
        <v>20.178999999999998</v>
      </c>
      <c r="HZ56" s="58">
        <v>7.1619999999999999</v>
      </c>
      <c r="IA56" s="58">
        <v>2.9649999999999999</v>
      </c>
      <c r="IB56" s="58">
        <v>4.1980000000000004</v>
      </c>
      <c r="IC56" s="58">
        <v>1.4730000000000001</v>
      </c>
      <c r="ID56" s="58">
        <v>1.1259999999999999</v>
      </c>
      <c r="IE56" s="58">
        <v>0.34599999999999997</v>
      </c>
      <c r="IF56" s="58">
        <v>1.044</v>
      </c>
      <c r="IG56" s="58">
        <v>0.69799999999999995</v>
      </c>
      <c r="IH56" s="58">
        <v>0.34599999999999997</v>
      </c>
      <c r="II56" s="58">
        <v>0.42899999999999999</v>
      </c>
      <c r="IJ56" s="58">
        <v>0.42899999999999999</v>
      </c>
      <c r="IK56" s="58">
        <v>0</v>
      </c>
      <c r="IL56" s="58">
        <v>5.69</v>
      </c>
      <c r="IM56" s="58">
        <v>1.8380000000000001</v>
      </c>
      <c r="IN56" s="58">
        <v>3.8519999999999999</v>
      </c>
      <c r="IO56" s="58">
        <v>34.64</v>
      </c>
      <c r="IP56" s="58">
        <v>16.606000000000002</v>
      </c>
      <c r="IQ56" s="58">
        <v>18.033999999999999</v>
      </c>
    </row>
    <row r="57" spans="1:251">
      <c r="A57" s="5">
        <v>43221</v>
      </c>
      <c r="B57" s="58">
        <v>1031.3420000000001</v>
      </c>
      <c r="C57" s="58">
        <v>1239.3440000000001</v>
      </c>
      <c r="D57" s="58">
        <v>391.76799999999997</v>
      </c>
      <c r="E57" s="58">
        <v>847.57600000000002</v>
      </c>
      <c r="F57" s="58">
        <v>553.60799999999995</v>
      </c>
      <c r="G57" s="58">
        <v>288.24</v>
      </c>
      <c r="H57" s="58">
        <v>265.36799999999999</v>
      </c>
      <c r="I57" s="58">
        <v>105.081</v>
      </c>
      <c r="J57" s="58">
        <v>58.008000000000003</v>
      </c>
      <c r="K57" s="58">
        <v>47.073</v>
      </c>
      <c r="L57" s="58">
        <v>40.686999999999998</v>
      </c>
      <c r="M57" s="58">
        <v>30.776</v>
      </c>
      <c r="N57" s="58">
        <v>9.9109999999999996</v>
      </c>
      <c r="O57" s="58">
        <v>19.579000000000001</v>
      </c>
      <c r="P57" s="58">
        <v>15.124000000000001</v>
      </c>
      <c r="Q57" s="58">
        <v>4.4550000000000001</v>
      </c>
      <c r="R57" s="58">
        <v>21.108000000000001</v>
      </c>
      <c r="S57" s="58">
        <v>15.651999999999999</v>
      </c>
      <c r="T57" s="58">
        <v>5.4560000000000004</v>
      </c>
      <c r="U57" s="58">
        <v>64.394000000000005</v>
      </c>
      <c r="V57" s="58">
        <v>27.231000000000002</v>
      </c>
      <c r="W57" s="58">
        <v>37.161999999999999</v>
      </c>
      <c r="X57" s="58">
        <v>492.40699999999998</v>
      </c>
      <c r="Y57" s="58">
        <v>251.19800000000001</v>
      </c>
      <c r="Z57" s="58">
        <v>241.208</v>
      </c>
      <c r="AA57" s="58">
        <v>186.46899999999999</v>
      </c>
      <c r="AB57" s="58">
        <v>137.846</v>
      </c>
      <c r="AC57" s="58">
        <v>48.622</v>
      </c>
      <c r="AD57" s="58">
        <v>305.93799999999999</v>
      </c>
      <c r="AE57" s="58">
        <v>113.352</v>
      </c>
      <c r="AF57" s="58">
        <v>192.58600000000001</v>
      </c>
      <c r="AG57" s="58">
        <v>215.79599999999999</v>
      </c>
      <c r="AH57" s="58">
        <v>160.46</v>
      </c>
      <c r="AI57" s="58">
        <v>55.335000000000001</v>
      </c>
      <c r="AJ57" s="58">
        <v>337.81299999999999</v>
      </c>
      <c r="AK57" s="58">
        <v>127.78</v>
      </c>
      <c r="AL57" s="58">
        <v>210.03299999999999</v>
      </c>
      <c r="AM57" s="58">
        <v>325.517</v>
      </c>
      <c r="AN57" s="58">
        <v>128.476</v>
      </c>
      <c r="AO57" s="58">
        <v>197.041</v>
      </c>
      <c r="AP57" s="58">
        <v>3290.4459999999999</v>
      </c>
      <c r="AQ57" s="58">
        <v>1761.3</v>
      </c>
      <c r="AR57" s="58">
        <v>1529.1469999999999</v>
      </c>
      <c r="AS57" s="58">
        <v>2190.7289999999998</v>
      </c>
      <c r="AT57" s="58">
        <v>1406.5650000000001</v>
      </c>
      <c r="AU57" s="58">
        <v>784.16399999999999</v>
      </c>
      <c r="AV57" s="58">
        <v>1099.7180000000001</v>
      </c>
      <c r="AW57" s="58">
        <v>354.73500000000001</v>
      </c>
      <c r="AX57" s="58">
        <v>744.98199999999997</v>
      </c>
      <c r="AY57" s="58">
        <v>433.11900000000003</v>
      </c>
      <c r="AZ57" s="58">
        <v>234.678</v>
      </c>
      <c r="BA57" s="58">
        <v>198.441</v>
      </c>
      <c r="BB57" s="58">
        <v>94.554000000000002</v>
      </c>
      <c r="BC57" s="58">
        <v>51.091000000000001</v>
      </c>
      <c r="BD57" s="58">
        <v>43.463000000000001</v>
      </c>
      <c r="BE57" s="58">
        <v>35.83</v>
      </c>
      <c r="BF57" s="58">
        <v>24.981000000000002</v>
      </c>
      <c r="BG57" s="58">
        <v>10.85</v>
      </c>
      <c r="BH57" s="58">
        <v>16.850999999999999</v>
      </c>
      <c r="BI57" s="58">
        <v>11.702</v>
      </c>
      <c r="BJ57" s="58">
        <v>5.149</v>
      </c>
      <c r="BK57" s="58">
        <v>18.978999999999999</v>
      </c>
      <c r="BL57" s="58">
        <v>13.278</v>
      </c>
      <c r="BM57" s="58">
        <v>5.7009999999999996</v>
      </c>
      <c r="BN57" s="58">
        <v>58.723999999999997</v>
      </c>
      <c r="BO57" s="58">
        <v>26.111000000000001</v>
      </c>
      <c r="BP57" s="58">
        <v>32.613</v>
      </c>
      <c r="BQ57" s="58">
        <v>370.79199999999997</v>
      </c>
      <c r="BR57" s="58">
        <v>202.24600000000001</v>
      </c>
      <c r="BS57" s="58">
        <v>168.54599999999999</v>
      </c>
      <c r="BT57" s="58">
        <v>129.291</v>
      </c>
      <c r="BU57" s="58">
        <v>101.97199999999999</v>
      </c>
      <c r="BV57" s="58">
        <v>27.318000000000001</v>
      </c>
      <c r="BW57" s="58">
        <v>241.501</v>
      </c>
      <c r="BX57" s="58">
        <v>100.274</v>
      </c>
      <c r="BY57" s="58">
        <v>141.227</v>
      </c>
      <c r="BZ57" s="58">
        <v>158.995</v>
      </c>
      <c r="CA57" s="58">
        <v>121.613</v>
      </c>
      <c r="CB57" s="58">
        <v>37.381</v>
      </c>
      <c r="CC57" s="58">
        <v>274.125</v>
      </c>
      <c r="CD57" s="58">
        <v>113.065</v>
      </c>
      <c r="CE57" s="58">
        <v>161.06</v>
      </c>
      <c r="CF57" s="58">
        <v>258.35300000000001</v>
      </c>
      <c r="CG57" s="58">
        <v>111.977</v>
      </c>
      <c r="CH57" s="58">
        <v>146.376</v>
      </c>
      <c r="CI57" s="58">
        <v>2473.8919999999998</v>
      </c>
      <c r="CJ57" s="58">
        <v>1295.069</v>
      </c>
      <c r="CK57" s="58">
        <v>1178.8230000000001</v>
      </c>
      <c r="CL57" s="58">
        <v>1677.299</v>
      </c>
      <c r="CM57" s="58">
        <v>1050.7080000000001</v>
      </c>
      <c r="CN57" s="58">
        <v>626.59199999999998</v>
      </c>
      <c r="CO57" s="58">
        <v>796.59299999999996</v>
      </c>
      <c r="CP57" s="58">
        <v>244.36099999999999</v>
      </c>
      <c r="CQ57" s="58">
        <v>552.23199999999997</v>
      </c>
      <c r="CR57" s="58">
        <v>375.19400000000002</v>
      </c>
      <c r="CS57" s="58">
        <v>186.42699999999999</v>
      </c>
      <c r="CT57" s="58">
        <v>188.767</v>
      </c>
      <c r="CU57" s="58">
        <v>65.501999999999995</v>
      </c>
      <c r="CV57" s="58">
        <v>40.518999999999998</v>
      </c>
      <c r="CW57" s="58">
        <v>24.983000000000001</v>
      </c>
      <c r="CX57" s="58">
        <v>26.727</v>
      </c>
      <c r="CY57" s="58">
        <v>24.065000000000001</v>
      </c>
      <c r="CZ57" s="58">
        <v>2.6619999999999999</v>
      </c>
      <c r="DA57" s="58">
        <v>19.077000000000002</v>
      </c>
      <c r="DB57" s="58">
        <v>16.79</v>
      </c>
      <c r="DC57" s="58">
        <v>2.2869999999999999</v>
      </c>
      <c r="DD57" s="58">
        <v>7.65</v>
      </c>
      <c r="DE57" s="58">
        <v>7.2750000000000004</v>
      </c>
      <c r="DF57" s="58">
        <v>0.375</v>
      </c>
      <c r="DG57" s="58">
        <v>38.774999999999999</v>
      </c>
      <c r="DH57" s="58">
        <v>16.454000000000001</v>
      </c>
      <c r="DI57" s="58">
        <v>22.321000000000002</v>
      </c>
      <c r="DJ57" s="58">
        <v>337.89499999999998</v>
      </c>
      <c r="DK57" s="58">
        <v>162.066</v>
      </c>
      <c r="DL57" s="58">
        <v>175.82900000000001</v>
      </c>
      <c r="DM57" s="58">
        <v>103.31</v>
      </c>
      <c r="DN57" s="58">
        <v>77.792000000000002</v>
      </c>
      <c r="DO57" s="58">
        <v>25.518000000000001</v>
      </c>
      <c r="DP57" s="58">
        <v>234.58500000000001</v>
      </c>
      <c r="DQ57" s="58">
        <v>84.274000000000001</v>
      </c>
      <c r="DR57" s="58">
        <v>150.31100000000001</v>
      </c>
      <c r="DS57" s="58">
        <v>122.39400000000001</v>
      </c>
      <c r="DT57" s="58">
        <v>95.042000000000002</v>
      </c>
      <c r="DU57" s="58">
        <v>27.352</v>
      </c>
      <c r="DV57" s="58">
        <v>252.8</v>
      </c>
      <c r="DW57" s="58">
        <v>91.385000000000005</v>
      </c>
      <c r="DX57" s="58">
        <v>161.41499999999999</v>
      </c>
      <c r="DY57" s="58">
        <v>253.66200000000001</v>
      </c>
      <c r="DZ57" s="58">
        <v>101.06399999999999</v>
      </c>
      <c r="EA57" s="58">
        <v>152.59800000000001</v>
      </c>
      <c r="EB57" s="58">
        <v>846.44299999999998</v>
      </c>
      <c r="EC57" s="58">
        <v>443.14299999999997</v>
      </c>
      <c r="ED57" s="58">
        <v>403.3</v>
      </c>
      <c r="EE57" s="58">
        <v>544.40099999999995</v>
      </c>
      <c r="EF57" s="58">
        <v>351.73200000000003</v>
      </c>
      <c r="EG57" s="58">
        <v>192.66900000000001</v>
      </c>
      <c r="EH57" s="58">
        <v>302.04199999999997</v>
      </c>
      <c r="EI57" s="58">
        <v>91.411000000000001</v>
      </c>
      <c r="EJ57" s="58">
        <v>210.631</v>
      </c>
      <c r="EK57" s="58">
        <v>137.25399999999999</v>
      </c>
      <c r="EL57" s="58">
        <v>67.096999999999994</v>
      </c>
      <c r="EM57" s="58">
        <v>70.156000000000006</v>
      </c>
      <c r="EN57" s="58">
        <v>26.794</v>
      </c>
      <c r="EO57" s="58">
        <v>13.016999999999999</v>
      </c>
      <c r="EP57" s="58">
        <v>13.776999999999999</v>
      </c>
      <c r="EQ57" s="58">
        <v>6.9580000000000002</v>
      </c>
      <c r="ER57" s="58">
        <v>4.6769999999999996</v>
      </c>
      <c r="ES57" s="58">
        <v>2.2810000000000001</v>
      </c>
      <c r="ET57" s="58">
        <v>3.665</v>
      </c>
      <c r="EU57" s="58">
        <v>2.1179999999999999</v>
      </c>
      <c r="EV57" s="58">
        <v>1.5469999999999999</v>
      </c>
      <c r="EW57" s="58">
        <v>3.2930000000000001</v>
      </c>
      <c r="EX57" s="58">
        <v>2.5590000000000002</v>
      </c>
      <c r="EY57" s="58">
        <v>0.73399999999999999</v>
      </c>
      <c r="EZ57" s="58">
        <v>19.835999999999999</v>
      </c>
      <c r="FA57" s="58">
        <v>8.34</v>
      </c>
      <c r="FB57" s="58">
        <v>11.496</v>
      </c>
      <c r="FC57" s="58">
        <v>122.398</v>
      </c>
      <c r="FD57" s="58">
        <v>59.295999999999999</v>
      </c>
      <c r="FE57" s="58">
        <v>63.101999999999997</v>
      </c>
      <c r="FF57" s="58">
        <v>37.091999999999999</v>
      </c>
      <c r="FG57" s="58">
        <v>26.606999999999999</v>
      </c>
      <c r="FH57" s="58">
        <v>10.484999999999999</v>
      </c>
      <c r="FI57" s="58">
        <v>85.305999999999997</v>
      </c>
      <c r="FJ57" s="58">
        <v>32.689</v>
      </c>
      <c r="FK57" s="58">
        <v>52.616999999999997</v>
      </c>
      <c r="FL57" s="58">
        <v>42.856000000000002</v>
      </c>
      <c r="FM57" s="58">
        <v>30.606000000000002</v>
      </c>
      <c r="FN57" s="58">
        <v>12.25</v>
      </c>
      <c r="FO57" s="58">
        <v>94.397999999999996</v>
      </c>
      <c r="FP57" s="58">
        <v>36.491</v>
      </c>
      <c r="FQ57" s="58">
        <v>57.905999999999999</v>
      </c>
      <c r="FR57" s="58">
        <v>88.971999999999994</v>
      </c>
      <c r="FS57" s="58">
        <v>34.807000000000002</v>
      </c>
      <c r="FT57" s="58">
        <v>54.164999999999999</v>
      </c>
      <c r="FU57" s="58">
        <v>1348.7629999999999</v>
      </c>
      <c r="FV57" s="58">
        <v>728.82799999999997</v>
      </c>
      <c r="FW57" s="58">
        <v>619.93499999999995</v>
      </c>
      <c r="FX57" s="58">
        <v>907.63</v>
      </c>
      <c r="FY57" s="58">
        <v>600.13199999999995</v>
      </c>
      <c r="FZ57" s="58">
        <v>307.49799999999999</v>
      </c>
      <c r="GA57" s="58">
        <v>441.13299999999998</v>
      </c>
      <c r="GB57" s="58">
        <v>128.696</v>
      </c>
      <c r="GC57" s="58">
        <v>312.43700000000001</v>
      </c>
      <c r="GD57" s="58">
        <v>212.37</v>
      </c>
      <c r="GE57" s="58">
        <v>112.375</v>
      </c>
      <c r="GF57" s="58">
        <v>99.995000000000005</v>
      </c>
      <c r="GG57" s="58">
        <v>41.945</v>
      </c>
      <c r="GH57" s="58">
        <v>27.245000000000001</v>
      </c>
      <c r="GI57" s="58">
        <v>14.7</v>
      </c>
      <c r="GJ57" s="58">
        <v>16.725999999999999</v>
      </c>
      <c r="GK57" s="58">
        <v>14.882</v>
      </c>
      <c r="GL57" s="58">
        <v>1.845</v>
      </c>
      <c r="GM57" s="58">
        <v>9.9039999999999999</v>
      </c>
      <c r="GN57" s="58">
        <v>8.7759999999999998</v>
      </c>
      <c r="GO57" s="58">
        <v>1.1279999999999999</v>
      </c>
      <c r="GP57" s="58">
        <v>6.8220000000000001</v>
      </c>
      <c r="GQ57" s="58">
        <v>6.1050000000000004</v>
      </c>
      <c r="GR57" s="58">
        <v>0.71699999999999997</v>
      </c>
      <c r="GS57" s="58">
        <v>25.219000000000001</v>
      </c>
      <c r="GT57" s="58">
        <v>12.363</v>
      </c>
      <c r="GU57" s="58">
        <v>12.856</v>
      </c>
      <c r="GV57" s="58">
        <v>190.715</v>
      </c>
      <c r="GW57" s="58">
        <v>97.975999999999999</v>
      </c>
      <c r="GX57" s="58">
        <v>92.738</v>
      </c>
      <c r="GY57" s="58">
        <v>67.885000000000005</v>
      </c>
      <c r="GZ57" s="58">
        <v>51.893000000000001</v>
      </c>
      <c r="HA57" s="58">
        <v>15.992000000000001</v>
      </c>
      <c r="HB57" s="58">
        <v>122.82899999999999</v>
      </c>
      <c r="HC57" s="58">
        <v>46.082999999999998</v>
      </c>
      <c r="HD57" s="58">
        <v>76.745999999999995</v>
      </c>
      <c r="HE57" s="58">
        <v>80.468999999999994</v>
      </c>
      <c r="HF57" s="58">
        <v>62.631999999999998</v>
      </c>
      <c r="HG57" s="58">
        <v>17.837</v>
      </c>
      <c r="HH57" s="58">
        <v>131.90100000000001</v>
      </c>
      <c r="HI57" s="58">
        <v>49.743000000000002</v>
      </c>
      <c r="HJ57" s="58">
        <v>82.158000000000001</v>
      </c>
      <c r="HK57" s="58">
        <v>132.733</v>
      </c>
      <c r="HL57" s="58">
        <v>54.86</v>
      </c>
      <c r="HM57" s="58">
        <v>77.873999999999995</v>
      </c>
      <c r="HN57" s="58">
        <v>249.86799999999999</v>
      </c>
      <c r="HO57" s="58">
        <v>129.80500000000001</v>
      </c>
      <c r="HP57" s="58">
        <v>120.063</v>
      </c>
      <c r="HQ57" s="58">
        <v>160.95099999999999</v>
      </c>
      <c r="HR57" s="58">
        <v>103.267</v>
      </c>
      <c r="HS57" s="58">
        <v>57.685000000000002</v>
      </c>
      <c r="HT57" s="58">
        <v>88.917000000000002</v>
      </c>
      <c r="HU57" s="58">
        <v>26.538</v>
      </c>
      <c r="HV57" s="58">
        <v>62.378999999999998</v>
      </c>
      <c r="HW57" s="58">
        <v>39.44</v>
      </c>
      <c r="HX57" s="58">
        <v>19.097999999999999</v>
      </c>
      <c r="HY57" s="58">
        <v>20.343</v>
      </c>
      <c r="HZ57" s="58">
        <v>9.7309999999999999</v>
      </c>
      <c r="IA57" s="58">
        <v>5.0540000000000003</v>
      </c>
      <c r="IB57" s="58">
        <v>4.6769999999999996</v>
      </c>
      <c r="IC57" s="58">
        <v>2.8759999999999999</v>
      </c>
      <c r="ID57" s="58">
        <v>2.2589999999999999</v>
      </c>
      <c r="IE57" s="58">
        <v>0.61799999999999999</v>
      </c>
      <c r="IF57" s="58">
        <v>1.841</v>
      </c>
      <c r="IG57" s="58">
        <v>1.552</v>
      </c>
      <c r="IH57" s="58">
        <v>0.28899999999999998</v>
      </c>
      <c r="II57" s="58">
        <v>1.0349999999999999</v>
      </c>
      <c r="IJ57" s="58">
        <v>0.70699999999999996</v>
      </c>
      <c r="IK57" s="58">
        <v>0.32800000000000001</v>
      </c>
      <c r="IL57" s="58">
        <v>6.8550000000000004</v>
      </c>
      <c r="IM57" s="58">
        <v>2.7959999999999998</v>
      </c>
      <c r="IN57" s="58">
        <v>4.0599999999999996</v>
      </c>
      <c r="IO57" s="58">
        <v>34.002000000000002</v>
      </c>
      <c r="IP57" s="58">
        <v>16.306000000000001</v>
      </c>
      <c r="IQ57" s="58">
        <v>17.696000000000002</v>
      </c>
    </row>
    <row r="58" spans="1:251">
      <c r="A58" s="5">
        <v>43252</v>
      </c>
      <c r="B58" s="58">
        <v>1037.077</v>
      </c>
      <c r="C58" s="58">
        <v>1260.08</v>
      </c>
      <c r="D58" s="58">
        <v>401.64299999999997</v>
      </c>
      <c r="E58" s="58">
        <v>858.43600000000004</v>
      </c>
      <c r="F58" s="58">
        <v>577.01599999999996</v>
      </c>
      <c r="G58" s="58">
        <v>301.57100000000003</v>
      </c>
      <c r="H58" s="58">
        <v>275.44499999999999</v>
      </c>
      <c r="I58" s="58">
        <v>97.771000000000001</v>
      </c>
      <c r="J58" s="58">
        <v>54.695</v>
      </c>
      <c r="K58" s="58">
        <v>43.076000000000001</v>
      </c>
      <c r="L58" s="58">
        <v>28.472000000000001</v>
      </c>
      <c r="M58" s="58">
        <v>23.257999999999999</v>
      </c>
      <c r="N58" s="58">
        <v>5.2140000000000004</v>
      </c>
      <c r="O58" s="58">
        <v>21.23</v>
      </c>
      <c r="P58" s="58">
        <v>16.431000000000001</v>
      </c>
      <c r="Q58" s="58">
        <v>4.8</v>
      </c>
      <c r="R58" s="58">
        <v>7.2409999999999997</v>
      </c>
      <c r="S58" s="58">
        <v>6.827</v>
      </c>
      <c r="T58" s="58">
        <v>0.41399999999999998</v>
      </c>
      <c r="U58" s="58">
        <v>69.3</v>
      </c>
      <c r="V58" s="58">
        <v>31.437999999999999</v>
      </c>
      <c r="W58" s="58">
        <v>37.862000000000002</v>
      </c>
      <c r="X58" s="58">
        <v>527.92100000000005</v>
      </c>
      <c r="Y58" s="58">
        <v>274.80599999999998</v>
      </c>
      <c r="Z58" s="58">
        <v>253.11500000000001</v>
      </c>
      <c r="AA58" s="58">
        <v>198.54900000000001</v>
      </c>
      <c r="AB58" s="58">
        <v>150.71600000000001</v>
      </c>
      <c r="AC58" s="58">
        <v>47.832999999999998</v>
      </c>
      <c r="AD58" s="58">
        <v>329.37200000000001</v>
      </c>
      <c r="AE58" s="58">
        <v>124.09</v>
      </c>
      <c r="AF58" s="58">
        <v>205.28200000000001</v>
      </c>
      <c r="AG58" s="58">
        <v>216.57</v>
      </c>
      <c r="AH58" s="58">
        <v>165.39400000000001</v>
      </c>
      <c r="AI58" s="58">
        <v>51.176000000000002</v>
      </c>
      <c r="AJ58" s="58">
        <v>360.44600000000003</v>
      </c>
      <c r="AK58" s="58">
        <v>136.17699999999999</v>
      </c>
      <c r="AL58" s="58">
        <v>224.26900000000001</v>
      </c>
      <c r="AM58" s="58">
        <v>350.60199999999998</v>
      </c>
      <c r="AN58" s="58">
        <v>140.52099999999999</v>
      </c>
      <c r="AO58" s="58">
        <v>210.08199999999999</v>
      </c>
      <c r="AP58" s="58">
        <v>3278.587</v>
      </c>
      <c r="AQ58" s="58">
        <v>1748.5419999999999</v>
      </c>
      <c r="AR58" s="58">
        <v>1530.0450000000001</v>
      </c>
      <c r="AS58" s="58">
        <v>2209.8780000000002</v>
      </c>
      <c r="AT58" s="58">
        <v>1423.5160000000001</v>
      </c>
      <c r="AU58" s="58">
        <v>786.36300000000006</v>
      </c>
      <c r="AV58" s="58">
        <v>1068.7090000000001</v>
      </c>
      <c r="AW58" s="58">
        <v>325.02600000000001</v>
      </c>
      <c r="AX58" s="58">
        <v>743.68299999999999</v>
      </c>
      <c r="AY58" s="58">
        <v>458.983</v>
      </c>
      <c r="AZ58" s="58">
        <v>248.91499999999999</v>
      </c>
      <c r="BA58" s="58">
        <v>210.06700000000001</v>
      </c>
      <c r="BB58" s="58">
        <v>76.343999999999994</v>
      </c>
      <c r="BC58" s="58">
        <v>41.286000000000001</v>
      </c>
      <c r="BD58" s="58">
        <v>35.058</v>
      </c>
      <c r="BE58" s="58">
        <v>27.094000000000001</v>
      </c>
      <c r="BF58" s="58">
        <v>19.538</v>
      </c>
      <c r="BG58" s="58">
        <v>7.5549999999999997</v>
      </c>
      <c r="BH58" s="58">
        <v>13.102</v>
      </c>
      <c r="BI58" s="58">
        <v>8.3759999999999994</v>
      </c>
      <c r="BJ58" s="58">
        <v>4.726</v>
      </c>
      <c r="BK58" s="58">
        <v>13.991</v>
      </c>
      <c r="BL58" s="58">
        <v>11.162000000000001</v>
      </c>
      <c r="BM58" s="58">
        <v>2.83</v>
      </c>
      <c r="BN58" s="58">
        <v>49.25</v>
      </c>
      <c r="BO58" s="58">
        <v>21.748000000000001</v>
      </c>
      <c r="BP58" s="58">
        <v>27.501999999999999</v>
      </c>
      <c r="BQ58" s="58">
        <v>413.90699999999998</v>
      </c>
      <c r="BR58" s="58">
        <v>223.869</v>
      </c>
      <c r="BS58" s="58">
        <v>190.03800000000001</v>
      </c>
      <c r="BT58" s="58">
        <v>147.28800000000001</v>
      </c>
      <c r="BU58" s="58">
        <v>113.87</v>
      </c>
      <c r="BV58" s="58">
        <v>33.417999999999999</v>
      </c>
      <c r="BW58" s="58">
        <v>266.62</v>
      </c>
      <c r="BX58" s="58">
        <v>110</v>
      </c>
      <c r="BY58" s="58">
        <v>156.62</v>
      </c>
      <c r="BZ58" s="58">
        <v>168.376</v>
      </c>
      <c r="CA58" s="58">
        <v>129.14599999999999</v>
      </c>
      <c r="CB58" s="58">
        <v>39.228999999999999</v>
      </c>
      <c r="CC58" s="58">
        <v>290.60700000000003</v>
      </c>
      <c r="CD58" s="58">
        <v>119.76900000000001</v>
      </c>
      <c r="CE58" s="58">
        <v>170.83799999999999</v>
      </c>
      <c r="CF58" s="58">
        <v>279.72199999999998</v>
      </c>
      <c r="CG58" s="58">
        <v>118.376</v>
      </c>
      <c r="CH58" s="58">
        <v>161.345</v>
      </c>
      <c r="CI58" s="58">
        <v>2485.5</v>
      </c>
      <c r="CJ58" s="58">
        <v>1299.374</v>
      </c>
      <c r="CK58" s="58">
        <v>1186.126</v>
      </c>
      <c r="CL58" s="58">
        <v>1687.453</v>
      </c>
      <c r="CM58" s="58">
        <v>1048.7080000000001</v>
      </c>
      <c r="CN58" s="58">
        <v>638.745</v>
      </c>
      <c r="CO58" s="58">
        <v>798.048</v>
      </c>
      <c r="CP58" s="58">
        <v>250.667</v>
      </c>
      <c r="CQ58" s="58">
        <v>547.38099999999997</v>
      </c>
      <c r="CR58" s="58">
        <v>375.52499999999998</v>
      </c>
      <c r="CS58" s="58">
        <v>188.04</v>
      </c>
      <c r="CT58" s="58">
        <v>187.48599999999999</v>
      </c>
      <c r="CU58" s="58">
        <v>76.158000000000001</v>
      </c>
      <c r="CV58" s="58">
        <v>42.079000000000001</v>
      </c>
      <c r="CW58" s="58">
        <v>34.079000000000001</v>
      </c>
      <c r="CX58" s="58">
        <v>30.433</v>
      </c>
      <c r="CY58" s="58">
        <v>23.498999999999999</v>
      </c>
      <c r="CZ58" s="58">
        <v>6.9340000000000002</v>
      </c>
      <c r="DA58" s="58">
        <v>15.739000000000001</v>
      </c>
      <c r="DB58" s="58">
        <v>11.151999999999999</v>
      </c>
      <c r="DC58" s="58">
        <v>4.5869999999999997</v>
      </c>
      <c r="DD58" s="58">
        <v>14.694000000000001</v>
      </c>
      <c r="DE58" s="58">
        <v>12.347</v>
      </c>
      <c r="DF58" s="58">
        <v>2.347</v>
      </c>
      <c r="DG58" s="58">
        <v>45.725000000000001</v>
      </c>
      <c r="DH58" s="58">
        <v>18.579999999999998</v>
      </c>
      <c r="DI58" s="58">
        <v>27.143999999999998</v>
      </c>
      <c r="DJ58" s="58">
        <v>329.3</v>
      </c>
      <c r="DK58" s="58">
        <v>160.74299999999999</v>
      </c>
      <c r="DL58" s="58">
        <v>168.55699999999999</v>
      </c>
      <c r="DM58" s="58">
        <v>107.59099999999999</v>
      </c>
      <c r="DN58" s="58">
        <v>79.400000000000006</v>
      </c>
      <c r="DO58" s="58">
        <v>28.190999999999999</v>
      </c>
      <c r="DP58" s="58">
        <v>221.709</v>
      </c>
      <c r="DQ58" s="58">
        <v>81.343000000000004</v>
      </c>
      <c r="DR58" s="58">
        <v>140.36600000000001</v>
      </c>
      <c r="DS58" s="58">
        <v>131.54300000000001</v>
      </c>
      <c r="DT58" s="58">
        <v>97.813999999999993</v>
      </c>
      <c r="DU58" s="58">
        <v>33.728999999999999</v>
      </c>
      <c r="DV58" s="58">
        <v>243.982</v>
      </c>
      <c r="DW58" s="58">
        <v>90.225999999999999</v>
      </c>
      <c r="DX58" s="58">
        <v>153.756</v>
      </c>
      <c r="DY58" s="58">
        <v>237.44800000000001</v>
      </c>
      <c r="DZ58" s="58">
        <v>92.495000000000005</v>
      </c>
      <c r="EA58" s="58">
        <v>144.953</v>
      </c>
      <c r="EB58" s="58">
        <v>848.22400000000005</v>
      </c>
      <c r="EC58" s="58">
        <v>445.791</v>
      </c>
      <c r="ED58" s="58">
        <v>402.43299999999999</v>
      </c>
      <c r="EE58" s="58">
        <v>545.27</v>
      </c>
      <c r="EF58" s="58">
        <v>354.40300000000002</v>
      </c>
      <c r="EG58" s="58">
        <v>190.86699999999999</v>
      </c>
      <c r="EH58" s="58">
        <v>302.95400000000001</v>
      </c>
      <c r="EI58" s="58">
        <v>91.388000000000005</v>
      </c>
      <c r="EJ58" s="58">
        <v>211.566</v>
      </c>
      <c r="EK58" s="58">
        <v>132.85</v>
      </c>
      <c r="EL58" s="58">
        <v>67.194999999999993</v>
      </c>
      <c r="EM58" s="58">
        <v>65.655000000000001</v>
      </c>
      <c r="EN58" s="58">
        <v>23.292999999999999</v>
      </c>
      <c r="EO58" s="58">
        <v>11.715</v>
      </c>
      <c r="EP58" s="58">
        <v>11.577999999999999</v>
      </c>
      <c r="EQ58" s="58">
        <v>8.1539999999999999</v>
      </c>
      <c r="ER58" s="58">
        <v>6.6580000000000004</v>
      </c>
      <c r="ES58" s="58">
        <v>1.496</v>
      </c>
      <c r="ET58" s="58">
        <v>4.3520000000000003</v>
      </c>
      <c r="EU58" s="58">
        <v>3.6429999999999998</v>
      </c>
      <c r="EV58" s="58">
        <v>0.70899999999999996</v>
      </c>
      <c r="EW58" s="58">
        <v>3.802</v>
      </c>
      <c r="EX58" s="58">
        <v>3.0150000000000001</v>
      </c>
      <c r="EY58" s="58">
        <v>0.78700000000000003</v>
      </c>
      <c r="EZ58" s="58">
        <v>15.138999999999999</v>
      </c>
      <c r="FA58" s="58">
        <v>5.0570000000000004</v>
      </c>
      <c r="FB58" s="58">
        <v>10.082000000000001</v>
      </c>
      <c r="FC58" s="58">
        <v>119.575</v>
      </c>
      <c r="FD58" s="58">
        <v>59.497999999999998</v>
      </c>
      <c r="FE58" s="58">
        <v>60.078000000000003</v>
      </c>
      <c r="FF58" s="58">
        <v>36.853000000000002</v>
      </c>
      <c r="FG58" s="58">
        <v>28.484000000000002</v>
      </c>
      <c r="FH58" s="58">
        <v>8.3689999999999998</v>
      </c>
      <c r="FI58" s="58">
        <v>82.721999999999994</v>
      </c>
      <c r="FJ58" s="58">
        <v>31.013000000000002</v>
      </c>
      <c r="FK58" s="58">
        <v>51.709000000000003</v>
      </c>
      <c r="FL58" s="58">
        <v>43.972999999999999</v>
      </c>
      <c r="FM58" s="58">
        <v>34.107999999999997</v>
      </c>
      <c r="FN58" s="58">
        <v>9.8650000000000002</v>
      </c>
      <c r="FO58" s="58">
        <v>88.876999999999995</v>
      </c>
      <c r="FP58" s="58">
        <v>33.087000000000003</v>
      </c>
      <c r="FQ58" s="58">
        <v>55.79</v>
      </c>
      <c r="FR58" s="58">
        <v>87.073999999999998</v>
      </c>
      <c r="FS58" s="58">
        <v>34.655999999999999</v>
      </c>
      <c r="FT58" s="58">
        <v>52.417999999999999</v>
      </c>
      <c r="FU58" s="58">
        <v>1344.4169999999999</v>
      </c>
      <c r="FV58" s="58">
        <v>721.58600000000001</v>
      </c>
      <c r="FW58" s="58">
        <v>622.83000000000004</v>
      </c>
      <c r="FX58" s="58">
        <v>898.41200000000003</v>
      </c>
      <c r="FY58" s="58">
        <v>589.60299999999995</v>
      </c>
      <c r="FZ58" s="58">
        <v>308.80799999999999</v>
      </c>
      <c r="GA58" s="58">
        <v>446.005</v>
      </c>
      <c r="GB58" s="58">
        <v>131.983</v>
      </c>
      <c r="GC58" s="58">
        <v>314.02199999999999</v>
      </c>
      <c r="GD58" s="58">
        <v>208.523</v>
      </c>
      <c r="GE58" s="58">
        <v>107.43</v>
      </c>
      <c r="GF58" s="58">
        <v>101.093</v>
      </c>
      <c r="GG58" s="58">
        <v>36.637</v>
      </c>
      <c r="GH58" s="58">
        <v>23.395</v>
      </c>
      <c r="GI58" s="58">
        <v>13.242000000000001</v>
      </c>
      <c r="GJ58" s="58">
        <v>12.179</v>
      </c>
      <c r="GK58" s="58">
        <v>10.086</v>
      </c>
      <c r="GL58" s="58">
        <v>2.093</v>
      </c>
      <c r="GM58" s="58">
        <v>7.8109999999999999</v>
      </c>
      <c r="GN58" s="58">
        <v>6.1189999999999998</v>
      </c>
      <c r="GO58" s="58">
        <v>1.6910000000000001</v>
      </c>
      <c r="GP58" s="58">
        <v>4.3680000000000003</v>
      </c>
      <c r="GQ58" s="58">
        <v>3.9670000000000001</v>
      </c>
      <c r="GR58" s="58">
        <v>0.40200000000000002</v>
      </c>
      <c r="GS58" s="58">
        <v>24.457999999999998</v>
      </c>
      <c r="GT58" s="58">
        <v>13.308999999999999</v>
      </c>
      <c r="GU58" s="58">
        <v>11.148999999999999</v>
      </c>
      <c r="GV58" s="58">
        <v>194.16900000000001</v>
      </c>
      <c r="GW58" s="58">
        <v>96.748999999999995</v>
      </c>
      <c r="GX58" s="58">
        <v>97.42</v>
      </c>
      <c r="GY58" s="58">
        <v>64.716999999999999</v>
      </c>
      <c r="GZ58" s="58">
        <v>46.029000000000003</v>
      </c>
      <c r="HA58" s="58">
        <v>18.687000000000001</v>
      </c>
      <c r="HB58" s="58">
        <v>129.452</v>
      </c>
      <c r="HC58" s="58">
        <v>50.719000000000001</v>
      </c>
      <c r="HD58" s="58">
        <v>78.733000000000004</v>
      </c>
      <c r="HE58" s="58">
        <v>73.373999999999995</v>
      </c>
      <c r="HF58" s="58">
        <v>53.374000000000002</v>
      </c>
      <c r="HG58" s="58">
        <v>20</v>
      </c>
      <c r="HH58" s="58">
        <v>135.149</v>
      </c>
      <c r="HI58" s="58">
        <v>54.057000000000002</v>
      </c>
      <c r="HJ58" s="58">
        <v>81.093000000000004</v>
      </c>
      <c r="HK58" s="58">
        <v>137.26300000000001</v>
      </c>
      <c r="HL58" s="58">
        <v>56.838999999999999</v>
      </c>
      <c r="HM58" s="58">
        <v>80.424000000000007</v>
      </c>
      <c r="HN58" s="58">
        <v>250.71700000000001</v>
      </c>
      <c r="HO58" s="58">
        <v>129.345</v>
      </c>
      <c r="HP58" s="58">
        <v>121.373</v>
      </c>
      <c r="HQ58" s="58">
        <v>157.74100000000001</v>
      </c>
      <c r="HR58" s="58">
        <v>101.92</v>
      </c>
      <c r="HS58" s="58">
        <v>55.820999999999998</v>
      </c>
      <c r="HT58" s="58">
        <v>92.975999999999999</v>
      </c>
      <c r="HU58" s="58">
        <v>27.425000000000001</v>
      </c>
      <c r="HV58" s="58">
        <v>65.551000000000002</v>
      </c>
      <c r="HW58" s="58">
        <v>39.485999999999997</v>
      </c>
      <c r="HX58" s="58">
        <v>18.532</v>
      </c>
      <c r="HY58" s="58">
        <v>20.954999999999998</v>
      </c>
      <c r="HZ58" s="58">
        <v>8.8580000000000005</v>
      </c>
      <c r="IA58" s="58">
        <v>5.3819999999999997</v>
      </c>
      <c r="IB58" s="58">
        <v>3.476</v>
      </c>
      <c r="IC58" s="58">
        <v>3.0840000000000001</v>
      </c>
      <c r="ID58" s="58">
        <v>2.5110000000000001</v>
      </c>
      <c r="IE58" s="58">
        <v>0.57299999999999995</v>
      </c>
      <c r="IF58" s="58">
        <v>1.25</v>
      </c>
      <c r="IG58" s="58">
        <v>0.878</v>
      </c>
      <c r="IH58" s="58">
        <v>0.372</v>
      </c>
      <c r="II58" s="58">
        <v>1.8340000000000001</v>
      </c>
      <c r="IJ58" s="58">
        <v>1.633</v>
      </c>
      <c r="IK58" s="58">
        <v>0.20100000000000001</v>
      </c>
      <c r="IL58" s="58">
        <v>5.774</v>
      </c>
      <c r="IM58" s="58">
        <v>2.871</v>
      </c>
      <c r="IN58" s="58">
        <v>2.903</v>
      </c>
      <c r="IO58" s="58">
        <v>34.726999999999997</v>
      </c>
      <c r="IP58" s="58">
        <v>15.282</v>
      </c>
      <c r="IQ58" s="58">
        <v>19.445</v>
      </c>
    </row>
    <row r="59" spans="1:251">
      <c r="A59" s="5">
        <v>43282</v>
      </c>
      <c r="B59" s="58">
        <v>1057.674</v>
      </c>
      <c r="C59" s="58">
        <v>1195.0340000000001</v>
      </c>
      <c r="D59" s="58">
        <v>383.084</v>
      </c>
      <c r="E59" s="58">
        <v>811.95</v>
      </c>
      <c r="F59" s="58">
        <v>578.11599999999999</v>
      </c>
      <c r="G59" s="58">
        <v>300.23599999999999</v>
      </c>
      <c r="H59" s="58">
        <v>277.88</v>
      </c>
      <c r="I59" s="58">
        <v>94.811999999999998</v>
      </c>
      <c r="J59" s="58">
        <v>51.994</v>
      </c>
      <c r="K59" s="58">
        <v>42.817999999999998</v>
      </c>
      <c r="L59" s="58">
        <v>40.005000000000003</v>
      </c>
      <c r="M59" s="58">
        <v>31.678000000000001</v>
      </c>
      <c r="N59" s="58">
        <v>8.327</v>
      </c>
      <c r="O59" s="58">
        <v>24.812999999999999</v>
      </c>
      <c r="P59" s="58">
        <v>19.501999999999999</v>
      </c>
      <c r="Q59" s="58">
        <v>5.31</v>
      </c>
      <c r="R59" s="58">
        <v>15.192</v>
      </c>
      <c r="S59" s="58">
        <v>12.176</v>
      </c>
      <c r="T59" s="58">
        <v>3.016</v>
      </c>
      <c r="U59" s="58">
        <v>54.807000000000002</v>
      </c>
      <c r="V59" s="58">
        <v>20.315000000000001</v>
      </c>
      <c r="W59" s="58">
        <v>34.491</v>
      </c>
      <c r="X59" s="58">
        <v>522.59799999999996</v>
      </c>
      <c r="Y59" s="58">
        <v>270.83</v>
      </c>
      <c r="Z59" s="58">
        <v>251.768</v>
      </c>
      <c r="AA59" s="58">
        <v>212.10599999999999</v>
      </c>
      <c r="AB59" s="58">
        <v>154.46600000000001</v>
      </c>
      <c r="AC59" s="58">
        <v>57.64</v>
      </c>
      <c r="AD59" s="58">
        <v>310.49099999999999</v>
      </c>
      <c r="AE59" s="58">
        <v>116.364</v>
      </c>
      <c r="AF59" s="58">
        <v>194.12799999999999</v>
      </c>
      <c r="AG59" s="58">
        <v>239.48699999999999</v>
      </c>
      <c r="AH59" s="58">
        <v>174.78</v>
      </c>
      <c r="AI59" s="58">
        <v>64.706999999999994</v>
      </c>
      <c r="AJ59" s="58">
        <v>338.62900000000002</v>
      </c>
      <c r="AK59" s="58">
        <v>125.456</v>
      </c>
      <c r="AL59" s="58">
        <v>213.173</v>
      </c>
      <c r="AM59" s="58">
        <v>335.30399999999997</v>
      </c>
      <c r="AN59" s="58">
        <v>135.86600000000001</v>
      </c>
      <c r="AO59" s="58">
        <v>199.43799999999999</v>
      </c>
      <c r="AP59" s="58">
        <v>3298.2730000000001</v>
      </c>
      <c r="AQ59" s="58">
        <v>1768.5029999999999</v>
      </c>
      <c r="AR59" s="58">
        <v>1529.77</v>
      </c>
      <c r="AS59" s="58">
        <v>2214.66</v>
      </c>
      <c r="AT59" s="58">
        <v>1438.377</v>
      </c>
      <c r="AU59" s="58">
        <v>776.28300000000002</v>
      </c>
      <c r="AV59" s="58">
        <v>1083.6130000000001</v>
      </c>
      <c r="AW59" s="58">
        <v>330.12599999999998</v>
      </c>
      <c r="AX59" s="58">
        <v>753.48599999999999</v>
      </c>
      <c r="AY59" s="58">
        <v>481.79199999999997</v>
      </c>
      <c r="AZ59" s="58">
        <v>262.91300000000001</v>
      </c>
      <c r="BA59" s="58">
        <v>218.87899999999999</v>
      </c>
      <c r="BB59" s="58">
        <v>97.477000000000004</v>
      </c>
      <c r="BC59" s="58">
        <v>49.962000000000003</v>
      </c>
      <c r="BD59" s="58">
        <v>47.515000000000001</v>
      </c>
      <c r="BE59" s="58">
        <v>34.911999999999999</v>
      </c>
      <c r="BF59" s="58">
        <v>24.382000000000001</v>
      </c>
      <c r="BG59" s="58">
        <v>10.53</v>
      </c>
      <c r="BH59" s="58">
        <v>18.489999999999998</v>
      </c>
      <c r="BI59" s="58">
        <v>11.851000000000001</v>
      </c>
      <c r="BJ59" s="58">
        <v>6.6390000000000002</v>
      </c>
      <c r="BK59" s="58">
        <v>16.422000000000001</v>
      </c>
      <c r="BL59" s="58">
        <v>12.531000000000001</v>
      </c>
      <c r="BM59" s="58">
        <v>3.891</v>
      </c>
      <c r="BN59" s="58">
        <v>62.564999999999998</v>
      </c>
      <c r="BO59" s="58">
        <v>25.58</v>
      </c>
      <c r="BP59" s="58">
        <v>36.984999999999999</v>
      </c>
      <c r="BQ59" s="58">
        <v>427.78899999999999</v>
      </c>
      <c r="BR59" s="58">
        <v>234.083</v>
      </c>
      <c r="BS59" s="58">
        <v>193.70599999999999</v>
      </c>
      <c r="BT59" s="58">
        <v>163.47</v>
      </c>
      <c r="BU59" s="58">
        <v>125.90600000000001</v>
      </c>
      <c r="BV59" s="58">
        <v>37.564</v>
      </c>
      <c r="BW59" s="58">
        <v>264.32</v>
      </c>
      <c r="BX59" s="58">
        <v>108.17700000000001</v>
      </c>
      <c r="BY59" s="58">
        <v>156.143</v>
      </c>
      <c r="BZ59" s="58">
        <v>189.89400000000001</v>
      </c>
      <c r="CA59" s="58">
        <v>144.13499999999999</v>
      </c>
      <c r="CB59" s="58">
        <v>45.759</v>
      </c>
      <c r="CC59" s="58">
        <v>291.89800000000002</v>
      </c>
      <c r="CD59" s="58">
        <v>118.77800000000001</v>
      </c>
      <c r="CE59" s="58">
        <v>173.12</v>
      </c>
      <c r="CF59" s="58">
        <v>282.80900000000003</v>
      </c>
      <c r="CG59" s="58">
        <v>120.02800000000001</v>
      </c>
      <c r="CH59" s="58">
        <v>162.78200000000001</v>
      </c>
      <c r="CI59" s="58">
        <v>2484.6759999999999</v>
      </c>
      <c r="CJ59" s="58">
        <v>1301.049</v>
      </c>
      <c r="CK59" s="58">
        <v>1183.627</v>
      </c>
      <c r="CL59" s="58">
        <v>1713.6590000000001</v>
      </c>
      <c r="CM59" s="58">
        <v>1056.383</v>
      </c>
      <c r="CN59" s="58">
        <v>657.27499999999998</v>
      </c>
      <c r="CO59" s="58">
        <v>771.01700000000005</v>
      </c>
      <c r="CP59" s="58">
        <v>244.666</v>
      </c>
      <c r="CQ59" s="58">
        <v>526.351</v>
      </c>
      <c r="CR59" s="58">
        <v>384.45600000000002</v>
      </c>
      <c r="CS59" s="58">
        <v>193.29300000000001</v>
      </c>
      <c r="CT59" s="58">
        <v>191.16300000000001</v>
      </c>
      <c r="CU59" s="58">
        <v>61.640999999999998</v>
      </c>
      <c r="CV59" s="58">
        <v>35.692999999999998</v>
      </c>
      <c r="CW59" s="58">
        <v>25.949000000000002</v>
      </c>
      <c r="CX59" s="58">
        <v>22.556000000000001</v>
      </c>
      <c r="CY59" s="58">
        <v>16.184000000000001</v>
      </c>
      <c r="CZ59" s="58">
        <v>6.3719999999999999</v>
      </c>
      <c r="DA59" s="58">
        <v>12.670999999999999</v>
      </c>
      <c r="DB59" s="58">
        <v>8.891</v>
      </c>
      <c r="DC59" s="58">
        <v>3.78</v>
      </c>
      <c r="DD59" s="58">
        <v>9.8849999999999998</v>
      </c>
      <c r="DE59" s="58">
        <v>7.2930000000000001</v>
      </c>
      <c r="DF59" s="58">
        <v>2.5920000000000001</v>
      </c>
      <c r="DG59" s="58">
        <v>39.085000000000001</v>
      </c>
      <c r="DH59" s="58">
        <v>19.509</v>
      </c>
      <c r="DI59" s="58">
        <v>19.576000000000001</v>
      </c>
      <c r="DJ59" s="58">
        <v>349.863</v>
      </c>
      <c r="DK59" s="58">
        <v>172.142</v>
      </c>
      <c r="DL59" s="58">
        <v>177.72200000000001</v>
      </c>
      <c r="DM59" s="58">
        <v>127.44199999999999</v>
      </c>
      <c r="DN59" s="58">
        <v>90.597999999999999</v>
      </c>
      <c r="DO59" s="58">
        <v>36.844000000000001</v>
      </c>
      <c r="DP59" s="58">
        <v>222.42099999999999</v>
      </c>
      <c r="DQ59" s="58">
        <v>81.543999999999997</v>
      </c>
      <c r="DR59" s="58">
        <v>140.87700000000001</v>
      </c>
      <c r="DS59" s="58">
        <v>144.25200000000001</v>
      </c>
      <c r="DT59" s="58">
        <v>102.843</v>
      </c>
      <c r="DU59" s="58">
        <v>41.41</v>
      </c>
      <c r="DV59" s="58">
        <v>240.203</v>
      </c>
      <c r="DW59" s="58">
        <v>90.450999999999993</v>
      </c>
      <c r="DX59" s="58">
        <v>149.75299999999999</v>
      </c>
      <c r="DY59" s="58">
        <v>235.09200000000001</v>
      </c>
      <c r="DZ59" s="58">
        <v>90.435000000000002</v>
      </c>
      <c r="EA59" s="58">
        <v>144.65700000000001</v>
      </c>
      <c r="EB59" s="58">
        <v>845.18499999999995</v>
      </c>
      <c r="EC59" s="58">
        <v>444.8</v>
      </c>
      <c r="ED59" s="58">
        <v>400.38400000000001</v>
      </c>
      <c r="EE59" s="58">
        <v>538.29</v>
      </c>
      <c r="EF59" s="58">
        <v>347.75200000000001</v>
      </c>
      <c r="EG59" s="58">
        <v>190.53800000000001</v>
      </c>
      <c r="EH59" s="58">
        <v>306.89499999999998</v>
      </c>
      <c r="EI59" s="58">
        <v>97.049000000000007</v>
      </c>
      <c r="EJ59" s="58">
        <v>209.84700000000001</v>
      </c>
      <c r="EK59" s="58">
        <v>135.45400000000001</v>
      </c>
      <c r="EL59" s="58">
        <v>67.766000000000005</v>
      </c>
      <c r="EM59" s="58">
        <v>67.688000000000002</v>
      </c>
      <c r="EN59" s="58">
        <v>22.372</v>
      </c>
      <c r="EO59" s="58">
        <v>14.196999999999999</v>
      </c>
      <c r="EP59" s="58">
        <v>8.1750000000000007</v>
      </c>
      <c r="EQ59" s="58">
        <v>8.8010000000000002</v>
      </c>
      <c r="ER59" s="58">
        <v>7.452</v>
      </c>
      <c r="ES59" s="58">
        <v>1.349</v>
      </c>
      <c r="ET59" s="58">
        <v>3.234</v>
      </c>
      <c r="EU59" s="58">
        <v>2.3029999999999999</v>
      </c>
      <c r="EV59" s="58">
        <v>0.93200000000000005</v>
      </c>
      <c r="EW59" s="58">
        <v>5.5659999999999998</v>
      </c>
      <c r="EX59" s="58">
        <v>5.149</v>
      </c>
      <c r="EY59" s="58">
        <v>0.41799999999999998</v>
      </c>
      <c r="EZ59" s="58">
        <v>13.571</v>
      </c>
      <c r="FA59" s="58">
        <v>6.7450000000000001</v>
      </c>
      <c r="FB59" s="58">
        <v>6.8259999999999996</v>
      </c>
      <c r="FC59" s="58">
        <v>123.21899999999999</v>
      </c>
      <c r="FD59" s="58">
        <v>59.131</v>
      </c>
      <c r="FE59" s="58">
        <v>64.087999999999994</v>
      </c>
      <c r="FF59" s="58">
        <v>38.582999999999998</v>
      </c>
      <c r="FG59" s="58">
        <v>25.338999999999999</v>
      </c>
      <c r="FH59" s="58">
        <v>13.244</v>
      </c>
      <c r="FI59" s="58">
        <v>84.635999999999996</v>
      </c>
      <c r="FJ59" s="58">
        <v>33.792000000000002</v>
      </c>
      <c r="FK59" s="58">
        <v>50.844000000000001</v>
      </c>
      <c r="FL59" s="58">
        <v>45.732999999999997</v>
      </c>
      <c r="FM59" s="58">
        <v>31.14</v>
      </c>
      <c r="FN59" s="58">
        <v>14.593</v>
      </c>
      <c r="FO59" s="58">
        <v>89.721000000000004</v>
      </c>
      <c r="FP59" s="58">
        <v>36.627000000000002</v>
      </c>
      <c r="FQ59" s="58">
        <v>53.094999999999999</v>
      </c>
      <c r="FR59" s="58">
        <v>87.870999999999995</v>
      </c>
      <c r="FS59" s="58">
        <v>36.094999999999999</v>
      </c>
      <c r="FT59" s="58">
        <v>51.776000000000003</v>
      </c>
      <c r="FU59" s="58">
        <v>1338.2280000000001</v>
      </c>
      <c r="FV59" s="58">
        <v>723.93600000000004</v>
      </c>
      <c r="FW59" s="58">
        <v>614.29300000000001</v>
      </c>
      <c r="FX59" s="58">
        <v>914.01900000000001</v>
      </c>
      <c r="FY59" s="58">
        <v>600.41700000000003</v>
      </c>
      <c r="FZ59" s="58">
        <v>313.60199999999998</v>
      </c>
      <c r="GA59" s="58">
        <v>424.21</v>
      </c>
      <c r="GB59" s="58">
        <v>123.51900000000001</v>
      </c>
      <c r="GC59" s="58">
        <v>300.69099999999997</v>
      </c>
      <c r="GD59" s="58">
        <v>214.773</v>
      </c>
      <c r="GE59" s="58">
        <v>108.1</v>
      </c>
      <c r="GF59" s="58">
        <v>106.673</v>
      </c>
      <c r="GG59" s="58">
        <v>38.372999999999998</v>
      </c>
      <c r="GH59" s="58">
        <v>22.571999999999999</v>
      </c>
      <c r="GI59" s="58">
        <v>15.8</v>
      </c>
      <c r="GJ59" s="58">
        <v>15.497999999999999</v>
      </c>
      <c r="GK59" s="58">
        <v>12.19</v>
      </c>
      <c r="GL59" s="58">
        <v>3.3079999999999998</v>
      </c>
      <c r="GM59" s="58">
        <v>9.516</v>
      </c>
      <c r="GN59" s="58">
        <v>7.0289999999999999</v>
      </c>
      <c r="GO59" s="58">
        <v>2.4870000000000001</v>
      </c>
      <c r="GP59" s="58">
        <v>5.9820000000000002</v>
      </c>
      <c r="GQ59" s="58">
        <v>5.1609999999999996</v>
      </c>
      <c r="GR59" s="58">
        <v>0.82099999999999995</v>
      </c>
      <c r="GS59" s="58">
        <v>22.875</v>
      </c>
      <c r="GT59" s="58">
        <v>10.382</v>
      </c>
      <c r="GU59" s="58">
        <v>12.493</v>
      </c>
      <c r="GV59" s="58">
        <v>196.18600000000001</v>
      </c>
      <c r="GW59" s="58">
        <v>96.263000000000005</v>
      </c>
      <c r="GX59" s="58">
        <v>99.923000000000002</v>
      </c>
      <c r="GY59" s="58">
        <v>72.94</v>
      </c>
      <c r="GZ59" s="58">
        <v>51.02</v>
      </c>
      <c r="HA59" s="58">
        <v>21.92</v>
      </c>
      <c r="HB59" s="58">
        <v>123.247</v>
      </c>
      <c r="HC59" s="58">
        <v>45.243000000000002</v>
      </c>
      <c r="HD59" s="58">
        <v>78.003</v>
      </c>
      <c r="HE59" s="58">
        <v>84.912000000000006</v>
      </c>
      <c r="HF59" s="58">
        <v>60.860999999999997</v>
      </c>
      <c r="HG59" s="58">
        <v>24.05</v>
      </c>
      <c r="HH59" s="58">
        <v>129.86099999999999</v>
      </c>
      <c r="HI59" s="58">
        <v>47.238</v>
      </c>
      <c r="HJ59" s="58">
        <v>82.622</v>
      </c>
      <c r="HK59" s="58">
        <v>132.762</v>
      </c>
      <c r="HL59" s="58">
        <v>52.271999999999998</v>
      </c>
      <c r="HM59" s="58">
        <v>80.489999999999995</v>
      </c>
      <c r="HN59" s="58">
        <v>249.41399999999999</v>
      </c>
      <c r="HO59" s="58">
        <v>130.04900000000001</v>
      </c>
      <c r="HP59" s="58">
        <v>119.36499999999999</v>
      </c>
      <c r="HQ59" s="58">
        <v>154.654</v>
      </c>
      <c r="HR59" s="58">
        <v>100.14700000000001</v>
      </c>
      <c r="HS59" s="58">
        <v>54.506999999999998</v>
      </c>
      <c r="HT59" s="58">
        <v>94.759</v>
      </c>
      <c r="HU59" s="58">
        <v>29.901</v>
      </c>
      <c r="HV59" s="58">
        <v>64.858000000000004</v>
      </c>
      <c r="HW59" s="58">
        <v>40.183999999999997</v>
      </c>
      <c r="HX59" s="58">
        <v>21.07</v>
      </c>
      <c r="HY59" s="58">
        <v>19.114000000000001</v>
      </c>
      <c r="HZ59" s="58">
        <v>8.0020000000000007</v>
      </c>
      <c r="IA59" s="58">
        <v>4.8529999999999998</v>
      </c>
      <c r="IB59" s="58">
        <v>3.149</v>
      </c>
      <c r="IC59" s="58">
        <v>3.7330000000000001</v>
      </c>
      <c r="ID59" s="58">
        <v>2.8010000000000002</v>
      </c>
      <c r="IE59" s="58">
        <v>0.93200000000000005</v>
      </c>
      <c r="IF59" s="58">
        <v>1.901</v>
      </c>
      <c r="IG59" s="58">
        <v>1.373</v>
      </c>
      <c r="IH59" s="58">
        <v>0.52800000000000002</v>
      </c>
      <c r="II59" s="58">
        <v>1.831</v>
      </c>
      <c r="IJ59" s="58">
        <v>1.4279999999999999</v>
      </c>
      <c r="IK59" s="58">
        <v>0.40400000000000003</v>
      </c>
      <c r="IL59" s="58">
        <v>4.2699999999999996</v>
      </c>
      <c r="IM59" s="58">
        <v>2.052</v>
      </c>
      <c r="IN59" s="58">
        <v>2.2170000000000001</v>
      </c>
      <c r="IO59" s="58">
        <v>35.158000000000001</v>
      </c>
      <c r="IP59" s="58">
        <v>17.196000000000002</v>
      </c>
      <c r="IQ59" s="58">
        <v>17.962</v>
      </c>
    </row>
    <row r="60" spans="1:251">
      <c r="A60" s="5">
        <v>43313</v>
      </c>
      <c r="B60" s="58">
        <v>1046.827</v>
      </c>
      <c r="C60" s="58">
        <v>1231.9880000000001</v>
      </c>
      <c r="D60" s="58">
        <v>395.59199999999998</v>
      </c>
      <c r="E60" s="58">
        <v>836.39700000000005</v>
      </c>
      <c r="F60" s="58">
        <v>530.19399999999996</v>
      </c>
      <c r="G60" s="58">
        <v>292.84100000000001</v>
      </c>
      <c r="H60" s="58">
        <v>237.35400000000001</v>
      </c>
      <c r="I60" s="58">
        <v>94.903999999999996</v>
      </c>
      <c r="J60" s="58">
        <v>58.881</v>
      </c>
      <c r="K60" s="58">
        <v>36.023000000000003</v>
      </c>
      <c r="L60" s="58">
        <v>39.881</v>
      </c>
      <c r="M60" s="58">
        <v>32.124000000000002</v>
      </c>
      <c r="N60" s="58">
        <v>7.7569999999999997</v>
      </c>
      <c r="O60" s="58">
        <v>22.942</v>
      </c>
      <c r="P60" s="58">
        <v>17.143999999999998</v>
      </c>
      <c r="Q60" s="58">
        <v>5.798</v>
      </c>
      <c r="R60" s="58">
        <v>16.939</v>
      </c>
      <c r="S60" s="58">
        <v>14.98</v>
      </c>
      <c r="T60" s="58">
        <v>1.9590000000000001</v>
      </c>
      <c r="U60" s="58">
        <v>55.021999999999998</v>
      </c>
      <c r="V60" s="58">
        <v>26.756</v>
      </c>
      <c r="W60" s="58">
        <v>28.265999999999998</v>
      </c>
      <c r="X60" s="58">
        <v>474.267</v>
      </c>
      <c r="Y60" s="58">
        <v>256.25799999999998</v>
      </c>
      <c r="Z60" s="58">
        <v>218.00800000000001</v>
      </c>
      <c r="AA60" s="58">
        <v>194.41200000000001</v>
      </c>
      <c r="AB60" s="58">
        <v>151.98500000000001</v>
      </c>
      <c r="AC60" s="58">
        <v>42.427</v>
      </c>
      <c r="AD60" s="58">
        <v>279.85500000000002</v>
      </c>
      <c r="AE60" s="58">
        <v>104.274</v>
      </c>
      <c r="AF60" s="58">
        <v>175.58099999999999</v>
      </c>
      <c r="AG60" s="58">
        <v>224.857</v>
      </c>
      <c r="AH60" s="58">
        <v>175.75899999999999</v>
      </c>
      <c r="AI60" s="58">
        <v>49.097999999999999</v>
      </c>
      <c r="AJ60" s="58">
        <v>305.33699999999999</v>
      </c>
      <c r="AK60" s="58">
        <v>117.081</v>
      </c>
      <c r="AL60" s="58">
        <v>188.256</v>
      </c>
      <c r="AM60" s="58">
        <v>302.79700000000003</v>
      </c>
      <c r="AN60" s="58">
        <v>121.41800000000001</v>
      </c>
      <c r="AO60" s="58">
        <v>181.37899999999999</v>
      </c>
      <c r="AP60" s="58">
        <v>3275.607</v>
      </c>
      <c r="AQ60" s="58">
        <v>1761.9359999999999</v>
      </c>
      <c r="AR60" s="58">
        <v>1513.671</v>
      </c>
      <c r="AS60" s="58">
        <v>2209.098</v>
      </c>
      <c r="AT60" s="58">
        <v>1433.1479999999999</v>
      </c>
      <c r="AU60" s="58">
        <v>775.95</v>
      </c>
      <c r="AV60" s="58">
        <v>1066.51</v>
      </c>
      <c r="AW60" s="58">
        <v>328.78800000000001</v>
      </c>
      <c r="AX60" s="58">
        <v>737.721</v>
      </c>
      <c r="AY60" s="58">
        <v>466.22699999999998</v>
      </c>
      <c r="AZ60" s="58">
        <v>244.9</v>
      </c>
      <c r="BA60" s="58">
        <v>221.327</v>
      </c>
      <c r="BB60" s="58">
        <v>87.524000000000001</v>
      </c>
      <c r="BC60" s="58">
        <v>46.805</v>
      </c>
      <c r="BD60" s="58">
        <v>40.718000000000004</v>
      </c>
      <c r="BE60" s="58">
        <v>35.454000000000001</v>
      </c>
      <c r="BF60" s="58">
        <v>27.666</v>
      </c>
      <c r="BG60" s="58">
        <v>7.7889999999999997</v>
      </c>
      <c r="BH60" s="58">
        <v>15.972</v>
      </c>
      <c r="BI60" s="58">
        <v>13.473000000000001</v>
      </c>
      <c r="BJ60" s="58">
        <v>2.4990000000000001</v>
      </c>
      <c r="BK60" s="58">
        <v>19.481999999999999</v>
      </c>
      <c r="BL60" s="58">
        <v>14.192</v>
      </c>
      <c r="BM60" s="58">
        <v>5.29</v>
      </c>
      <c r="BN60" s="58">
        <v>52.07</v>
      </c>
      <c r="BO60" s="58">
        <v>19.14</v>
      </c>
      <c r="BP60" s="58">
        <v>32.93</v>
      </c>
      <c r="BQ60" s="58">
        <v>416.24799999999999</v>
      </c>
      <c r="BR60" s="58">
        <v>219.84700000000001</v>
      </c>
      <c r="BS60" s="58">
        <v>196.40100000000001</v>
      </c>
      <c r="BT60" s="58">
        <v>166.7</v>
      </c>
      <c r="BU60" s="58">
        <v>126.098</v>
      </c>
      <c r="BV60" s="58">
        <v>40.601999999999997</v>
      </c>
      <c r="BW60" s="58">
        <v>249.548</v>
      </c>
      <c r="BX60" s="58">
        <v>93.748999999999995</v>
      </c>
      <c r="BY60" s="58">
        <v>155.79900000000001</v>
      </c>
      <c r="BZ60" s="58">
        <v>191.18899999999999</v>
      </c>
      <c r="CA60" s="58">
        <v>143.21299999999999</v>
      </c>
      <c r="CB60" s="58">
        <v>47.976999999999997</v>
      </c>
      <c r="CC60" s="58">
        <v>275.03800000000001</v>
      </c>
      <c r="CD60" s="58">
        <v>101.687</v>
      </c>
      <c r="CE60" s="58">
        <v>173.351</v>
      </c>
      <c r="CF60" s="58">
        <v>265.52</v>
      </c>
      <c r="CG60" s="58">
        <v>107.22199999999999</v>
      </c>
      <c r="CH60" s="58">
        <v>158.298</v>
      </c>
      <c r="CI60" s="58">
        <v>2488.1350000000002</v>
      </c>
      <c r="CJ60" s="58">
        <v>1305.954</v>
      </c>
      <c r="CK60" s="58">
        <v>1182.181</v>
      </c>
      <c r="CL60" s="58">
        <v>1705.57</v>
      </c>
      <c r="CM60" s="58">
        <v>1060.896</v>
      </c>
      <c r="CN60" s="58">
        <v>644.67399999999998</v>
      </c>
      <c r="CO60" s="58">
        <v>782.56399999999996</v>
      </c>
      <c r="CP60" s="58">
        <v>245.05699999999999</v>
      </c>
      <c r="CQ60" s="58">
        <v>537.50699999999995</v>
      </c>
      <c r="CR60" s="58">
        <v>359.87</v>
      </c>
      <c r="CS60" s="58">
        <v>170.79900000000001</v>
      </c>
      <c r="CT60" s="58">
        <v>189.071</v>
      </c>
      <c r="CU60" s="58">
        <v>68.516000000000005</v>
      </c>
      <c r="CV60" s="58">
        <v>37.475999999999999</v>
      </c>
      <c r="CW60" s="58">
        <v>31.04</v>
      </c>
      <c r="CX60" s="58">
        <v>27.454000000000001</v>
      </c>
      <c r="CY60" s="58">
        <v>19.396999999999998</v>
      </c>
      <c r="CZ60" s="58">
        <v>8.0559999999999992</v>
      </c>
      <c r="DA60" s="58">
        <v>12.244999999999999</v>
      </c>
      <c r="DB60" s="58">
        <v>7.8680000000000003</v>
      </c>
      <c r="DC60" s="58">
        <v>4.3769999999999998</v>
      </c>
      <c r="DD60" s="58">
        <v>15.209</v>
      </c>
      <c r="DE60" s="58">
        <v>11.53</v>
      </c>
      <c r="DF60" s="58">
        <v>3.6789999999999998</v>
      </c>
      <c r="DG60" s="58">
        <v>41.063000000000002</v>
      </c>
      <c r="DH60" s="58">
        <v>18.079000000000001</v>
      </c>
      <c r="DI60" s="58">
        <v>22.984000000000002</v>
      </c>
      <c r="DJ60" s="58">
        <v>319.17200000000003</v>
      </c>
      <c r="DK60" s="58">
        <v>144.00299999999999</v>
      </c>
      <c r="DL60" s="58">
        <v>175.16900000000001</v>
      </c>
      <c r="DM60" s="58">
        <v>107.119</v>
      </c>
      <c r="DN60" s="58">
        <v>71.438999999999993</v>
      </c>
      <c r="DO60" s="58">
        <v>35.68</v>
      </c>
      <c r="DP60" s="58">
        <v>212.053</v>
      </c>
      <c r="DQ60" s="58">
        <v>72.563999999999993</v>
      </c>
      <c r="DR60" s="58">
        <v>139.489</v>
      </c>
      <c r="DS60" s="58">
        <v>130.505</v>
      </c>
      <c r="DT60" s="58">
        <v>88.971000000000004</v>
      </c>
      <c r="DU60" s="58">
        <v>41.533999999999999</v>
      </c>
      <c r="DV60" s="58">
        <v>229.36500000000001</v>
      </c>
      <c r="DW60" s="58">
        <v>81.828000000000003</v>
      </c>
      <c r="DX60" s="58">
        <v>147.53700000000001</v>
      </c>
      <c r="DY60" s="58">
        <v>224.298</v>
      </c>
      <c r="DZ60" s="58">
        <v>80.432000000000002</v>
      </c>
      <c r="EA60" s="58">
        <v>143.86600000000001</v>
      </c>
      <c r="EB60" s="58">
        <v>832.85799999999995</v>
      </c>
      <c r="EC60" s="58">
        <v>438.49200000000002</v>
      </c>
      <c r="ED60" s="58">
        <v>394.36599999999999</v>
      </c>
      <c r="EE60" s="58">
        <v>541.11199999999997</v>
      </c>
      <c r="EF60" s="58">
        <v>348.64600000000002</v>
      </c>
      <c r="EG60" s="58">
        <v>192.46600000000001</v>
      </c>
      <c r="EH60" s="58">
        <v>291.74599999999998</v>
      </c>
      <c r="EI60" s="58">
        <v>89.846000000000004</v>
      </c>
      <c r="EJ60" s="58">
        <v>201.9</v>
      </c>
      <c r="EK60" s="58">
        <v>135.03700000000001</v>
      </c>
      <c r="EL60" s="58">
        <v>67.731999999999999</v>
      </c>
      <c r="EM60" s="58">
        <v>67.305000000000007</v>
      </c>
      <c r="EN60" s="58">
        <v>28.233000000000001</v>
      </c>
      <c r="EO60" s="58">
        <v>15.353</v>
      </c>
      <c r="EP60" s="58">
        <v>12.88</v>
      </c>
      <c r="EQ60" s="58">
        <v>8.6969999999999992</v>
      </c>
      <c r="ER60" s="58">
        <v>6.5359999999999996</v>
      </c>
      <c r="ES60" s="58">
        <v>2.161</v>
      </c>
      <c r="ET60" s="58">
        <v>4.3789999999999996</v>
      </c>
      <c r="EU60" s="58">
        <v>3.0529999999999999</v>
      </c>
      <c r="EV60" s="58">
        <v>1.327</v>
      </c>
      <c r="EW60" s="58">
        <v>4.3179999999999996</v>
      </c>
      <c r="EX60" s="58">
        <v>3.4830000000000001</v>
      </c>
      <c r="EY60" s="58">
        <v>0.83399999999999996</v>
      </c>
      <c r="EZ60" s="58">
        <v>19.536000000000001</v>
      </c>
      <c r="FA60" s="58">
        <v>8.8160000000000007</v>
      </c>
      <c r="FB60" s="58">
        <v>10.718999999999999</v>
      </c>
      <c r="FC60" s="58">
        <v>118.563</v>
      </c>
      <c r="FD60" s="58">
        <v>57.978999999999999</v>
      </c>
      <c r="FE60" s="58">
        <v>60.584000000000003</v>
      </c>
      <c r="FF60" s="58">
        <v>40.104999999999997</v>
      </c>
      <c r="FG60" s="58">
        <v>28.32</v>
      </c>
      <c r="FH60" s="58">
        <v>11.784000000000001</v>
      </c>
      <c r="FI60" s="58">
        <v>78.457999999999998</v>
      </c>
      <c r="FJ60" s="58">
        <v>29.658999999999999</v>
      </c>
      <c r="FK60" s="58">
        <v>48.8</v>
      </c>
      <c r="FL60" s="58">
        <v>47.537999999999997</v>
      </c>
      <c r="FM60" s="58">
        <v>33.975999999999999</v>
      </c>
      <c r="FN60" s="58">
        <v>13.561999999999999</v>
      </c>
      <c r="FO60" s="58">
        <v>87.498999999999995</v>
      </c>
      <c r="FP60" s="58">
        <v>33.756</v>
      </c>
      <c r="FQ60" s="58">
        <v>53.743000000000002</v>
      </c>
      <c r="FR60" s="58">
        <v>82.837999999999994</v>
      </c>
      <c r="FS60" s="58">
        <v>32.710999999999999</v>
      </c>
      <c r="FT60" s="58">
        <v>50.125999999999998</v>
      </c>
      <c r="FU60" s="58">
        <v>1333.221</v>
      </c>
      <c r="FV60" s="58">
        <v>719.79899999999998</v>
      </c>
      <c r="FW60" s="58">
        <v>613.42200000000003</v>
      </c>
      <c r="FX60" s="58">
        <v>906.41099999999994</v>
      </c>
      <c r="FY60" s="58">
        <v>590.74300000000005</v>
      </c>
      <c r="FZ60" s="58">
        <v>315.66800000000001</v>
      </c>
      <c r="GA60" s="58">
        <v>426.81</v>
      </c>
      <c r="GB60" s="58">
        <v>129.05600000000001</v>
      </c>
      <c r="GC60" s="58">
        <v>297.75400000000002</v>
      </c>
      <c r="GD60" s="58">
        <v>229.30799999999999</v>
      </c>
      <c r="GE60" s="58">
        <v>113.663</v>
      </c>
      <c r="GF60" s="58">
        <v>115.645</v>
      </c>
      <c r="GG60" s="58">
        <v>49.234999999999999</v>
      </c>
      <c r="GH60" s="58">
        <v>28.181000000000001</v>
      </c>
      <c r="GI60" s="58">
        <v>21.053999999999998</v>
      </c>
      <c r="GJ60" s="58">
        <v>20.704000000000001</v>
      </c>
      <c r="GK60" s="58">
        <v>15.234999999999999</v>
      </c>
      <c r="GL60" s="58">
        <v>5.4690000000000003</v>
      </c>
      <c r="GM60" s="58">
        <v>11.006</v>
      </c>
      <c r="GN60" s="58">
        <v>7.9550000000000001</v>
      </c>
      <c r="GO60" s="58">
        <v>3.0510000000000002</v>
      </c>
      <c r="GP60" s="58">
        <v>9.6980000000000004</v>
      </c>
      <c r="GQ60" s="58">
        <v>7.28</v>
      </c>
      <c r="GR60" s="58">
        <v>2.4180000000000001</v>
      </c>
      <c r="GS60" s="58">
        <v>28.530999999999999</v>
      </c>
      <c r="GT60" s="58">
        <v>12.946</v>
      </c>
      <c r="GU60" s="58">
        <v>15.585000000000001</v>
      </c>
      <c r="GV60" s="58">
        <v>204.32300000000001</v>
      </c>
      <c r="GW60" s="58">
        <v>100.15900000000001</v>
      </c>
      <c r="GX60" s="58">
        <v>104.164</v>
      </c>
      <c r="GY60" s="58">
        <v>71.802000000000007</v>
      </c>
      <c r="GZ60" s="58">
        <v>54.136000000000003</v>
      </c>
      <c r="HA60" s="58">
        <v>17.666</v>
      </c>
      <c r="HB60" s="58">
        <v>132.52099999999999</v>
      </c>
      <c r="HC60" s="58">
        <v>46.023000000000003</v>
      </c>
      <c r="HD60" s="58">
        <v>86.498000000000005</v>
      </c>
      <c r="HE60" s="58">
        <v>86.382999999999996</v>
      </c>
      <c r="HF60" s="58">
        <v>64.412999999999997</v>
      </c>
      <c r="HG60" s="58">
        <v>21.97</v>
      </c>
      <c r="HH60" s="58">
        <v>142.92599999999999</v>
      </c>
      <c r="HI60" s="58">
        <v>49.25</v>
      </c>
      <c r="HJ60" s="58">
        <v>93.676000000000002</v>
      </c>
      <c r="HK60" s="58">
        <v>143.52699999999999</v>
      </c>
      <c r="HL60" s="58">
        <v>53.978000000000002</v>
      </c>
      <c r="HM60" s="58">
        <v>89.549000000000007</v>
      </c>
      <c r="HN60" s="58">
        <v>249.102</v>
      </c>
      <c r="HO60" s="58">
        <v>129.393</v>
      </c>
      <c r="HP60" s="58">
        <v>119.709</v>
      </c>
      <c r="HQ60" s="58">
        <v>154.79599999999999</v>
      </c>
      <c r="HR60" s="58">
        <v>100.29600000000001</v>
      </c>
      <c r="HS60" s="58">
        <v>54.5</v>
      </c>
      <c r="HT60" s="58">
        <v>94.305999999999997</v>
      </c>
      <c r="HU60" s="58">
        <v>29.097000000000001</v>
      </c>
      <c r="HV60" s="58">
        <v>65.209000000000003</v>
      </c>
      <c r="HW60" s="58">
        <v>38.445</v>
      </c>
      <c r="HX60" s="58">
        <v>19.321000000000002</v>
      </c>
      <c r="HY60" s="58">
        <v>19.123999999999999</v>
      </c>
      <c r="HZ60" s="58">
        <v>9.8390000000000004</v>
      </c>
      <c r="IA60" s="58">
        <v>4.8979999999999997</v>
      </c>
      <c r="IB60" s="58">
        <v>4.9409999999999998</v>
      </c>
      <c r="IC60" s="58">
        <v>2.9910000000000001</v>
      </c>
      <c r="ID60" s="58">
        <v>1.77</v>
      </c>
      <c r="IE60" s="58">
        <v>1.2210000000000001</v>
      </c>
      <c r="IF60" s="58">
        <v>1.1859999999999999</v>
      </c>
      <c r="IG60" s="58">
        <v>0.53900000000000003</v>
      </c>
      <c r="IH60" s="58">
        <v>0.64700000000000002</v>
      </c>
      <c r="II60" s="58">
        <v>1.8049999999999999</v>
      </c>
      <c r="IJ60" s="58">
        <v>1.2310000000000001</v>
      </c>
      <c r="IK60" s="58">
        <v>0.57299999999999995</v>
      </c>
      <c r="IL60" s="58">
        <v>6.8479999999999999</v>
      </c>
      <c r="IM60" s="58">
        <v>3.1280000000000001</v>
      </c>
      <c r="IN60" s="58">
        <v>3.72</v>
      </c>
      <c r="IO60" s="58">
        <v>33.482999999999997</v>
      </c>
      <c r="IP60" s="58">
        <v>16.693999999999999</v>
      </c>
      <c r="IQ60" s="58">
        <v>16.789000000000001</v>
      </c>
    </row>
    <row r="61" spans="1:251">
      <c r="A61" s="5">
        <v>43344</v>
      </c>
      <c r="B61" s="58">
        <v>1045.3119999999999</v>
      </c>
      <c r="C61" s="58">
        <v>1265.412</v>
      </c>
      <c r="D61" s="58">
        <v>405.38900000000001</v>
      </c>
      <c r="E61" s="58">
        <v>860.02300000000002</v>
      </c>
      <c r="F61" s="58">
        <v>550.48699999999997</v>
      </c>
      <c r="G61" s="58">
        <v>289.952</v>
      </c>
      <c r="H61" s="58">
        <v>260.53399999999999</v>
      </c>
      <c r="I61" s="58">
        <v>90.528000000000006</v>
      </c>
      <c r="J61" s="58">
        <v>49.078000000000003</v>
      </c>
      <c r="K61" s="58">
        <v>41.45</v>
      </c>
      <c r="L61" s="58">
        <v>36.460999999999999</v>
      </c>
      <c r="M61" s="58">
        <v>27.207000000000001</v>
      </c>
      <c r="N61" s="58">
        <v>9.2539999999999996</v>
      </c>
      <c r="O61" s="58">
        <v>21.024999999999999</v>
      </c>
      <c r="P61" s="58">
        <v>15.616</v>
      </c>
      <c r="Q61" s="58">
        <v>5.4089999999999998</v>
      </c>
      <c r="R61" s="58">
        <v>15.436</v>
      </c>
      <c r="S61" s="58">
        <v>11.590999999999999</v>
      </c>
      <c r="T61" s="58">
        <v>3.8460000000000001</v>
      </c>
      <c r="U61" s="58">
        <v>54.066000000000003</v>
      </c>
      <c r="V61" s="58">
        <v>21.870999999999999</v>
      </c>
      <c r="W61" s="58">
        <v>32.195999999999998</v>
      </c>
      <c r="X61" s="58">
        <v>499.36799999999999</v>
      </c>
      <c r="Y61" s="58">
        <v>260.54599999999999</v>
      </c>
      <c r="Z61" s="58">
        <v>238.822</v>
      </c>
      <c r="AA61" s="58">
        <v>196.05600000000001</v>
      </c>
      <c r="AB61" s="58">
        <v>149.208</v>
      </c>
      <c r="AC61" s="58">
        <v>46.847999999999999</v>
      </c>
      <c r="AD61" s="58">
        <v>303.31200000000001</v>
      </c>
      <c r="AE61" s="58">
        <v>111.33799999999999</v>
      </c>
      <c r="AF61" s="58">
        <v>191.97399999999999</v>
      </c>
      <c r="AG61" s="58">
        <v>221.98699999999999</v>
      </c>
      <c r="AH61" s="58">
        <v>168.21600000000001</v>
      </c>
      <c r="AI61" s="58">
        <v>53.771000000000001</v>
      </c>
      <c r="AJ61" s="58">
        <v>328.49900000000002</v>
      </c>
      <c r="AK61" s="58">
        <v>121.736</v>
      </c>
      <c r="AL61" s="58">
        <v>206.76400000000001</v>
      </c>
      <c r="AM61" s="58">
        <v>324.33699999999999</v>
      </c>
      <c r="AN61" s="58">
        <v>126.955</v>
      </c>
      <c r="AO61" s="58">
        <v>197.38300000000001</v>
      </c>
      <c r="AP61" s="58">
        <v>3308.442</v>
      </c>
      <c r="AQ61" s="58">
        <v>1777.8009999999999</v>
      </c>
      <c r="AR61" s="58">
        <v>1530.64</v>
      </c>
      <c r="AS61" s="58">
        <v>2246.3310000000001</v>
      </c>
      <c r="AT61" s="58">
        <v>1444.6759999999999</v>
      </c>
      <c r="AU61" s="58">
        <v>801.65499999999997</v>
      </c>
      <c r="AV61" s="58">
        <v>1062.1110000000001</v>
      </c>
      <c r="AW61" s="58">
        <v>333.125</v>
      </c>
      <c r="AX61" s="58">
        <v>728.98599999999999</v>
      </c>
      <c r="AY61" s="58">
        <v>444.34699999999998</v>
      </c>
      <c r="AZ61" s="58">
        <v>229.03399999999999</v>
      </c>
      <c r="BA61" s="58">
        <v>215.31299999999999</v>
      </c>
      <c r="BB61" s="58">
        <v>84.052999999999997</v>
      </c>
      <c r="BC61" s="58">
        <v>46.783000000000001</v>
      </c>
      <c r="BD61" s="58">
        <v>37.270000000000003</v>
      </c>
      <c r="BE61" s="58">
        <v>35.374000000000002</v>
      </c>
      <c r="BF61" s="58">
        <v>26.984999999999999</v>
      </c>
      <c r="BG61" s="58">
        <v>8.3889999999999993</v>
      </c>
      <c r="BH61" s="58">
        <v>18.873000000000001</v>
      </c>
      <c r="BI61" s="58">
        <v>13.759</v>
      </c>
      <c r="BJ61" s="58">
        <v>5.1139999999999999</v>
      </c>
      <c r="BK61" s="58">
        <v>16.501000000000001</v>
      </c>
      <c r="BL61" s="58">
        <v>13.226000000000001</v>
      </c>
      <c r="BM61" s="58">
        <v>3.2749999999999999</v>
      </c>
      <c r="BN61" s="58">
        <v>48.68</v>
      </c>
      <c r="BO61" s="58">
        <v>19.797999999999998</v>
      </c>
      <c r="BP61" s="58">
        <v>28.881</v>
      </c>
      <c r="BQ61" s="58">
        <v>393.31299999999999</v>
      </c>
      <c r="BR61" s="58">
        <v>199.31100000000001</v>
      </c>
      <c r="BS61" s="58">
        <v>194.00200000000001</v>
      </c>
      <c r="BT61" s="58">
        <v>155.87299999999999</v>
      </c>
      <c r="BU61" s="58">
        <v>108.42700000000001</v>
      </c>
      <c r="BV61" s="58">
        <v>47.445999999999998</v>
      </c>
      <c r="BW61" s="58">
        <v>237.44</v>
      </c>
      <c r="BX61" s="58">
        <v>90.884</v>
      </c>
      <c r="BY61" s="58">
        <v>146.55699999999999</v>
      </c>
      <c r="BZ61" s="58">
        <v>182.642</v>
      </c>
      <c r="CA61" s="58">
        <v>129.15899999999999</v>
      </c>
      <c r="CB61" s="58">
        <v>53.482999999999997</v>
      </c>
      <c r="CC61" s="58">
        <v>261.70400000000001</v>
      </c>
      <c r="CD61" s="58">
        <v>99.875</v>
      </c>
      <c r="CE61" s="58">
        <v>161.83000000000001</v>
      </c>
      <c r="CF61" s="58">
        <v>256.31299999999999</v>
      </c>
      <c r="CG61" s="58">
        <v>104.642</v>
      </c>
      <c r="CH61" s="58">
        <v>151.67099999999999</v>
      </c>
      <c r="CI61" s="58">
        <v>2475.5549999999998</v>
      </c>
      <c r="CJ61" s="58">
        <v>1298.704</v>
      </c>
      <c r="CK61" s="58">
        <v>1176.8510000000001</v>
      </c>
      <c r="CL61" s="58">
        <v>1706.829</v>
      </c>
      <c r="CM61" s="58">
        <v>1061.9480000000001</v>
      </c>
      <c r="CN61" s="58">
        <v>644.88099999999997</v>
      </c>
      <c r="CO61" s="58">
        <v>768.726</v>
      </c>
      <c r="CP61" s="58">
        <v>236.756</v>
      </c>
      <c r="CQ61" s="58">
        <v>531.97</v>
      </c>
      <c r="CR61" s="58">
        <v>343.43700000000001</v>
      </c>
      <c r="CS61" s="58">
        <v>172.702</v>
      </c>
      <c r="CT61" s="58">
        <v>170.73500000000001</v>
      </c>
      <c r="CU61" s="58">
        <v>67.128</v>
      </c>
      <c r="CV61" s="58">
        <v>38.679000000000002</v>
      </c>
      <c r="CW61" s="58">
        <v>28.448</v>
      </c>
      <c r="CX61" s="58">
        <v>28.64</v>
      </c>
      <c r="CY61" s="58">
        <v>21.978000000000002</v>
      </c>
      <c r="CZ61" s="58">
        <v>6.6619999999999999</v>
      </c>
      <c r="DA61" s="58">
        <v>19.913</v>
      </c>
      <c r="DB61" s="58">
        <v>14.615</v>
      </c>
      <c r="DC61" s="58">
        <v>5.298</v>
      </c>
      <c r="DD61" s="58">
        <v>8.7279999999999998</v>
      </c>
      <c r="DE61" s="58">
        <v>7.3639999999999999</v>
      </c>
      <c r="DF61" s="58">
        <v>1.3640000000000001</v>
      </c>
      <c r="DG61" s="58">
        <v>38.487000000000002</v>
      </c>
      <c r="DH61" s="58">
        <v>16.701000000000001</v>
      </c>
      <c r="DI61" s="58">
        <v>21.786000000000001</v>
      </c>
      <c r="DJ61" s="58">
        <v>304.31099999999998</v>
      </c>
      <c r="DK61" s="58">
        <v>148.584</v>
      </c>
      <c r="DL61" s="58">
        <v>155.727</v>
      </c>
      <c r="DM61" s="58">
        <v>106.03400000000001</v>
      </c>
      <c r="DN61" s="58">
        <v>75.438000000000002</v>
      </c>
      <c r="DO61" s="58">
        <v>30.597000000000001</v>
      </c>
      <c r="DP61" s="58">
        <v>198.27699999999999</v>
      </c>
      <c r="DQ61" s="58">
        <v>73.146000000000001</v>
      </c>
      <c r="DR61" s="58">
        <v>125.13</v>
      </c>
      <c r="DS61" s="58">
        <v>128.71799999999999</v>
      </c>
      <c r="DT61" s="58">
        <v>92.662999999999997</v>
      </c>
      <c r="DU61" s="58">
        <v>36.055</v>
      </c>
      <c r="DV61" s="58">
        <v>214.71799999999999</v>
      </c>
      <c r="DW61" s="58">
        <v>80.037999999999997</v>
      </c>
      <c r="DX61" s="58">
        <v>134.68</v>
      </c>
      <c r="DY61" s="58">
        <v>218.18899999999999</v>
      </c>
      <c r="DZ61" s="58">
        <v>87.760999999999996</v>
      </c>
      <c r="EA61" s="58">
        <v>130.428</v>
      </c>
      <c r="EB61" s="58">
        <v>835.25099999999998</v>
      </c>
      <c r="EC61" s="58">
        <v>441.303</v>
      </c>
      <c r="ED61" s="58">
        <v>393.94799999999998</v>
      </c>
      <c r="EE61" s="58">
        <v>538.59699999999998</v>
      </c>
      <c r="EF61" s="58">
        <v>352.36799999999999</v>
      </c>
      <c r="EG61" s="58">
        <v>186.22900000000001</v>
      </c>
      <c r="EH61" s="58">
        <v>296.654</v>
      </c>
      <c r="EI61" s="58">
        <v>88.933999999999997</v>
      </c>
      <c r="EJ61" s="58">
        <v>207.71899999999999</v>
      </c>
      <c r="EK61" s="58">
        <v>120.517</v>
      </c>
      <c r="EL61" s="58">
        <v>58.152000000000001</v>
      </c>
      <c r="EM61" s="58">
        <v>62.365000000000002</v>
      </c>
      <c r="EN61" s="58">
        <v>23.661999999999999</v>
      </c>
      <c r="EO61" s="58">
        <v>14.148</v>
      </c>
      <c r="EP61" s="58">
        <v>9.5139999999999993</v>
      </c>
      <c r="EQ61" s="58">
        <v>8.5169999999999995</v>
      </c>
      <c r="ER61" s="58">
        <v>7.2080000000000002</v>
      </c>
      <c r="ES61" s="58">
        <v>1.3089999999999999</v>
      </c>
      <c r="ET61" s="58">
        <v>2.669</v>
      </c>
      <c r="EU61" s="58">
        <v>2.2490000000000001</v>
      </c>
      <c r="EV61" s="58">
        <v>0.41899999999999998</v>
      </c>
      <c r="EW61" s="58">
        <v>5.8479999999999999</v>
      </c>
      <c r="EX61" s="58">
        <v>4.9580000000000002</v>
      </c>
      <c r="EY61" s="58">
        <v>0.89</v>
      </c>
      <c r="EZ61" s="58">
        <v>15.146000000000001</v>
      </c>
      <c r="FA61" s="58">
        <v>6.94</v>
      </c>
      <c r="FB61" s="58">
        <v>8.2059999999999995</v>
      </c>
      <c r="FC61" s="58">
        <v>105.935</v>
      </c>
      <c r="FD61" s="58">
        <v>49.145000000000003</v>
      </c>
      <c r="FE61" s="58">
        <v>56.79</v>
      </c>
      <c r="FF61" s="58">
        <v>30.581</v>
      </c>
      <c r="FG61" s="58">
        <v>21.937000000000001</v>
      </c>
      <c r="FH61" s="58">
        <v>8.6440000000000001</v>
      </c>
      <c r="FI61" s="58">
        <v>75.353999999999999</v>
      </c>
      <c r="FJ61" s="58">
        <v>27.207999999999998</v>
      </c>
      <c r="FK61" s="58">
        <v>48.146000000000001</v>
      </c>
      <c r="FL61" s="58">
        <v>38.076999999999998</v>
      </c>
      <c r="FM61" s="58">
        <v>28.123999999999999</v>
      </c>
      <c r="FN61" s="58">
        <v>9.9529999999999994</v>
      </c>
      <c r="FO61" s="58">
        <v>82.44</v>
      </c>
      <c r="FP61" s="58">
        <v>30.027999999999999</v>
      </c>
      <c r="FQ61" s="58">
        <v>52.411999999999999</v>
      </c>
      <c r="FR61" s="58">
        <v>78.022999999999996</v>
      </c>
      <c r="FS61" s="58">
        <v>29.457999999999998</v>
      </c>
      <c r="FT61" s="58">
        <v>48.564999999999998</v>
      </c>
      <c r="FU61" s="58">
        <v>1340.3510000000001</v>
      </c>
      <c r="FV61" s="58">
        <v>725.90200000000004</v>
      </c>
      <c r="FW61" s="58">
        <v>614.44899999999996</v>
      </c>
      <c r="FX61" s="58">
        <v>917.94</v>
      </c>
      <c r="FY61" s="58">
        <v>597.38800000000003</v>
      </c>
      <c r="FZ61" s="58">
        <v>320.55200000000002</v>
      </c>
      <c r="GA61" s="58">
        <v>422.411</v>
      </c>
      <c r="GB61" s="58">
        <v>128.51400000000001</v>
      </c>
      <c r="GC61" s="58">
        <v>293.89699999999999</v>
      </c>
      <c r="GD61" s="58">
        <v>211.578</v>
      </c>
      <c r="GE61" s="58">
        <v>109.185</v>
      </c>
      <c r="GF61" s="58">
        <v>102.393</v>
      </c>
      <c r="GG61" s="58">
        <v>35.780999999999999</v>
      </c>
      <c r="GH61" s="58">
        <v>22.43</v>
      </c>
      <c r="GI61" s="58">
        <v>13.351000000000001</v>
      </c>
      <c r="GJ61" s="58">
        <v>13.842000000000001</v>
      </c>
      <c r="GK61" s="58">
        <v>11.756</v>
      </c>
      <c r="GL61" s="58">
        <v>2.0859999999999999</v>
      </c>
      <c r="GM61" s="58">
        <v>8.8249999999999993</v>
      </c>
      <c r="GN61" s="58">
        <v>7.1130000000000004</v>
      </c>
      <c r="GO61" s="58">
        <v>1.712</v>
      </c>
      <c r="GP61" s="58">
        <v>5.0170000000000003</v>
      </c>
      <c r="GQ61" s="58">
        <v>4.6429999999999998</v>
      </c>
      <c r="GR61" s="58">
        <v>0.374</v>
      </c>
      <c r="GS61" s="58">
        <v>21.939</v>
      </c>
      <c r="GT61" s="58">
        <v>10.673999999999999</v>
      </c>
      <c r="GU61" s="58">
        <v>11.265000000000001</v>
      </c>
      <c r="GV61" s="58">
        <v>195.518</v>
      </c>
      <c r="GW61" s="58">
        <v>98.793000000000006</v>
      </c>
      <c r="GX61" s="58">
        <v>96.724000000000004</v>
      </c>
      <c r="GY61" s="58">
        <v>71.575000000000003</v>
      </c>
      <c r="GZ61" s="58">
        <v>51.033999999999999</v>
      </c>
      <c r="HA61" s="58">
        <v>20.541</v>
      </c>
      <c r="HB61" s="58">
        <v>123.94199999999999</v>
      </c>
      <c r="HC61" s="58">
        <v>47.759</v>
      </c>
      <c r="HD61" s="58">
        <v>76.183000000000007</v>
      </c>
      <c r="HE61" s="58">
        <v>80.927000000000007</v>
      </c>
      <c r="HF61" s="58">
        <v>58.997999999999998</v>
      </c>
      <c r="HG61" s="58">
        <v>21.928999999999998</v>
      </c>
      <c r="HH61" s="58">
        <v>130.65100000000001</v>
      </c>
      <c r="HI61" s="58">
        <v>50.186999999999998</v>
      </c>
      <c r="HJ61" s="58">
        <v>80.463999999999999</v>
      </c>
      <c r="HK61" s="58">
        <v>132.767</v>
      </c>
      <c r="HL61" s="58">
        <v>54.872</v>
      </c>
      <c r="HM61" s="58">
        <v>77.894999999999996</v>
      </c>
      <c r="HN61" s="58">
        <v>247.84299999999999</v>
      </c>
      <c r="HO61" s="58">
        <v>129.81200000000001</v>
      </c>
      <c r="HP61" s="58">
        <v>118.03</v>
      </c>
      <c r="HQ61" s="58">
        <v>154.095</v>
      </c>
      <c r="HR61" s="58">
        <v>98.600999999999999</v>
      </c>
      <c r="HS61" s="58">
        <v>55.494</v>
      </c>
      <c r="HT61" s="58">
        <v>93.747</v>
      </c>
      <c r="HU61" s="58">
        <v>31.210999999999999</v>
      </c>
      <c r="HV61" s="58">
        <v>62.536000000000001</v>
      </c>
      <c r="HW61" s="58">
        <v>40.232999999999997</v>
      </c>
      <c r="HX61" s="58">
        <v>19.914000000000001</v>
      </c>
      <c r="HY61" s="58">
        <v>20.318999999999999</v>
      </c>
      <c r="HZ61" s="58">
        <v>9.0570000000000004</v>
      </c>
      <c r="IA61" s="58">
        <v>4.9569999999999999</v>
      </c>
      <c r="IB61" s="58">
        <v>4.0990000000000002</v>
      </c>
      <c r="IC61" s="58">
        <v>2.3679999999999999</v>
      </c>
      <c r="ID61" s="58">
        <v>1.472</v>
      </c>
      <c r="IE61" s="58">
        <v>0.89600000000000002</v>
      </c>
      <c r="IF61" s="58">
        <v>1.306</v>
      </c>
      <c r="IG61" s="58">
        <v>0.80400000000000005</v>
      </c>
      <c r="IH61" s="58">
        <v>0.503</v>
      </c>
      <c r="II61" s="58">
        <v>1.0620000000000001</v>
      </c>
      <c r="IJ61" s="58">
        <v>0.66900000000000004</v>
      </c>
      <c r="IK61" s="58">
        <v>0.39300000000000002</v>
      </c>
      <c r="IL61" s="58">
        <v>6.6879999999999997</v>
      </c>
      <c r="IM61" s="58">
        <v>3.4849999999999999</v>
      </c>
      <c r="IN61" s="58">
        <v>3.2029999999999998</v>
      </c>
      <c r="IO61" s="58">
        <v>34.668999999999997</v>
      </c>
      <c r="IP61" s="58">
        <v>16.675999999999998</v>
      </c>
      <c r="IQ61" s="58">
        <v>17.992999999999999</v>
      </c>
    </row>
    <row r="62" spans="1:251">
      <c r="A62" s="5">
        <v>43374</v>
      </c>
      <c r="B62" s="58">
        <v>1061.627</v>
      </c>
      <c r="C62" s="58">
        <v>1251.107</v>
      </c>
      <c r="D62" s="58">
        <v>393.86500000000001</v>
      </c>
      <c r="E62" s="58">
        <v>857.24199999999996</v>
      </c>
      <c r="F62" s="58">
        <v>538.971</v>
      </c>
      <c r="G62" s="58">
        <v>279.27</v>
      </c>
      <c r="H62" s="58">
        <v>259.70100000000002</v>
      </c>
      <c r="I62" s="58">
        <v>86.414000000000001</v>
      </c>
      <c r="J62" s="58">
        <v>42.921999999999997</v>
      </c>
      <c r="K62" s="58">
        <v>43.491999999999997</v>
      </c>
      <c r="L62" s="58">
        <v>31.074999999999999</v>
      </c>
      <c r="M62" s="58">
        <v>21.131</v>
      </c>
      <c r="N62" s="58">
        <v>9.9450000000000003</v>
      </c>
      <c r="O62" s="58">
        <v>21.486000000000001</v>
      </c>
      <c r="P62" s="58">
        <v>13.631</v>
      </c>
      <c r="Q62" s="58">
        <v>7.8559999999999999</v>
      </c>
      <c r="R62" s="58">
        <v>9.5890000000000004</v>
      </c>
      <c r="S62" s="58">
        <v>7.5</v>
      </c>
      <c r="T62" s="58">
        <v>2.089</v>
      </c>
      <c r="U62" s="58">
        <v>55.338000000000001</v>
      </c>
      <c r="V62" s="58">
        <v>21.791</v>
      </c>
      <c r="W62" s="58">
        <v>33.546999999999997</v>
      </c>
      <c r="X62" s="58">
        <v>489.31700000000001</v>
      </c>
      <c r="Y62" s="58">
        <v>252.79300000000001</v>
      </c>
      <c r="Z62" s="58">
        <v>236.524</v>
      </c>
      <c r="AA62" s="58">
        <v>191.69300000000001</v>
      </c>
      <c r="AB62" s="58">
        <v>144.23699999999999</v>
      </c>
      <c r="AC62" s="58">
        <v>47.456000000000003</v>
      </c>
      <c r="AD62" s="58">
        <v>297.62400000000002</v>
      </c>
      <c r="AE62" s="58">
        <v>108.556</v>
      </c>
      <c r="AF62" s="58">
        <v>189.06899999999999</v>
      </c>
      <c r="AG62" s="58">
        <v>215.63200000000001</v>
      </c>
      <c r="AH62" s="58">
        <v>161.696</v>
      </c>
      <c r="AI62" s="58">
        <v>53.936</v>
      </c>
      <c r="AJ62" s="58">
        <v>323.339</v>
      </c>
      <c r="AK62" s="58">
        <v>117.574</v>
      </c>
      <c r="AL62" s="58">
        <v>205.76499999999999</v>
      </c>
      <c r="AM62" s="58">
        <v>319.11099999999999</v>
      </c>
      <c r="AN62" s="58">
        <v>122.18600000000001</v>
      </c>
      <c r="AO62" s="58">
        <v>196.92400000000001</v>
      </c>
      <c r="AP62" s="58">
        <v>3317.326</v>
      </c>
      <c r="AQ62" s="58">
        <v>1775.394</v>
      </c>
      <c r="AR62" s="58">
        <v>1541.932</v>
      </c>
      <c r="AS62" s="58">
        <v>2260.0889999999999</v>
      </c>
      <c r="AT62" s="58">
        <v>1454.405</v>
      </c>
      <c r="AU62" s="58">
        <v>805.68399999999997</v>
      </c>
      <c r="AV62" s="58">
        <v>1057.2370000000001</v>
      </c>
      <c r="AW62" s="58">
        <v>320.99</v>
      </c>
      <c r="AX62" s="58">
        <v>736.24800000000005</v>
      </c>
      <c r="AY62" s="58">
        <v>474.74</v>
      </c>
      <c r="AZ62" s="58">
        <v>247.952</v>
      </c>
      <c r="BA62" s="58">
        <v>226.78800000000001</v>
      </c>
      <c r="BB62" s="58">
        <v>87.313999999999993</v>
      </c>
      <c r="BC62" s="58">
        <v>51.45</v>
      </c>
      <c r="BD62" s="58">
        <v>35.863999999999997</v>
      </c>
      <c r="BE62" s="58">
        <v>32.701000000000001</v>
      </c>
      <c r="BF62" s="58">
        <v>26.884</v>
      </c>
      <c r="BG62" s="58">
        <v>5.8170000000000002</v>
      </c>
      <c r="BH62" s="58">
        <v>16.091999999999999</v>
      </c>
      <c r="BI62" s="58">
        <v>12.718999999999999</v>
      </c>
      <c r="BJ62" s="58">
        <v>3.3719999999999999</v>
      </c>
      <c r="BK62" s="58">
        <v>16.609000000000002</v>
      </c>
      <c r="BL62" s="58">
        <v>14.164</v>
      </c>
      <c r="BM62" s="58">
        <v>2.4449999999999998</v>
      </c>
      <c r="BN62" s="58">
        <v>54.613</v>
      </c>
      <c r="BO62" s="58">
        <v>24.565999999999999</v>
      </c>
      <c r="BP62" s="58">
        <v>30.047000000000001</v>
      </c>
      <c r="BQ62" s="58">
        <v>423.51600000000002</v>
      </c>
      <c r="BR62" s="58">
        <v>217.62700000000001</v>
      </c>
      <c r="BS62" s="58">
        <v>205.88800000000001</v>
      </c>
      <c r="BT62" s="58">
        <v>174.827</v>
      </c>
      <c r="BU62" s="58">
        <v>131.11600000000001</v>
      </c>
      <c r="BV62" s="58">
        <v>43.71</v>
      </c>
      <c r="BW62" s="58">
        <v>248.68899999999999</v>
      </c>
      <c r="BX62" s="58">
        <v>86.510999999999996</v>
      </c>
      <c r="BY62" s="58">
        <v>162.178</v>
      </c>
      <c r="BZ62" s="58">
        <v>197.095</v>
      </c>
      <c r="CA62" s="58">
        <v>148.45500000000001</v>
      </c>
      <c r="CB62" s="58">
        <v>48.64</v>
      </c>
      <c r="CC62" s="58">
        <v>277.64499999999998</v>
      </c>
      <c r="CD62" s="58">
        <v>99.498000000000005</v>
      </c>
      <c r="CE62" s="58">
        <v>178.14699999999999</v>
      </c>
      <c r="CF62" s="58">
        <v>264.78100000000001</v>
      </c>
      <c r="CG62" s="58">
        <v>99.23</v>
      </c>
      <c r="CH62" s="58">
        <v>165.55</v>
      </c>
      <c r="CI62" s="58">
        <v>2483.846</v>
      </c>
      <c r="CJ62" s="58">
        <v>1305.575</v>
      </c>
      <c r="CK62" s="58">
        <v>1178.2719999999999</v>
      </c>
      <c r="CL62" s="58">
        <v>1701.5350000000001</v>
      </c>
      <c r="CM62" s="58">
        <v>1054.106</v>
      </c>
      <c r="CN62" s="58">
        <v>647.42899999999997</v>
      </c>
      <c r="CO62" s="58">
        <v>782.31100000000004</v>
      </c>
      <c r="CP62" s="58">
        <v>251.46899999999999</v>
      </c>
      <c r="CQ62" s="58">
        <v>530.84299999999996</v>
      </c>
      <c r="CR62" s="58">
        <v>324.95100000000002</v>
      </c>
      <c r="CS62" s="58">
        <v>162.892</v>
      </c>
      <c r="CT62" s="58">
        <v>162.059</v>
      </c>
      <c r="CU62" s="58">
        <v>49.978000000000002</v>
      </c>
      <c r="CV62" s="58">
        <v>30.251999999999999</v>
      </c>
      <c r="CW62" s="58">
        <v>19.725999999999999</v>
      </c>
      <c r="CX62" s="58">
        <v>20.376999999999999</v>
      </c>
      <c r="CY62" s="58">
        <v>15.989000000000001</v>
      </c>
      <c r="CZ62" s="58">
        <v>4.3890000000000002</v>
      </c>
      <c r="DA62" s="58">
        <v>14.571</v>
      </c>
      <c r="DB62" s="58">
        <v>10.961</v>
      </c>
      <c r="DC62" s="58">
        <v>3.61</v>
      </c>
      <c r="DD62" s="58">
        <v>5.806</v>
      </c>
      <c r="DE62" s="58">
        <v>5.0270000000000001</v>
      </c>
      <c r="DF62" s="58">
        <v>0.77900000000000003</v>
      </c>
      <c r="DG62" s="58">
        <v>29.6</v>
      </c>
      <c r="DH62" s="58">
        <v>14.263</v>
      </c>
      <c r="DI62" s="58">
        <v>15.337</v>
      </c>
      <c r="DJ62" s="58">
        <v>296.67</v>
      </c>
      <c r="DK62" s="58">
        <v>145.40100000000001</v>
      </c>
      <c r="DL62" s="58">
        <v>151.26900000000001</v>
      </c>
      <c r="DM62" s="58">
        <v>98.712000000000003</v>
      </c>
      <c r="DN62" s="58">
        <v>68.430999999999997</v>
      </c>
      <c r="DO62" s="58">
        <v>30.280999999999999</v>
      </c>
      <c r="DP62" s="58">
        <v>197.958</v>
      </c>
      <c r="DQ62" s="58">
        <v>76.968999999999994</v>
      </c>
      <c r="DR62" s="58">
        <v>120.988</v>
      </c>
      <c r="DS62" s="58">
        <v>113.76</v>
      </c>
      <c r="DT62" s="58">
        <v>79.790000000000006</v>
      </c>
      <c r="DU62" s="58">
        <v>33.97</v>
      </c>
      <c r="DV62" s="58">
        <v>211.19200000000001</v>
      </c>
      <c r="DW62" s="58">
        <v>83.102000000000004</v>
      </c>
      <c r="DX62" s="58">
        <v>128.089</v>
      </c>
      <c r="DY62" s="58">
        <v>212.529</v>
      </c>
      <c r="DZ62" s="58">
        <v>87.930999999999997</v>
      </c>
      <c r="EA62" s="58">
        <v>124.598</v>
      </c>
      <c r="EB62" s="58">
        <v>842.35199999999998</v>
      </c>
      <c r="EC62" s="58">
        <v>445.37900000000002</v>
      </c>
      <c r="ED62" s="58">
        <v>396.97300000000001</v>
      </c>
      <c r="EE62" s="58">
        <v>541.63499999999999</v>
      </c>
      <c r="EF62" s="58">
        <v>353.39400000000001</v>
      </c>
      <c r="EG62" s="58">
        <v>188.24100000000001</v>
      </c>
      <c r="EH62" s="58">
        <v>300.71699999999998</v>
      </c>
      <c r="EI62" s="58">
        <v>91.984999999999999</v>
      </c>
      <c r="EJ62" s="58">
        <v>208.732</v>
      </c>
      <c r="EK62" s="58">
        <v>125.54600000000001</v>
      </c>
      <c r="EL62" s="58">
        <v>60.432000000000002</v>
      </c>
      <c r="EM62" s="58">
        <v>65.114000000000004</v>
      </c>
      <c r="EN62" s="58">
        <v>22.084</v>
      </c>
      <c r="EO62" s="58">
        <v>12.074999999999999</v>
      </c>
      <c r="EP62" s="58">
        <v>10.009</v>
      </c>
      <c r="EQ62" s="58">
        <v>7.3959999999999999</v>
      </c>
      <c r="ER62" s="58">
        <v>5.6890000000000001</v>
      </c>
      <c r="ES62" s="58">
        <v>1.706</v>
      </c>
      <c r="ET62" s="58">
        <v>3.984</v>
      </c>
      <c r="EU62" s="58">
        <v>2.8180000000000001</v>
      </c>
      <c r="EV62" s="58">
        <v>1.165</v>
      </c>
      <c r="EW62" s="58">
        <v>3.4119999999999999</v>
      </c>
      <c r="EX62" s="58">
        <v>2.871</v>
      </c>
      <c r="EY62" s="58">
        <v>0.54100000000000004</v>
      </c>
      <c r="EZ62" s="58">
        <v>14.688000000000001</v>
      </c>
      <c r="FA62" s="58">
        <v>6.3849999999999998</v>
      </c>
      <c r="FB62" s="58">
        <v>8.3030000000000008</v>
      </c>
      <c r="FC62" s="58">
        <v>112.221</v>
      </c>
      <c r="FD62" s="58">
        <v>53.293999999999997</v>
      </c>
      <c r="FE62" s="58">
        <v>58.927</v>
      </c>
      <c r="FF62" s="58">
        <v>35.899000000000001</v>
      </c>
      <c r="FG62" s="58">
        <v>24.751000000000001</v>
      </c>
      <c r="FH62" s="58">
        <v>11.148</v>
      </c>
      <c r="FI62" s="58">
        <v>76.322999999999993</v>
      </c>
      <c r="FJ62" s="58">
        <v>28.542999999999999</v>
      </c>
      <c r="FK62" s="58">
        <v>47.78</v>
      </c>
      <c r="FL62" s="58">
        <v>41.472999999999999</v>
      </c>
      <c r="FM62" s="58">
        <v>29.15</v>
      </c>
      <c r="FN62" s="58">
        <v>12.324</v>
      </c>
      <c r="FO62" s="58">
        <v>84.072000000000003</v>
      </c>
      <c r="FP62" s="58">
        <v>31.282</v>
      </c>
      <c r="FQ62" s="58">
        <v>52.790999999999997</v>
      </c>
      <c r="FR62" s="58">
        <v>80.305999999999997</v>
      </c>
      <c r="FS62" s="58">
        <v>31.361000000000001</v>
      </c>
      <c r="FT62" s="58">
        <v>48.945</v>
      </c>
      <c r="FU62" s="58">
        <v>1346.7370000000001</v>
      </c>
      <c r="FV62" s="58">
        <v>733.81700000000001</v>
      </c>
      <c r="FW62" s="58">
        <v>612.91999999999996</v>
      </c>
      <c r="FX62" s="58">
        <v>934.08299999999997</v>
      </c>
      <c r="FY62" s="58">
        <v>609.49900000000002</v>
      </c>
      <c r="FZ62" s="58">
        <v>324.584</v>
      </c>
      <c r="GA62" s="58">
        <v>412.654</v>
      </c>
      <c r="GB62" s="58">
        <v>124.318</v>
      </c>
      <c r="GC62" s="58">
        <v>288.33600000000001</v>
      </c>
      <c r="GD62" s="58">
        <v>216.27799999999999</v>
      </c>
      <c r="GE62" s="58">
        <v>111.98</v>
      </c>
      <c r="GF62" s="58">
        <v>104.29900000000001</v>
      </c>
      <c r="GG62" s="58">
        <v>42.134</v>
      </c>
      <c r="GH62" s="58">
        <v>25.004000000000001</v>
      </c>
      <c r="GI62" s="58">
        <v>17.13</v>
      </c>
      <c r="GJ62" s="58">
        <v>18.61</v>
      </c>
      <c r="GK62" s="58">
        <v>15.456</v>
      </c>
      <c r="GL62" s="58">
        <v>3.1539999999999999</v>
      </c>
      <c r="GM62" s="58">
        <v>10.592000000000001</v>
      </c>
      <c r="GN62" s="58">
        <v>8.5850000000000009</v>
      </c>
      <c r="GO62" s="58">
        <v>2.0059999999999998</v>
      </c>
      <c r="GP62" s="58">
        <v>8.0190000000000001</v>
      </c>
      <c r="GQ62" s="58">
        <v>6.8710000000000004</v>
      </c>
      <c r="GR62" s="58">
        <v>1.1479999999999999</v>
      </c>
      <c r="GS62" s="58">
        <v>23.524000000000001</v>
      </c>
      <c r="GT62" s="58">
        <v>9.548</v>
      </c>
      <c r="GU62" s="58">
        <v>13.975</v>
      </c>
      <c r="GV62" s="58">
        <v>191.03100000000001</v>
      </c>
      <c r="GW62" s="58">
        <v>96.938999999999993</v>
      </c>
      <c r="GX62" s="58">
        <v>94.093000000000004</v>
      </c>
      <c r="GY62" s="58">
        <v>75.308000000000007</v>
      </c>
      <c r="GZ62" s="58">
        <v>51.597000000000001</v>
      </c>
      <c r="HA62" s="58">
        <v>23.712</v>
      </c>
      <c r="HB62" s="58">
        <v>115.723</v>
      </c>
      <c r="HC62" s="58">
        <v>45.341999999999999</v>
      </c>
      <c r="HD62" s="58">
        <v>70.381</v>
      </c>
      <c r="HE62" s="58">
        <v>89.25</v>
      </c>
      <c r="HF62" s="58">
        <v>62.719000000000001</v>
      </c>
      <c r="HG62" s="58">
        <v>26.530999999999999</v>
      </c>
      <c r="HH62" s="58">
        <v>127.02800000000001</v>
      </c>
      <c r="HI62" s="58">
        <v>49.26</v>
      </c>
      <c r="HJ62" s="58">
        <v>77.768000000000001</v>
      </c>
      <c r="HK62" s="58">
        <v>126.315</v>
      </c>
      <c r="HL62" s="58">
        <v>53.927</v>
      </c>
      <c r="HM62" s="58">
        <v>72.388000000000005</v>
      </c>
      <c r="HN62" s="58">
        <v>251.11600000000001</v>
      </c>
      <c r="HO62" s="58">
        <v>131.55699999999999</v>
      </c>
      <c r="HP62" s="58">
        <v>119.559</v>
      </c>
      <c r="HQ62" s="58">
        <v>154.68600000000001</v>
      </c>
      <c r="HR62" s="58">
        <v>100.81100000000001</v>
      </c>
      <c r="HS62" s="58">
        <v>53.875</v>
      </c>
      <c r="HT62" s="58">
        <v>96.430999999999997</v>
      </c>
      <c r="HU62" s="58">
        <v>30.747</v>
      </c>
      <c r="HV62" s="58">
        <v>65.683999999999997</v>
      </c>
      <c r="HW62" s="58">
        <v>39.783000000000001</v>
      </c>
      <c r="HX62" s="58">
        <v>19.138000000000002</v>
      </c>
      <c r="HY62" s="58">
        <v>20.645</v>
      </c>
      <c r="HZ62" s="58">
        <v>7.3239999999999998</v>
      </c>
      <c r="IA62" s="58">
        <v>4.0229999999999997</v>
      </c>
      <c r="IB62" s="58">
        <v>3.3010000000000002</v>
      </c>
      <c r="IC62" s="58">
        <v>1.7110000000000001</v>
      </c>
      <c r="ID62" s="58">
        <v>1.498</v>
      </c>
      <c r="IE62" s="58">
        <v>0.21299999999999999</v>
      </c>
      <c r="IF62" s="58">
        <v>1.3819999999999999</v>
      </c>
      <c r="IG62" s="58">
        <v>1.169</v>
      </c>
      <c r="IH62" s="58">
        <v>0.21299999999999999</v>
      </c>
      <c r="II62" s="58">
        <v>0.32900000000000001</v>
      </c>
      <c r="IJ62" s="58">
        <v>0.32900000000000001</v>
      </c>
      <c r="IK62" s="58">
        <v>0</v>
      </c>
      <c r="IL62" s="58">
        <v>5.6130000000000004</v>
      </c>
      <c r="IM62" s="58">
        <v>2.5259999999999998</v>
      </c>
      <c r="IN62" s="58">
        <v>3.0870000000000002</v>
      </c>
      <c r="IO62" s="58">
        <v>35.883000000000003</v>
      </c>
      <c r="IP62" s="58">
        <v>16.773</v>
      </c>
      <c r="IQ62" s="58">
        <v>19.11</v>
      </c>
    </row>
    <row r="63" spans="1:251">
      <c r="A63" s="5">
        <v>43405</v>
      </c>
      <c r="B63" s="58">
        <v>1074.3789999999999</v>
      </c>
      <c r="C63" s="58">
        <v>1227.8979999999999</v>
      </c>
      <c r="D63" s="58">
        <v>392.07299999999998</v>
      </c>
      <c r="E63" s="58">
        <v>835.82399999999996</v>
      </c>
      <c r="F63" s="58">
        <v>565.08000000000004</v>
      </c>
      <c r="G63" s="58">
        <v>306.82299999999998</v>
      </c>
      <c r="H63" s="58">
        <v>258.25700000000001</v>
      </c>
      <c r="I63" s="58">
        <v>93.111000000000004</v>
      </c>
      <c r="J63" s="58">
        <v>54.390999999999998</v>
      </c>
      <c r="K63" s="58">
        <v>38.72</v>
      </c>
      <c r="L63" s="58">
        <v>35.563000000000002</v>
      </c>
      <c r="M63" s="58">
        <v>26.417000000000002</v>
      </c>
      <c r="N63" s="58">
        <v>9.1460000000000008</v>
      </c>
      <c r="O63" s="58">
        <v>19.228000000000002</v>
      </c>
      <c r="P63" s="58">
        <v>14.547000000000001</v>
      </c>
      <c r="Q63" s="58">
        <v>4.68</v>
      </c>
      <c r="R63" s="58">
        <v>16.335999999999999</v>
      </c>
      <c r="S63" s="58">
        <v>11.869</v>
      </c>
      <c r="T63" s="58">
        <v>4.4660000000000002</v>
      </c>
      <c r="U63" s="58">
        <v>57.548000000000002</v>
      </c>
      <c r="V63" s="58">
        <v>27.974</v>
      </c>
      <c r="W63" s="58">
        <v>29.574000000000002</v>
      </c>
      <c r="X63" s="58">
        <v>505.85700000000003</v>
      </c>
      <c r="Y63" s="58">
        <v>268.78800000000001</v>
      </c>
      <c r="Z63" s="58">
        <v>237.06899999999999</v>
      </c>
      <c r="AA63" s="58">
        <v>189.14599999999999</v>
      </c>
      <c r="AB63" s="58">
        <v>137.285</v>
      </c>
      <c r="AC63" s="58">
        <v>51.860999999999997</v>
      </c>
      <c r="AD63" s="58">
        <v>316.71199999999999</v>
      </c>
      <c r="AE63" s="58">
        <v>131.50399999999999</v>
      </c>
      <c r="AF63" s="58">
        <v>185.208</v>
      </c>
      <c r="AG63" s="58">
        <v>218.01300000000001</v>
      </c>
      <c r="AH63" s="58">
        <v>159.60300000000001</v>
      </c>
      <c r="AI63" s="58">
        <v>58.41</v>
      </c>
      <c r="AJ63" s="58">
        <v>347.06700000000001</v>
      </c>
      <c r="AK63" s="58">
        <v>147.221</v>
      </c>
      <c r="AL63" s="58">
        <v>199.846</v>
      </c>
      <c r="AM63" s="58">
        <v>335.93900000000002</v>
      </c>
      <c r="AN63" s="58">
        <v>146.05099999999999</v>
      </c>
      <c r="AO63" s="58">
        <v>189.88800000000001</v>
      </c>
      <c r="AP63" s="58">
        <v>3360.0619999999999</v>
      </c>
      <c r="AQ63" s="58">
        <v>1793.194</v>
      </c>
      <c r="AR63" s="58">
        <v>1566.8679999999999</v>
      </c>
      <c r="AS63" s="58">
        <v>2278.5450000000001</v>
      </c>
      <c r="AT63" s="58">
        <v>1452.107</v>
      </c>
      <c r="AU63" s="58">
        <v>826.43799999999999</v>
      </c>
      <c r="AV63" s="58">
        <v>1081.5170000000001</v>
      </c>
      <c r="AW63" s="58">
        <v>341.08800000000002</v>
      </c>
      <c r="AX63" s="58">
        <v>740.43</v>
      </c>
      <c r="AY63" s="58">
        <v>486.44099999999997</v>
      </c>
      <c r="AZ63" s="58">
        <v>255.17599999999999</v>
      </c>
      <c r="BA63" s="58">
        <v>231.26499999999999</v>
      </c>
      <c r="BB63" s="58">
        <v>83.853999999999999</v>
      </c>
      <c r="BC63" s="58">
        <v>50.158999999999999</v>
      </c>
      <c r="BD63" s="58">
        <v>33.695</v>
      </c>
      <c r="BE63" s="58">
        <v>33.210999999999999</v>
      </c>
      <c r="BF63" s="58">
        <v>25.484000000000002</v>
      </c>
      <c r="BG63" s="58">
        <v>7.7270000000000003</v>
      </c>
      <c r="BH63" s="58">
        <v>19.449000000000002</v>
      </c>
      <c r="BI63" s="58">
        <v>14.351000000000001</v>
      </c>
      <c r="BJ63" s="58">
        <v>5.0979999999999999</v>
      </c>
      <c r="BK63" s="58">
        <v>13.762</v>
      </c>
      <c r="BL63" s="58">
        <v>11.132999999999999</v>
      </c>
      <c r="BM63" s="58">
        <v>2.629</v>
      </c>
      <c r="BN63" s="58">
        <v>50.643000000000001</v>
      </c>
      <c r="BO63" s="58">
        <v>24.675000000000001</v>
      </c>
      <c r="BP63" s="58">
        <v>25.968</v>
      </c>
      <c r="BQ63" s="58">
        <v>439.05399999999997</v>
      </c>
      <c r="BR63" s="58">
        <v>225.386</v>
      </c>
      <c r="BS63" s="58">
        <v>213.66800000000001</v>
      </c>
      <c r="BT63" s="58">
        <v>163.059</v>
      </c>
      <c r="BU63" s="58">
        <v>116.202</v>
      </c>
      <c r="BV63" s="58">
        <v>46.856000000000002</v>
      </c>
      <c r="BW63" s="58">
        <v>275.995</v>
      </c>
      <c r="BX63" s="58">
        <v>109.184</v>
      </c>
      <c r="BY63" s="58">
        <v>166.81100000000001</v>
      </c>
      <c r="BZ63" s="58">
        <v>186.30199999999999</v>
      </c>
      <c r="CA63" s="58">
        <v>134.345</v>
      </c>
      <c r="CB63" s="58">
        <v>51.957000000000001</v>
      </c>
      <c r="CC63" s="58">
        <v>300.13900000000001</v>
      </c>
      <c r="CD63" s="58">
        <v>120.83199999999999</v>
      </c>
      <c r="CE63" s="58">
        <v>179.30699999999999</v>
      </c>
      <c r="CF63" s="58">
        <v>295.44400000000002</v>
      </c>
      <c r="CG63" s="58">
        <v>123.535</v>
      </c>
      <c r="CH63" s="58">
        <v>171.90899999999999</v>
      </c>
      <c r="CI63" s="58">
        <v>2510.2150000000001</v>
      </c>
      <c r="CJ63" s="58">
        <v>1314.107</v>
      </c>
      <c r="CK63" s="58">
        <v>1196.1079999999999</v>
      </c>
      <c r="CL63" s="58">
        <v>1695.0060000000001</v>
      </c>
      <c r="CM63" s="58">
        <v>1057.48</v>
      </c>
      <c r="CN63" s="58">
        <v>637.52599999999995</v>
      </c>
      <c r="CO63" s="58">
        <v>815.20899999999995</v>
      </c>
      <c r="CP63" s="58">
        <v>256.62700000000001</v>
      </c>
      <c r="CQ63" s="58">
        <v>558.58199999999999</v>
      </c>
      <c r="CR63" s="58">
        <v>367.49799999999999</v>
      </c>
      <c r="CS63" s="58">
        <v>183.73099999999999</v>
      </c>
      <c r="CT63" s="58">
        <v>183.767</v>
      </c>
      <c r="CU63" s="58">
        <v>75.637</v>
      </c>
      <c r="CV63" s="58">
        <v>44.747999999999998</v>
      </c>
      <c r="CW63" s="58">
        <v>30.888999999999999</v>
      </c>
      <c r="CX63" s="58">
        <v>32.112000000000002</v>
      </c>
      <c r="CY63" s="58">
        <v>25.488</v>
      </c>
      <c r="CZ63" s="58">
        <v>6.6239999999999997</v>
      </c>
      <c r="DA63" s="58">
        <v>18.835999999999999</v>
      </c>
      <c r="DB63" s="58">
        <v>15.348000000000001</v>
      </c>
      <c r="DC63" s="58">
        <v>3.488</v>
      </c>
      <c r="DD63" s="58">
        <v>13.276999999999999</v>
      </c>
      <c r="DE63" s="58">
        <v>10.14</v>
      </c>
      <c r="DF63" s="58">
        <v>3.1360000000000001</v>
      </c>
      <c r="DG63" s="58">
        <v>43.524000000000001</v>
      </c>
      <c r="DH63" s="58">
        <v>19.260000000000002</v>
      </c>
      <c r="DI63" s="58">
        <v>24.265000000000001</v>
      </c>
      <c r="DJ63" s="58">
        <v>319.18200000000002</v>
      </c>
      <c r="DK63" s="58">
        <v>153.22499999999999</v>
      </c>
      <c r="DL63" s="58">
        <v>165.95699999999999</v>
      </c>
      <c r="DM63" s="58">
        <v>94.304000000000002</v>
      </c>
      <c r="DN63" s="58">
        <v>66.98</v>
      </c>
      <c r="DO63" s="58">
        <v>27.324000000000002</v>
      </c>
      <c r="DP63" s="58">
        <v>224.87799999999999</v>
      </c>
      <c r="DQ63" s="58">
        <v>86.245000000000005</v>
      </c>
      <c r="DR63" s="58">
        <v>138.63300000000001</v>
      </c>
      <c r="DS63" s="58">
        <v>120.599</v>
      </c>
      <c r="DT63" s="58">
        <v>88.097999999999999</v>
      </c>
      <c r="DU63" s="58">
        <v>32.5</v>
      </c>
      <c r="DV63" s="58">
        <v>246.899</v>
      </c>
      <c r="DW63" s="58">
        <v>95.632999999999996</v>
      </c>
      <c r="DX63" s="58">
        <v>151.267</v>
      </c>
      <c r="DY63" s="58">
        <v>243.714</v>
      </c>
      <c r="DZ63" s="58">
        <v>101.593</v>
      </c>
      <c r="EA63" s="58">
        <v>142.12100000000001</v>
      </c>
      <c r="EB63" s="58">
        <v>845.37</v>
      </c>
      <c r="EC63" s="58">
        <v>443.375</v>
      </c>
      <c r="ED63" s="58">
        <v>401.995</v>
      </c>
      <c r="EE63" s="58">
        <v>552.31100000000004</v>
      </c>
      <c r="EF63" s="58">
        <v>360.71</v>
      </c>
      <c r="EG63" s="58">
        <v>191.6</v>
      </c>
      <c r="EH63" s="58">
        <v>293.05900000000003</v>
      </c>
      <c r="EI63" s="58">
        <v>82.665000000000006</v>
      </c>
      <c r="EJ63" s="58">
        <v>210.39500000000001</v>
      </c>
      <c r="EK63" s="58">
        <v>127.96299999999999</v>
      </c>
      <c r="EL63" s="58">
        <v>60</v>
      </c>
      <c r="EM63" s="58">
        <v>67.962999999999994</v>
      </c>
      <c r="EN63" s="58">
        <v>26.056999999999999</v>
      </c>
      <c r="EO63" s="58">
        <v>16.289000000000001</v>
      </c>
      <c r="EP63" s="58">
        <v>9.7680000000000007</v>
      </c>
      <c r="EQ63" s="58">
        <v>10.954000000000001</v>
      </c>
      <c r="ER63" s="58">
        <v>9.0359999999999996</v>
      </c>
      <c r="ES63" s="58">
        <v>1.9179999999999999</v>
      </c>
      <c r="ET63" s="58">
        <v>6.13</v>
      </c>
      <c r="EU63" s="58">
        <v>4.7080000000000002</v>
      </c>
      <c r="EV63" s="58">
        <v>1.4219999999999999</v>
      </c>
      <c r="EW63" s="58">
        <v>4.8239999999999998</v>
      </c>
      <c r="EX63" s="58">
        <v>4.3280000000000003</v>
      </c>
      <c r="EY63" s="58">
        <v>0.496</v>
      </c>
      <c r="EZ63" s="58">
        <v>15.103</v>
      </c>
      <c r="FA63" s="58">
        <v>7.2530000000000001</v>
      </c>
      <c r="FB63" s="58">
        <v>7.85</v>
      </c>
      <c r="FC63" s="58">
        <v>112.91200000000001</v>
      </c>
      <c r="FD63" s="58">
        <v>50.021999999999998</v>
      </c>
      <c r="FE63" s="58">
        <v>62.89</v>
      </c>
      <c r="FF63" s="58">
        <v>35.168999999999997</v>
      </c>
      <c r="FG63" s="58">
        <v>23.774999999999999</v>
      </c>
      <c r="FH63" s="58">
        <v>11.394</v>
      </c>
      <c r="FI63" s="58">
        <v>77.742999999999995</v>
      </c>
      <c r="FJ63" s="58">
        <v>26.247</v>
      </c>
      <c r="FK63" s="58">
        <v>51.496000000000002</v>
      </c>
      <c r="FL63" s="58">
        <v>43.808999999999997</v>
      </c>
      <c r="FM63" s="58">
        <v>31.448</v>
      </c>
      <c r="FN63" s="58">
        <v>12.361000000000001</v>
      </c>
      <c r="FO63" s="58">
        <v>84.153999999999996</v>
      </c>
      <c r="FP63" s="58">
        <v>28.550999999999998</v>
      </c>
      <c r="FQ63" s="58">
        <v>55.601999999999997</v>
      </c>
      <c r="FR63" s="58">
        <v>83.873000000000005</v>
      </c>
      <c r="FS63" s="58">
        <v>30.954999999999998</v>
      </c>
      <c r="FT63" s="58">
        <v>52.917999999999999</v>
      </c>
      <c r="FU63" s="58">
        <v>1351.7729999999999</v>
      </c>
      <c r="FV63" s="58">
        <v>730.41399999999999</v>
      </c>
      <c r="FW63" s="58">
        <v>621.35900000000004</v>
      </c>
      <c r="FX63" s="58">
        <v>942.23199999999997</v>
      </c>
      <c r="FY63" s="58">
        <v>616.471</v>
      </c>
      <c r="FZ63" s="58">
        <v>325.76100000000002</v>
      </c>
      <c r="GA63" s="58">
        <v>409.541</v>
      </c>
      <c r="GB63" s="58">
        <v>113.944</v>
      </c>
      <c r="GC63" s="58">
        <v>295.59699999999998</v>
      </c>
      <c r="GD63" s="58">
        <v>210.40100000000001</v>
      </c>
      <c r="GE63" s="58">
        <v>106.29900000000001</v>
      </c>
      <c r="GF63" s="58">
        <v>104.102</v>
      </c>
      <c r="GG63" s="58">
        <v>44.902999999999999</v>
      </c>
      <c r="GH63" s="58">
        <v>27.83</v>
      </c>
      <c r="GI63" s="58">
        <v>17.073</v>
      </c>
      <c r="GJ63" s="58">
        <v>23.681000000000001</v>
      </c>
      <c r="GK63" s="58">
        <v>17.966999999999999</v>
      </c>
      <c r="GL63" s="58">
        <v>5.7140000000000004</v>
      </c>
      <c r="GM63" s="58">
        <v>13.48</v>
      </c>
      <c r="GN63" s="58">
        <v>10.041</v>
      </c>
      <c r="GO63" s="58">
        <v>3.4390000000000001</v>
      </c>
      <c r="GP63" s="58">
        <v>10.201000000000001</v>
      </c>
      <c r="GQ63" s="58">
        <v>7.9260000000000002</v>
      </c>
      <c r="GR63" s="58">
        <v>2.2749999999999999</v>
      </c>
      <c r="GS63" s="58">
        <v>21.222000000000001</v>
      </c>
      <c r="GT63" s="58">
        <v>9.8620000000000001</v>
      </c>
      <c r="GU63" s="58">
        <v>11.36</v>
      </c>
      <c r="GV63" s="58">
        <v>183.75200000000001</v>
      </c>
      <c r="GW63" s="58">
        <v>89.975999999999999</v>
      </c>
      <c r="GX63" s="58">
        <v>93.777000000000001</v>
      </c>
      <c r="GY63" s="58">
        <v>68.861000000000004</v>
      </c>
      <c r="GZ63" s="58">
        <v>49.941000000000003</v>
      </c>
      <c r="HA63" s="58">
        <v>18.920999999999999</v>
      </c>
      <c r="HB63" s="58">
        <v>114.89100000000001</v>
      </c>
      <c r="HC63" s="58">
        <v>40.034999999999997</v>
      </c>
      <c r="HD63" s="58">
        <v>74.855999999999995</v>
      </c>
      <c r="HE63" s="58">
        <v>86.587999999999994</v>
      </c>
      <c r="HF63" s="58">
        <v>62.787999999999997</v>
      </c>
      <c r="HG63" s="58">
        <v>23.8</v>
      </c>
      <c r="HH63" s="58">
        <v>123.813</v>
      </c>
      <c r="HI63" s="58">
        <v>43.511000000000003</v>
      </c>
      <c r="HJ63" s="58">
        <v>80.301000000000002</v>
      </c>
      <c r="HK63" s="58">
        <v>128.37100000000001</v>
      </c>
      <c r="HL63" s="58">
        <v>50.076000000000001</v>
      </c>
      <c r="HM63" s="58">
        <v>78.295000000000002</v>
      </c>
      <c r="HN63" s="58">
        <v>249.55</v>
      </c>
      <c r="HO63" s="58">
        <v>130.464</v>
      </c>
      <c r="HP63" s="58">
        <v>119.086</v>
      </c>
      <c r="HQ63" s="58">
        <v>156.048</v>
      </c>
      <c r="HR63" s="58">
        <v>101.06</v>
      </c>
      <c r="HS63" s="58">
        <v>54.988</v>
      </c>
      <c r="HT63" s="58">
        <v>93.501999999999995</v>
      </c>
      <c r="HU63" s="58">
        <v>29.404</v>
      </c>
      <c r="HV63" s="58">
        <v>64.097999999999999</v>
      </c>
      <c r="HW63" s="58">
        <v>41.183999999999997</v>
      </c>
      <c r="HX63" s="58">
        <v>18.722999999999999</v>
      </c>
      <c r="HY63" s="58">
        <v>22.462</v>
      </c>
      <c r="HZ63" s="58">
        <v>8.3160000000000007</v>
      </c>
      <c r="IA63" s="58">
        <v>3.7440000000000002</v>
      </c>
      <c r="IB63" s="58">
        <v>4.5730000000000004</v>
      </c>
      <c r="IC63" s="58">
        <v>1.7150000000000001</v>
      </c>
      <c r="ID63" s="58">
        <v>1.0820000000000001</v>
      </c>
      <c r="IE63" s="58">
        <v>0.63400000000000001</v>
      </c>
      <c r="IF63" s="58">
        <v>1.1060000000000001</v>
      </c>
      <c r="IG63" s="58">
        <v>0.66600000000000004</v>
      </c>
      <c r="IH63" s="58">
        <v>0.44</v>
      </c>
      <c r="II63" s="58">
        <v>0.60899999999999999</v>
      </c>
      <c r="IJ63" s="58">
        <v>0.41599999999999998</v>
      </c>
      <c r="IK63" s="58">
        <v>0.193</v>
      </c>
      <c r="IL63" s="58">
        <v>6.601</v>
      </c>
      <c r="IM63" s="58">
        <v>2.6619999999999999</v>
      </c>
      <c r="IN63" s="58">
        <v>3.9390000000000001</v>
      </c>
      <c r="IO63" s="58">
        <v>37.225999999999999</v>
      </c>
      <c r="IP63" s="58">
        <v>16.39</v>
      </c>
      <c r="IQ63" s="58">
        <v>20.835000000000001</v>
      </c>
    </row>
    <row r="64" spans="1:251">
      <c r="A64" s="5">
        <v>43435</v>
      </c>
      <c r="B64" s="58">
        <v>1082.001</v>
      </c>
      <c r="C64" s="58">
        <v>1263.0050000000001</v>
      </c>
      <c r="D64" s="58">
        <v>423.67899999999997</v>
      </c>
      <c r="E64" s="58">
        <v>839.32500000000005</v>
      </c>
      <c r="F64" s="58">
        <v>560.18700000000001</v>
      </c>
      <c r="G64" s="58">
        <v>306.65499999999997</v>
      </c>
      <c r="H64" s="58">
        <v>253.53200000000001</v>
      </c>
      <c r="I64" s="58">
        <v>103.851</v>
      </c>
      <c r="J64" s="58">
        <v>64.052999999999997</v>
      </c>
      <c r="K64" s="58">
        <v>39.798000000000002</v>
      </c>
      <c r="L64" s="58">
        <v>43.151000000000003</v>
      </c>
      <c r="M64" s="58">
        <v>34.677999999999997</v>
      </c>
      <c r="N64" s="58">
        <v>8.4730000000000008</v>
      </c>
      <c r="O64" s="58">
        <v>22.225000000000001</v>
      </c>
      <c r="P64" s="58">
        <v>16.684999999999999</v>
      </c>
      <c r="Q64" s="58">
        <v>5.5389999999999997</v>
      </c>
      <c r="R64" s="58">
        <v>20.927</v>
      </c>
      <c r="S64" s="58">
        <v>17.992999999999999</v>
      </c>
      <c r="T64" s="58">
        <v>2.9340000000000002</v>
      </c>
      <c r="U64" s="58">
        <v>60.7</v>
      </c>
      <c r="V64" s="58">
        <v>29.373999999999999</v>
      </c>
      <c r="W64" s="58">
        <v>31.324999999999999</v>
      </c>
      <c r="X64" s="58">
        <v>501.23399999999998</v>
      </c>
      <c r="Y64" s="58">
        <v>267.39999999999998</v>
      </c>
      <c r="Z64" s="58">
        <v>233.834</v>
      </c>
      <c r="AA64" s="58">
        <v>182.35300000000001</v>
      </c>
      <c r="AB64" s="58">
        <v>135.89500000000001</v>
      </c>
      <c r="AC64" s="58">
        <v>46.457000000000001</v>
      </c>
      <c r="AD64" s="58">
        <v>318.88099999999997</v>
      </c>
      <c r="AE64" s="58">
        <v>131.505</v>
      </c>
      <c r="AF64" s="58">
        <v>187.376</v>
      </c>
      <c r="AG64" s="58">
        <v>217.35599999999999</v>
      </c>
      <c r="AH64" s="58">
        <v>163.536</v>
      </c>
      <c r="AI64" s="58">
        <v>53.82</v>
      </c>
      <c r="AJ64" s="58">
        <v>342.83100000000002</v>
      </c>
      <c r="AK64" s="58">
        <v>143.119</v>
      </c>
      <c r="AL64" s="58">
        <v>199.71199999999999</v>
      </c>
      <c r="AM64" s="58">
        <v>341.10599999999999</v>
      </c>
      <c r="AN64" s="58">
        <v>148.19</v>
      </c>
      <c r="AO64" s="58">
        <v>192.916</v>
      </c>
      <c r="AP64" s="58">
        <v>3400.32</v>
      </c>
      <c r="AQ64" s="58">
        <v>1807.125</v>
      </c>
      <c r="AR64" s="58">
        <v>1593.1949999999999</v>
      </c>
      <c r="AS64" s="58">
        <v>2314.8560000000002</v>
      </c>
      <c r="AT64" s="58">
        <v>1460.6369999999999</v>
      </c>
      <c r="AU64" s="58">
        <v>854.21900000000005</v>
      </c>
      <c r="AV64" s="58">
        <v>1085.4639999999999</v>
      </c>
      <c r="AW64" s="58">
        <v>346.488</v>
      </c>
      <c r="AX64" s="58">
        <v>738.97500000000002</v>
      </c>
      <c r="AY64" s="58">
        <v>539.50599999999997</v>
      </c>
      <c r="AZ64" s="58">
        <v>273.08999999999997</v>
      </c>
      <c r="BA64" s="58">
        <v>266.41699999999997</v>
      </c>
      <c r="BB64" s="58">
        <v>91.75</v>
      </c>
      <c r="BC64" s="58">
        <v>44.375999999999998</v>
      </c>
      <c r="BD64" s="58">
        <v>47.375</v>
      </c>
      <c r="BE64" s="58">
        <v>35.924999999999997</v>
      </c>
      <c r="BF64" s="58">
        <v>24.34</v>
      </c>
      <c r="BG64" s="58">
        <v>11.586</v>
      </c>
      <c r="BH64" s="58">
        <v>16.396000000000001</v>
      </c>
      <c r="BI64" s="58">
        <v>10.135999999999999</v>
      </c>
      <c r="BJ64" s="58">
        <v>6.26</v>
      </c>
      <c r="BK64" s="58">
        <v>19.529</v>
      </c>
      <c r="BL64" s="58">
        <v>14.202999999999999</v>
      </c>
      <c r="BM64" s="58">
        <v>5.3259999999999996</v>
      </c>
      <c r="BN64" s="58">
        <v>55.825000000000003</v>
      </c>
      <c r="BO64" s="58">
        <v>20.036000000000001</v>
      </c>
      <c r="BP64" s="58">
        <v>35.789000000000001</v>
      </c>
      <c r="BQ64" s="58">
        <v>490.935</v>
      </c>
      <c r="BR64" s="58">
        <v>250.08199999999999</v>
      </c>
      <c r="BS64" s="58">
        <v>240.85300000000001</v>
      </c>
      <c r="BT64" s="58">
        <v>189.31399999999999</v>
      </c>
      <c r="BU64" s="58">
        <v>127.771</v>
      </c>
      <c r="BV64" s="58">
        <v>61.542999999999999</v>
      </c>
      <c r="BW64" s="58">
        <v>301.62200000000001</v>
      </c>
      <c r="BX64" s="58">
        <v>122.31100000000001</v>
      </c>
      <c r="BY64" s="58">
        <v>179.31100000000001</v>
      </c>
      <c r="BZ64" s="58">
        <v>213.54900000000001</v>
      </c>
      <c r="CA64" s="58">
        <v>143.51</v>
      </c>
      <c r="CB64" s="58">
        <v>70.039000000000001</v>
      </c>
      <c r="CC64" s="58">
        <v>325.95699999999999</v>
      </c>
      <c r="CD64" s="58">
        <v>129.58000000000001</v>
      </c>
      <c r="CE64" s="58">
        <v>196.37700000000001</v>
      </c>
      <c r="CF64" s="58">
        <v>318.01799999999997</v>
      </c>
      <c r="CG64" s="58">
        <v>132.447</v>
      </c>
      <c r="CH64" s="58">
        <v>185.571</v>
      </c>
      <c r="CI64" s="58">
        <v>2536.9569999999999</v>
      </c>
      <c r="CJ64" s="58">
        <v>1334.626</v>
      </c>
      <c r="CK64" s="58">
        <v>1202.3309999999999</v>
      </c>
      <c r="CL64" s="58">
        <v>1762.6079999999999</v>
      </c>
      <c r="CM64" s="58">
        <v>1092.4770000000001</v>
      </c>
      <c r="CN64" s="58">
        <v>670.13099999999997</v>
      </c>
      <c r="CO64" s="58">
        <v>774.35</v>
      </c>
      <c r="CP64" s="58">
        <v>242.15</v>
      </c>
      <c r="CQ64" s="58">
        <v>532.20000000000005</v>
      </c>
      <c r="CR64" s="58">
        <v>388.67</v>
      </c>
      <c r="CS64" s="58">
        <v>187.42</v>
      </c>
      <c r="CT64" s="58">
        <v>201.25</v>
      </c>
      <c r="CU64" s="58">
        <v>69.378</v>
      </c>
      <c r="CV64" s="58">
        <v>35.540999999999997</v>
      </c>
      <c r="CW64" s="58">
        <v>33.837000000000003</v>
      </c>
      <c r="CX64" s="58">
        <v>30.582000000000001</v>
      </c>
      <c r="CY64" s="58">
        <v>22.286999999999999</v>
      </c>
      <c r="CZ64" s="58">
        <v>8.2940000000000005</v>
      </c>
      <c r="DA64" s="58">
        <v>17.61</v>
      </c>
      <c r="DB64" s="58">
        <v>12.827999999999999</v>
      </c>
      <c r="DC64" s="58">
        <v>4.7809999999999997</v>
      </c>
      <c r="DD64" s="58">
        <v>12.972</v>
      </c>
      <c r="DE64" s="58">
        <v>9.4589999999999996</v>
      </c>
      <c r="DF64" s="58">
        <v>3.5129999999999999</v>
      </c>
      <c r="DG64" s="58">
        <v>38.795999999999999</v>
      </c>
      <c r="DH64" s="58">
        <v>13.254</v>
      </c>
      <c r="DI64" s="58">
        <v>25.542999999999999</v>
      </c>
      <c r="DJ64" s="58">
        <v>345.952</v>
      </c>
      <c r="DK64" s="58">
        <v>163.625</v>
      </c>
      <c r="DL64" s="58">
        <v>182.327</v>
      </c>
      <c r="DM64" s="58">
        <v>114.145</v>
      </c>
      <c r="DN64" s="58">
        <v>79.436999999999998</v>
      </c>
      <c r="DO64" s="58">
        <v>34.707999999999998</v>
      </c>
      <c r="DP64" s="58">
        <v>231.80699999999999</v>
      </c>
      <c r="DQ64" s="58">
        <v>84.186999999999998</v>
      </c>
      <c r="DR64" s="58">
        <v>147.619</v>
      </c>
      <c r="DS64" s="58">
        <v>137.399</v>
      </c>
      <c r="DT64" s="58">
        <v>96.861000000000004</v>
      </c>
      <c r="DU64" s="58">
        <v>40.537999999999997</v>
      </c>
      <c r="DV64" s="58">
        <v>251.27099999999999</v>
      </c>
      <c r="DW64" s="58">
        <v>90.558999999999997</v>
      </c>
      <c r="DX64" s="58">
        <v>160.71199999999999</v>
      </c>
      <c r="DY64" s="58">
        <v>249.416</v>
      </c>
      <c r="DZ64" s="58">
        <v>97.016000000000005</v>
      </c>
      <c r="EA64" s="58">
        <v>152.4</v>
      </c>
      <c r="EB64" s="58">
        <v>851.8</v>
      </c>
      <c r="EC64" s="58">
        <v>449.49400000000003</v>
      </c>
      <c r="ED64" s="58">
        <v>402.30599999999998</v>
      </c>
      <c r="EE64" s="58">
        <v>561.24699999999996</v>
      </c>
      <c r="EF64" s="58">
        <v>366.72899999999998</v>
      </c>
      <c r="EG64" s="58">
        <v>194.518</v>
      </c>
      <c r="EH64" s="58">
        <v>290.553</v>
      </c>
      <c r="EI64" s="58">
        <v>82.765000000000001</v>
      </c>
      <c r="EJ64" s="58">
        <v>207.78800000000001</v>
      </c>
      <c r="EK64" s="58">
        <v>128.12799999999999</v>
      </c>
      <c r="EL64" s="58">
        <v>61.088999999999999</v>
      </c>
      <c r="EM64" s="58">
        <v>67.039000000000001</v>
      </c>
      <c r="EN64" s="58">
        <v>26.832000000000001</v>
      </c>
      <c r="EO64" s="58">
        <v>12.632</v>
      </c>
      <c r="EP64" s="58">
        <v>14.201000000000001</v>
      </c>
      <c r="EQ64" s="58">
        <v>8.9309999999999992</v>
      </c>
      <c r="ER64" s="58">
        <v>6.0259999999999998</v>
      </c>
      <c r="ES64" s="58">
        <v>2.9039999999999999</v>
      </c>
      <c r="ET64" s="58">
        <v>4.7</v>
      </c>
      <c r="EU64" s="58">
        <v>2.5299999999999998</v>
      </c>
      <c r="EV64" s="58">
        <v>2.17</v>
      </c>
      <c r="EW64" s="58">
        <v>4.2309999999999999</v>
      </c>
      <c r="EX64" s="58">
        <v>3.4969999999999999</v>
      </c>
      <c r="EY64" s="58">
        <v>0.73399999999999999</v>
      </c>
      <c r="EZ64" s="58">
        <v>17.902000000000001</v>
      </c>
      <c r="FA64" s="58">
        <v>6.6050000000000004</v>
      </c>
      <c r="FB64" s="58">
        <v>11.297000000000001</v>
      </c>
      <c r="FC64" s="58">
        <v>115.249</v>
      </c>
      <c r="FD64" s="58">
        <v>54.643000000000001</v>
      </c>
      <c r="FE64" s="58">
        <v>60.606000000000002</v>
      </c>
      <c r="FF64" s="58">
        <v>36.933</v>
      </c>
      <c r="FG64" s="58">
        <v>25.821000000000002</v>
      </c>
      <c r="FH64" s="58">
        <v>11.112</v>
      </c>
      <c r="FI64" s="58">
        <v>78.314999999999998</v>
      </c>
      <c r="FJ64" s="58">
        <v>28.821999999999999</v>
      </c>
      <c r="FK64" s="58">
        <v>49.493000000000002</v>
      </c>
      <c r="FL64" s="58">
        <v>42.101999999999997</v>
      </c>
      <c r="FM64" s="58">
        <v>29.829000000000001</v>
      </c>
      <c r="FN64" s="58">
        <v>12.272</v>
      </c>
      <c r="FO64" s="58">
        <v>86.027000000000001</v>
      </c>
      <c r="FP64" s="58">
        <v>31.26</v>
      </c>
      <c r="FQ64" s="58">
        <v>54.767000000000003</v>
      </c>
      <c r="FR64" s="58">
        <v>83.015000000000001</v>
      </c>
      <c r="FS64" s="58">
        <v>31.350999999999999</v>
      </c>
      <c r="FT64" s="58">
        <v>51.664000000000001</v>
      </c>
      <c r="FU64" s="58">
        <v>1347.1769999999999</v>
      </c>
      <c r="FV64" s="58">
        <v>729.02499999999998</v>
      </c>
      <c r="FW64" s="58">
        <v>618.15200000000004</v>
      </c>
      <c r="FX64" s="58">
        <v>933.34100000000001</v>
      </c>
      <c r="FY64" s="58">
        <v>611.5</v>
      </c>
      <c r="FZ64" s="58">
        <v>321.83999999999997</v>
      </c>
      <c r="GA64" s="58">
        <v>413.83600000000001</v>
      </c>
      <c r="GB64" s="58">
        <v>117.524</v>
      </c>
      <c r="GC64" s="58">
        <v>296.31200000000001</v>
      </c>
      <c r="GD64" s="58">
        <v>213.94900000000001</v>
      </c>
      <c r="GE64" s="58">
        <v>108.967</v>
      </c>
      <c r="GF64" s="58">
        <v>104.982</v>
      </c>
      <c r="GG64" s="58">
        <v>32.588999999999999</v>
      </c>
      <c r="GH64" s="58">
        <v>19.042000000000002</v>
      </c>
      <c r="GI64" s="58">
        <v>13.547000000000001</v>
      </c>
      <c r="GJ64" s="58">
        <v>12.827999999999999</v>
      </c>
      <c r="GK64" s="58">
        <v>9.8439999999999994</v>
      </c>
      <c r="GL64" s="58">
        <v>2.9849999999999999</v>
      </c>
      <c r="GM64" s="58">
        <v>7.282</v>
      </c>
      <c r="GN64" s="58">
        <v>5.4619999999999997</v>
      </c>
      <c r="GO64" s="58">
        <v>1.82</v>
      </c>
      <c r="GP64" s="58">
        <v>5.5460000000000003</v>
      </c>
      <c r="GQ64" s="58">
        <v>4.3819999999999997</v>
      </c>
      <c r="GR64" s="58">
        <v>1.1639999999999999</v>
      </c>
      <c r="GS64" s="58">
        <v>19.760999999999999</v>
      </c>
      <c r="GT64" s="58">
        <v>9.1980000000000004</v>
      </c>
      <c r="GU64" s="58">
        <v>10.561999999999999</v>
      </c>
      <c r="GV64" s="58">
        <v>196.23699999999999</v>
      </c>
      <c r="GW64" s="58">
        <v>97.933000000000007</v>
      </c>
      <c r="GX64" s="58">
        <v>98.304000000000002</v>
      </c>
      <c r="GY64" s="58">
        <v>63.125</v>
      </c>
      <c r="GZ64" s="58">
        <v>46.311999999999998</v>
      </c>
      <c r="HA64" s="58">
        <v>16.812999999999999</v>
      </c>
      <c r="HB64" s="58">
        <v>133.11199999999999</v>
      </c>
      <c r="HC64" s="58">
        <v>51.622</v>
      </c>
      <c r="HD64" s="58">
        <v>81.491</v>
      </c>
      <c r="HE64" s="58">
        <v>72.927000000000007</v>
      </c>
      <c r="HF64" s="58">
        <v>53.418999999999997</v>
      </c>
      <c r="HG64" s="58">
        <v>19.507999999999999</v>
      </c>
      <c r="HH64" s="58">
        <v>141.02199999999999</v>
      </c>
      <c r="HI64" s="58">
        <v>55.548000000000002</v>
      </c>
      <c r="HJ64" s="58">
        <v>85.474000000000004</v>
      </c>
      <c r="HK64" s="58">
        <v>140.39400000000001</v>
      </c>
      <c r="HL64" s="58">
        <v>57.082999999999998</v>
      </c>
      <c r="HM64" s="58">
        <v>83.311000000000007</v>
      </c>
      <c r="HN64" s="58">
        <v>249.774</v>
      </c>
      <c r="HO64" s="58">
        <v>131.84</v>
      </c>
      <c r="HP64" s="58">
        <v>117.935</v>
      </c>
      <c r="HQ64" s="58">
        <v>156.114</v>
      </c>
      <c r="HR64" s="58">
        <v>102.446</v>
      </c>
      <c r="HS64" s="58">
        <v>53.667999999999999</v>
      </c>
      <c r="HT64" s="58">
        <v>93.66</v>
      </c>
      <c r="HU64" s="58">
        <v>29.393000000000001</v>
      </c>
      <c r="HV64" s="58">
        <v>64.266999999999996</v>
      </c>
      <c r="HW64" s="58">
        <v>40.328000000000003</v>
      </c>
      <c r="HX64" s="58">
        <v>18.920000000000002</v>
      </c>
      <c r="HY64" s="58">
        <v>21.408000000000001</v>
      </c>
      <c r="HZ64" s="58">
        <v>6.9770000000000003</v>
      </c>
      <c r="IA64" s="58">
        <v>3.5859999999999999</v>
      </c>
      <c r="IB64" s="58">
        <v>3.391</v>
      </c>
      <c r="IC64" s="58">
        <v>1.8720000000000001</v>
      </c>
      <c r="ID64" s="58">
        <v>1.762</v>
      </c>
      <c r="IE64" s="58">
        <v>0.11</v>
      </c>
      <c r="IF64" s="58">
        <v>1.103</v>
      </c>
      <c r="IG64" s="58">
        <v>1.103</v>
      </c>
      <c r="IH64" s="58">
        <v>0</v>
      </c>
      <c r="II64" s="58">
        <v>0.76900000000000002</v>
      </c>
      <c r="IJ64" s="58">
        <v>0.65900000000000003</v>
      </c>
      <c r="IK64" s="58">
        <v>0.11</v>
      </c>
      <c r="IL64" s="58">
        <v>5.1050000000000004</v>
      </c>
      <c r="IM64" s="58">
        <v>1.8240000000000001</v>
      </c>
      <c r="IN64" s="58">
        <v>3.2810000000000001</v>
      </c>
      <c r="IO64" s="58">
        <v>36.514000000000003</v>
      </c>
      <c r="IP64" s="58">
        <v>16.427</v>
      </c>
      <c r="IQ64" s="58">
        <v>20.087</v>
      </c>
    </row>
    <row r="65" spans="1:251">
      <c r="A65" s="5">
        <v>43466</v>
      </c>
      <c r="B65" s="58">
        <v>1077.5139999999999</v>
      </c>
      <c r="C65" s="58">
        <v>1221.547</v>
      </c>
      <c r="D65" s="58">
        <v>391.27199999999999</v>
      </c>
      <c r="E65" s="58">
        <v>830.27499999999998</v>
      </c>
      <c r="F65" s="58">
        <v>588.61699999999996</v>
      </c>
      <c r="G65" s="58">
        <v>319.96100000000001</v>
      </c>
      <c r="H65" s="58">
        <v>268.65600000000001</v>
      </c>
      <c r="I65" s="58">
        <v>118.47199999999999</v>
      </c>
      <c r="J65" s="58">
        <v>67.581000000000003</v>
      </c>
      <c r="K65" s="58">
        <v>50.890999999999998</v>
      </c>
      <c r="L65" s="58">
        <v>51.494999999999997</v>
      </c>
      <c r="M65" s="58">
        <v>35.761000000000003</v>
      </c>
      <c r="N65" s="58">
        <v>15.734999999999999</v>
      </c>
      <c r="O65" s="58">
        <v>25.76</v>
      </c>
      <c r="P65" s="58">
        <v>16.481000000000002</v>
      </c>
      <c r="Q65" s="58">
        <v>9.2789999999999999</v>
      </c>
      <c r="R65" s="58">
        <v>25.734999999999999</v>
      </c>
      <c r="S65" s="58">
        <v>19.28</v>
      </c>
      <c r="T65" s="58">
        <v>6.4550000000000001</v>
      </c>
      <c r="U65" s="58">
        <v>66.977000000000004</v>
      </c>
      <c r="V65" s="58">
        <v>31.821000000000002</v>
      </c>
      <c r="W65" s="58">
        <v>35.155999999999999</v>
      </c>
      <c r="X65" s="58">
        <v>514.15300000000002</v>
      </c>
      <c r="Y65" s="58">
        <v>275.58199999999999</v>
      </c>
      <c r="Z65" s="58">
        <v>238.572</v>
      </c>
      <c r="AA65" s="58">
        <v>207.73</v>
      </c>
      <c r="AB65" s="58">
        <v>155.55099999999999</v>
      </c>
      <c r="AC65" s="58">
        <v>52.179000000000002</v>
      </c>
      <c r="AD65" s="58">
        <v>306.423</v>
      </c>
      <c r="AE65" s="58">
        <v>120.03</v>
      </c>
      <c r="AF65" s="58">
        <v>186.392</v>
      </c>
      <c r="AG65" s="58">
        <v>248.964</v>
      </c>
      <c r="AH65" s="58">
        <v>183.38300000000001</v>
      </c>
      <c r="AI65" s="58">
        <v>65.581000000000003</v>
      </c>
      <c r="AJ65" s="58">
        <v>339.65300000000002</v>
      </c>
      <c r="AK65" s="58">
        <v>136.578</v>
      </c>
      <c r="AL65" s="58">
        <v>203.07499999999999</v>
      </c>
      <c r="AM65" s="58">
        <v>332.18299999999999</v>
      </c>
      <c r="AN65" s="58">
        <v>136.511</v>
      </c>
      <c r="AO65" s="58">
        <v>195.672</v>
      </c>
      <c r="AP65" s="58">
        <v>3334.0540000000001</v>
      </c>
      <c r="AQ65" s="58">
        <v>1789.79</v>
      </c>
      <c r="AR65" s="58">
        <v>1544.2639999999999</v>
      </c>
      <c r="AS65" s="58">
        <v>2286.2860000000001</v>
      </c>
      <c r="AT65" s="58">
        <v>1456.597</v>
      </c>
      <c r="AU65" s="58">
        <v>829.69</v>
      </c>
      <c r="AV65" s="58">
        <v>1047.7670000000001</v>
      </c>
      <c r="AW65" s="58">
        <v>333.19299999999998</v>
      </c>
      <c r="AX65" s="58">
        <v>714.57399999999996</v>
      </c>
      <c r="AY65" s="58">
        <v>523.47799999999995</v>
      </c>
      <c r="AZ65" s="58">
        <v>265.74299999999999</v>
      </c>
      <c r="BA65" s="58">
        <v>257.73500000000001</v>
      </c>
      <c r="BB65" s="58">
        <v>136.23099999999999</v>
      </c>
      <c r="BC65" s="58">
        <v>77.396000000000001</v>
      </c>
      <c r="BD65" s="58">
        <v>58.834000000000003</v>
      </c>
      <c r="BE65" s="58">
        <v>58.667999999999999</v>
      </c>
      <c r="BF65" s="58">
        <v>45.548000000000002</v>
      </c>
      <c r="BG65" s="58">
        <v>13.119</v>
      </c>
      <c r="BH65" s="58">
        <v>27.382000000000001</v>
      </c>
      <c r="BI65" s="58">
        <v>18.984000000000002</v>
      </c>
      <c r="BJ65" s="58">
        <v>8.3979999999999997</v>
      </c>
      <c r="BK65" s="58">
        <v>31.286000000000001</v>
      </c>
      <c r="BL65" s="58">
        <v>26.564</v>
      </c>
      <c r="BM65" s="58">
        <v>4.7220000000000004</v>
      </c>
      <c r="BN65" s="58">
        <v>77.563000000000002</v>
      </c>
      <c r="BO65" s="58">
        <v>31.847999999999999</v>
      </c>
      <c r="BP65" s="58">
        <v>45.715000000000003</v>
      </c>
      <c r="BQ65" s="58">
        <v>442.678</v>
      </c>
      <c r="BR65" s="58">
        <v>216.21199999999999</v>
      </c>
      <c r="BS65" s="58">
        <v>226.46600000000001</v>
      </c>
      <c r="BT65" s="58">
        <v>167.53299999999999</v>
      </c>
      <c r="BU65" s="58">
        <v>119.702</v>
      </c>
      <c r="BV65" s="58">
        <v>47.83</v>
      </c>
      <c r="BW65" s="58">
        <v>275.14600000000002</v>
      </c>
      <c r="BX65" s="58">
        <v>96.509</v>
      </c>
      <c r="BY65" s="58">
        <v>178.636</v>
      </c>
      <c r="BZ65" s="58">
        <v>211.28399999999999</v>
      </c>
      <c r="CA65" s="58">
        <v>153.23500000000001</v>
      </c>
      <c r="CB65" s="58">
        <v>58.048000000000002</v>
      </c>
      <c r="CC65" s="58">
        <v>312.19400000000002</v>
      </c>
      <c r="CD65" s="58">
        <v>112.508</v>
      </c>
      <c r="CE65" s="58">
        <v>199.68600000000001</v>
      </c>
      <c r="CF65" s="58">
        <v>302.52800000000002</v>
      </c>
      <c r="CG65" s="58">
        <v>115.494</v>
      </c>
      <c r="CH65" s="58">
        <v>187.03399999999999</v>
      </c>
      <c r="CI65" s="58">
        <v>2461.8789999999999</v>
      </c>
      <c r="CJ65" s="58">
        <v>1300.7929999999999</v>
      </c>
      <c r="CK65" s="58">
        <v>1161.086</v>
      </c>
      <c r="CL65" s="58">
        <v>1726.816</v>
      </c>
      <c r="CM65" s="58">
        <v>1071.77</v>
      </c>
      <c r="CN65" s="58">
        <v>655.04600000000005</v>
      </c>
      <c r="CO65" s="58">
        <v>735.06399999999996</v>
      </c>
      <c r="CP65" s="58">
        <v>229.023</v>
      </c>
      <c r="CQ65" s="58">
        <v>506.04</v>
      </c>
      <c r="CR65" s="58">
        <v>373.29599999999999</v>
      </c>
      <c r="CS65" s="58">
        <v>197.751</v>
      </c>
      <c r="CT65" s="58">
        <v>175.54499999999999</v>
      </c>
      <c r="CU65" s="58">
        <v>87.753</v>
      </c>
      <c r="CV65" s="58">
        <v>60.862000000000002</v>
      </c>
      <c r="CW65" s="58">
        <v>26.890999999999998</v>
      </c>
      <c r="CX65" s="58">
        <v>42.933</v>
      </c>
      <c r="CY65" s="58">
        <v>37.170999999999999</v>
      </c>
      <c r="CZ65" s="58">
        <v>5.7619999999999996</v>
      </c>
      <c r="DA65" s="58">
        <v>20.577999999999999</v>
      </c>
      <c r="DB65" s="58">
        <v>17.638000000000002</v>
      </c>
      <c r="DC65" s="58">
        <v>2.9409999999999998</v>
      </c>
      <c r="DD65" s="58">
        <v>22.355</v>
      </c>
      <c r="DE65" s="58">
        <v>19.533999999999999</v>
      </c>
      <c r="DF65" s="58">
        <v>2.8210000000000002</v>
      </c>
      <c r="DG65" s="58">
        <v>44.82</v>
      </c>
      <c r="DH65" s="58">
        <v>23.690999999999999</v>
      </c>
      <c r="DI65" s="58">
        <v>21.129000000000001</v>
      </c>
      <c r="DJ65" s="58">
        <v>320.92599999999999</v>
      </c>
      <c r="DK65" s="58">
        <v>157.655</v>
      </c>
      <c r="DL65" s="58">
        <v>163.27099999999999</v>
      </c>
      <c r="DM65" s="58">
        <v>103.52800000000001</v>
      </c>
      <c r="DN65" s="58">
        <v>72.388000000000005</v>
      </c>
      <c r="DO65" s="58">
        <v>31.14</v>
      </c>
      <c r="DP65" s="58">
        <v>217.398</v>
      </c>
      <c r="DQ65" s="58">
        <v>85.266999999999996</v>
      </c>
      <c r="DR65" s="58">
        <v>132.131</v>
      </c>
      <c r="DS65" s="58">
        <v>137.16900000000001</v>
      </c>
      <c r="DT65" s="58">
        <v>102.73399999999999</v>
      </c>
      <c r="DU65" s="58">
        <v>34.435000000000002</v>
      </c>
      <c r="DV65" s="58">
        <v>236.12700000000001</v>
      </c>
      <c r="DW65" s="58">
        <v>95.016999999999996</v>
      </c>
      <c r="DX65" s="58">
        <v>141.11000000000001</v>
      </c>
      <c r="DY65" s="58">
        <v>237.976</v>
      </c>
      <c r="DZ65" s="58">
        <v>102.905</v>
      </c>
      <c r="EA65" s="58">
        <v>135.072</v>
      </c>
      <c r="EB65" s="58">
        <v>831.38199999999995</v>
      </c>
      <c r="EC65" s="58">
        <v>447.23</v>
      </c>
      <c r="ED65" s="58">
        <v>384.15199999999999</v>
      </c>
      <c r="EE65" s="58">
        <v>552.19600000000003</v>
      </c>
      <c r="EF65" s="58">
        <v>366.505</v>
      </c>
      <c r="EG65" s="58">
        <v>185.69200000000001</v>
      </c>
      <c r="EH65" s="58">
        <v>279.18599999999998</v>
      </c>
      <c r="EI65" s="58">
        <v>80.724999999999994</v>
      </c>
      <c r="EJ65" s="58">
        <v>198.46</v>
      </c>
      <c r="EK65" s="58">
        <v>137.804</v>
      </c>
      <c r="EL65" s="58">
        <v>71.171000000000006</v>
      </c>
      <c r="EM65" s="58">
        <v>66.632999999999996</v>
      </c>
      <c r="EN65" s="58">
        <v>32.228999999999999</v>
      </c>
      <c r="EO65" s="58">
        <v>19.044</v>
      </c>
      <c r="EP65" s="58">
        <v>13.185</v>
      </c>
      <c r="EQ65" s="58">
        <v>12.823</v>
      </c>
      <c r="ER65" s="58">
        <v>10.352</v>
      </c>
      <c r="ES65" s="58">
        <v>2.4710000000000001</v>
      </c>
      <c r="ET65" s="58">
        <v>5.0549999999999997</v>
      </c>
      <c r="EU65" s="58">
        <v>3.3340000000000001</v>
      </c>
      <c r="EV65" s="58">
        <v>1.7210000000000001</v>
      </c>
      <c r="EW65" s="58">
        <v>7.7679999999999998</v>
      </c>
      <c r="EX65" s="58">
        <v>7.0190000000000001</v>
      </c>
      <c r="EY65" s="58">
        <v>0.75</v>
      </c>
      <c r="EZ65" s="58">
        <v>19.407</v>
      </c>
      <c r="FA65" s="58">
        <v>8.6920000000000002</v>
      </c>
      <c r="FB65" s="58">
        <v>10.714</v>
      </c>
      <c r="FC65" s="58">
        <v>120.559</v>
      </c>
      <c r="FD65" s="58">
        <v>60.716999999999999</v>
      </c>
      <c r="FE65" s="58">
        <v>59.843000000000004</v>
      </c>
      <c r="FF65" s="58">
        <v>40.98</v>
      </c>
      <c r="FG65" s="58">
        <v>30.33</v>
      </c>
      <c r="FH65" s="58">
        <v>10.65</v>
      </c>
      <c r="FI65" s="58">
        <v>79.578999999999994</v>
      </c>
      <c r="FJ65" s="58">
        <v>30.387</v>
      </c>
      <c r="FK65" s="58">
        <v>49.192999999999998</v>
      </c>
      <c r="FL65" s="58">
        <v>49.886000000000003</v>
      </c>
      <c r="FM65" s="58">
        <v>37.435000000000002</v>
      </c>
      <c r="FN65" s="58">
        <v>12.451000000000001</v>
      </c>
      <c r="FO65" s="58">
        <v>87.918000000000006</v>
      </c>
      <c r="FP65" s="58">
        <v>33.735999999999997</v>
      </c>
      <c r="FQ65" s="58">
        <v>54.182000000000002</v>
      </c>
      <c r="FR65" s="58">
        <v>84.634</v>
      </c>
      <c r="FS65" s="58">
        <v>33.72</v>
      </c>
      <c r="FT65" s="58">
        <v>50.914000000000001</v>
      </c>
      <c r="FU65" s="58">
        <v>1322.5530000000001</v>
      </c>
      <c r="FV65" s="58">
        <v>720.76099999999997</v>
      </c>
      <c r="FW65" s="58">
        <v>601.79200000000003</v>
      </c>
      <c r="FX65" s="58">
        <v>923.61500000000001</v>
      </c>
      <c r="FY65" s="58">
        <v>604.55399999999997</v>
      </c>
      <c r="FZ65" s="58">
        <v>319.06099999999998</v>
      </c>
      <c r="GA65" s="58">
        <v>398.93700000000001</v>
      </c>
      <c r="GB65" s="58">
        <v>116.20699999999999</v>
      </c>
      <c r="GC65" s="58">
        <v>282.73099999999999</v>
      </c>
      <c r="GD65" s="58">
        <v>222.46799999999999</v>
      </c>
      <c r="GE65" s="58">
        <v>119.28</v>
      </c>
      <c r="GF65" s="58">
        <v>103.188</v>
      </c>
      <c r="GG65" s="58">
        <v>40.216999999999999</v>
      </c>
      <c r="GH65" s="58">
        <v>25.984000000000002</v>
      </c>
      <c r="GI65" s="58">
        <v>14.233000000000001</v>
      </c>
      <c r="GJ65" s="58">
        <v>20.565000000000001</v>
      </c>
      <c r="GK65" s="58">
        <v>17.523</v>
      </c>
      <c r="GL65" s="58">
        <v>3.0419999999999998</v>
      </c>
      <c r="GM65" s="58">
        <v>12.464</v>
      </c>
      <c r="GN65" s="58">
        <v>9.7780000000000005</v>
      </c>
      <c r="GO65" s="58">
        <v>2.6859999999999999</v>
      </c>
      <c r="GP65" s="58">
        <v>8.1</v>
      </c>
      <c r="GQ65" s="58">
        <v>7.7450000000000001</v>
      </c>
      <c r="GR65" s="58">
        <v>0.35499999999999998</v>
      </c>
      <c r="GS65" s="58">
        <v>19.652000000000001</v>
      </c>
      <c r="GT65" s="58">
        <v>8.4610000000000003</v>
      </c>
      <c r="GU65" s="58">
        <v>11.191000000000001</v>
      </c>
      <c r="GV65" s="58">
        <v>199.071</v>
      </c>
      <c r="GW65" s="58">
        <v>103.858</v>
      </c>
      <c r="GX65" s="58">
        <v>95.213999999999999</v>
      </c>
      <c r="GY65" s="58">
        <v>73.616</v>
      </c>
      <c r="GZ65" s="58">
        <v>55.237000000000002</v>
      </c>
      <c r="HA65" s="58">
        <v>18.378</v>
      </c>
      <c r="HB65" s="58">
        <v>125.456</v>
      </c>
      <c r="HC65" s="58">
        <v>48.62</v>
      </c>
      <c r="HD65" s="58">
        <v>76.835999999999999</v>
      </c>
      <c r="HE65" s="58">
        <v>88.864000000000004</v>
      </c>
      <c r="HF65" s="58">
        <v>68.022000000000006</v>
      </c>
      <c r="HG65" s="58">
        <v>20.841999999999999</v>
      </c>
      <c r="HH65" s="58">
        <v>133.60300000000001</v>
      </c>
      <c r="HI65" s="58">
        <v>51.258000000000003</v>
      </c>
      <c r="HJ65" s="58">
        <v>82.346000000000004</v>
      </c>
      <c r="HK65" s="58">
        <v>137.91999999999999</v>
      </c>
      <c r="HL65" s="58">
        <v>58.398000000000003</v>
      </c>
      <c r="HM65" s="58">
        <v>79.522000000000006</v>
      </c>
      <c r="HN65" s="58">
        <v>245.762</v>
      </c>
      <c r="HO65" s="58">
        <v>130.10900000000001</v>
      </c>
      <c r="HP65" s="58">
        <v>115.65300000000001</v>
      </c>
      <c r="HQ65" s="58">
        <v>153.73599999999999</v>
      </c>
      <c r="HR65" s="58">
        <v>99.768000000000001</v>
      </c>
      <c r="HS65" s="58">
        <v>53.968000000000004</v>
      </c>
      <c r="HT65" s="58">
        <v>92.025999999999996</v>
      </c>
      <c r="HU65" s="58">
        <v>30.341000000000001</v>
      </c>
      <c r="HV65" s="58">
        <v>61.685000000000002</v>
      </c>
      <c r="HW65" s="58">
        <v>39.893000000000001</v>
      </c>
      <c r="HX65" s="58">
        <v>19.84</v>
      </c>
      <c r="HY65" s="58">
        <v>20.053000000000001</v>
      </c>
      <c r="HZ65" s="58">
        <v>8.6370000000000005</v>
      </c>
      <c r="IA65" s="58">
        <v>4.8550000000000004</v>
      </c>
      <c r="IB65" s="58">
        <v>3.782</v>
      </c>
      <c r="IC65" s="58">
        <v>1.9550000000000001</v>
      </c>
      <c r="ID65" s="58">
        <v>1.611</v>
      </c>
      <c r="IE65" s="58">
        <v>0.34399999999999997</v>
      </c>
      <c r="IF65" s="58">
        <v>1.325</v>
      </c>
      <c r="IG65" s="58">
        <v>0.98099999999999998</v>
      </c>
      <c r="IH65" s="58">
        <v>0.34399999999999997</v>
      </c>
      <c r="II65" s="58">
        <v>0.63</v>
      </c>
      <c r="IJ65" s="58">
        <v>0.63</v>
      </c>
      <c r="IK65" s="58">
        <v>0</v>
      </c>
      <c r="IL65" s="58">
        <v>6.6820000000000004</v>
      </c>
      <c r="IM65" s="58">
        <v>3.2440000000000002</v>
      </c>
      <c r="IN65" s="58">
        <v>3.4380000000000002</v>
      </c>
      <c r="IO65" s="58">
        <v>34.628999999999998</v>
      </c>
      <c r="IP65" s="58">
        <v>17.172000000000001</v>
      </c>
      <c r="IQ65" s="58">
        <v>17.457000000000001</v>
      </c>
    </row>
    <row r="66" spans="1:251">
      <c r="A66" s="5">
        <v>43497</v>
      </c>
      <c r="B66" s="58">
        <v>1091.6389999999999</v>
      </c>
      <c r="C66" s="58">
        <v>1251.2139999999999</v>
      </c>
      <c r="D66" s="58">
        <v>419.4</v>
      </c>
      <c r="E66" s="58">
        <v>831.81299999999999</v>
      </c>
      <c r="F66" s="58">
        <v>528.93600000000004</v>
      </c>
      <c r="G66" s="58">
        <v>284.90699999999998</v>
      </c>
      <c r="H66" s="58">
        <v>244.029</v>
      </c>
      <c r="I66" s="58">
        <v>107.685</v>
      </c>
      <c r="J66" s="58">
        <v>57.51</v>
      </c>
      <c r="K66" s="58">
        <v>50.176000000000002</v>
      </c>
      <c r="L66" s="58">
        <v>42.890999999999998</v>
      </c>
      <c r="M66" s="58">
        <v>28.928000000000001</v>
      </c>
      <c r="N66" s="58">
        <v>13.962999999999999</v>
      </c>
      <c r="O66" s="58">
        <v>29.335999999999999</v>
      </c>
      <c r="P66" s="58">
        <v>18.873999999999999</v>
      </c>
      <c r="Q66" s="58">
        <v>10.462</v>
      </c>
      <c r="R66" s="58">
        <v>13.555</v>
      </c>
      <c r="S66" s="58">
        <v>10.055</v>
      </c>
      <c r="T66" s="58">
        <v>3.5</v>
      </c>
      <c r="U66" s="58">
        <v>64.795000000000002</v>
      </c>
      <c r="V66" s="58">
        <v>28.581</v>
      </c>
      <c r="W66" s="58">
        <v>36.213000000000001</v>
      </c>
      <c r="X66" s="58">
        <v>469.58300000000003</v>
      </c>
      <c r="Y66" s="58">
        <v>248.89699999999999</v>
      </c>
      <c r="Z66" s="58">
        <v>220.68600000000001</v>
      </c>
      <c r="AA66" s="58">
        <v>179.95</v>
      </c>
      <c r="AB66" s="58">
        <v>130.36199999999999</v>
      </c>
      <c r="AC66" s="58">
        <v>49.588000000000001</v>
      </c>
      <c r="AD66" s="58">
        <v>289.63299999999998</v>
      </c>
      <c r="AE66" s="58">
        <v>118.535</v>
      </c>
      <c r="AF66" s="58">
        <v>171.09800000000001</v>
      </c>
      <c r="AG66" s="58">
        <v>212.85300000000001</v>
      </c>
      <c r="AH66" s="58">
        <v>152.69399999999999</v>
      </c>
      <c r="AI66" s="58">
        <v>60.158999999999999</v>
      </c>
      <c r="AJ66" s="58">
        <v>316.084</v>
      </c>
      <c r="AK66" s="58">
        <v>132.214</v>
      </c>
      <c r="AL66" s="58">
        <v>183.87</v>
      </c>
      <c r="AM66" s="58">
        <v>318.96899999999999</v>
      </c>
      <c r="AN66" s="58">
        <v>137.40799999999999</v>
      </c>
      <c r="AO66" s="58">
        <v>181.56100000000001</v>
      </c>
      <c r="AP66" s="58">
        <v>3395.672</v>
      </c>
      <c r="AQ66" s="58">
        <v>1812.519</v>
      </c>
      <c r="AR66" s="58">
        <v>1583.154</v>
      </c>
      <c r="AS66" s="58">
        <v>2332.3789999999999</v>
      </c>
      <c r="AT66" s="58">
        <v>1484.355</v>
      </c>
      <c r="AU66" s="58">
        <v>848.024</v>
      </c>
      <c r="AV66" s="58">
        <v>1063.2929999999999</v>
      </c>
      <c r="AW66" s="58">
        <v>328.16399999999999</v>
      </c>
      <c r="AX66" s="58">
        <v>735.12900000000002</v>
      </c>
      <c r="AY66" s="58">
        <v>487.01299999999998</v>
      </c>
      <c r="AZ66" s="58">
        <v>249.07599999999999</v>
      </c>
      <c r="BA66" s="58">
        <v>237.93799999999999</v>
      </c>
      <c r="BB66" s="58">
        <v>98.817999999999998</v>
      </c>
      <c r="BC66" s="58">
        <v>56.874000000000002</v>
      </c>
      <c r="BD66" s="58">
        <v>41.944000000000003</v>
      </c>
      <c r="BE66" s="58">
        <v>35.938000000000002</v>
      </c>
      <c r="BF66" s="58">
        <v>28.108000000000001</v>
      </c>
      <c r="BG66" s="58">
        <v>7.83</v>
      </c>
      <c r="BH66" s="58">
        <v>18.041</v>
      </c>
      <c r="BI66" s="58">
        <v>14.013999999999999</v>
      </c>
      <c r="BJ66" s="58">
        <v>4.0270000000000001</v>
      </c>
      <c r="BK66" s="58">
        <v>17.896999999999998</v>
      </c>
      <c r="BL66" s="58">
        <v>14.093999999999999</v>
      </c>
      <c r="BM66" s="58">
        <v>3.8029999999999999</v>
      </c>
      <c r="BN66" s="58">
        <v>62.88</v>
      </c>
      <c r="BO66" s="58">
        <v>28.765999999999998</v>
      </c>
      <c r="BP66" s="58">
        <v>34.113999999999997</v>
      </c>
      <c r="BQ66" s="58">
        <v>428.63600000000002</v>
      </c>
      <c r="BR66" s="58">
        <v>216.19900000000001</v>
      </c>
      <c r="BS66" s="58">
        <v>212.43700000000001</v>
      </c>
      <c r="BT66" s="58">
        <v>157.958</v>
      </c>
      <c r="BU66" s="58">
        <v>117.696</v>
      </c>
      <c r="BV66" s="58">
        <v>40.262</v>
      </c>
      <c r="BW66" s="58">
        <v>270.678</v>
      </c>
      <c r="BX66" s="58">
        <v>98.501999999999995</v>
      </c>
      <c r="BY66" s="58">
        <v>172.17599999999999</v>
      </c>
      <c r="BZ66" s="58">
        <v>182.45699999999999</v>
      </c>
      <c r="CA66" s="58">
        <v>136.55199999999999</v>
      </c>
      <c r="CB66" s="58">
        <v>45.905000000000001</v>
      </c>
      <c r="CC66" s="58">
        <v>304.55700000000002</v>
      </c>
      <c r="CD66" s="58">
        <v>112.524</v>
      </c>
      <c r="CE66" s="58">
        <v>192.03299999999999</v>
      </c>
      <c r="CF66" s="58">
        <v>288.71899999999999</v>
      </c>
      <c r="CG66" s="58">
        <v>112.51600000000001</v>
      </c>
      <c r="CH66" s="58">
        <v>176.203</v>
      </c>
      <c r="CI66" s="58">
        <v>2509.779</v>
      </c>
      <c r="CJ66" s="58">
        <v>1308.2660000000001</v>
      </c>
      <c r="CK66" s="58">
        <v>1201.5139999999999</v>
      </c>
      <c r="CL66" s="58">
        <v>1741.499</v>
      </c>
      <c r="CM66" s="58">
        <v>1076.751</v>
      </c>
      <c r="CN66" s="58">
        <v>664.74800000000005</v>
      </c>
      <c r="CO66" s="58">
        <v>768.28099999999995</v>
      </c>
      <c r="CP66" s="58">
        <v>231.51400000000001</v>
      </c>
      <c r="CQ66" s="58">
        <v>536.76599999999996</v>
      </c>
      <c r="CR66" s="58">
        <v>342.53899999999999</v>
      </c>
      <c r="CS66" s="58">
        <v>180.82300000000001</v>
      </c>
      <c r="CT66" s="58">
        <v>161.71700000000001</v>
      </c>
      <c r="CU66" s="58">
        <v>80.131</v>
      </c>
      <c r="CV66" s="58">
        <v>43.755000000000003</v>
      </c>
      <c r="CW66" s="58">
        <v>36.375999999999998</v>
      </c>
      <c r="CX66" s="58">
        <v>29.268000000000001</v>
      </c>
      <c r="CY66" s="58">
        <v>20.882999999999999</v>
      </c>
      <c r="CZ66" s="58">
        <v>8.3849999999999998</v>
      </c>
      <c r="DA66" s="58">
        <v>18.545000000000002</v>
      </c>
      <c r="DB66" s="58">
        <v>12.122</v>
      </c>
      <c r="DC66" s="58">
        <v>6.423</v>
      </c>
      <c r="DD66" s="58">
        <v>10.723000000000001</v>
      </c>
      <c r="DE66" s="58">
        <v>8.7620000000000005</v>
      </c>
      <c r="DF66" s="58">
        <v>1.9610000000000001</v>
      </c>
      <c r="DG66" s="58">
        <v>50.863</v>
      </c>
      <c r="DH66" s="58">
        <v>22.870999999999999</v>
      </c>
      <c r="DI66" s="58">
        <v>27.992000000000001</v>
      </c>
      <c r="DJ66" s="58">
        <v>295.83699999999999</v>
      </c>
      <c r="DK66" s="58">
        <v>155.70599999999999</v>
      </c>
      <c r="DL66" s="58">
        <v>140.131</v>
      </c>
      <c r="DM66" s="58">
        <v>105.80200000000001</v>
      </c>
      <c r="DN66" s="58">
        <v>74.733999999999995</v>
      </c>
      <c r="DO66" s="58">
        <v>31.068000000000001</v>
      </c>
      <c r="DP66" s="58">
        <v>190.036</v>
      </c>
      <c r="DQ66" s="58">
        <v>80.972999999999999</v>
      </c>
      <c r="DR66" s="58">
        <v>109.063</v>
      </c>
      <c r="DS66" s="58">
        <v>129.81200000000001</v>
      </c>
      <c r="DT66" s="58">
        <v>91.850999999999999</v>
      </c>
      <c r="DU66" s="58">
        <v>37.962000000000003</v>
      </c>
      <c r="DV66" s="58">
        <v>212.727</v>
      </c>
      <c r="DW66" s="58">
        <v>88.971999999999994</v>
      </c>
      <c r="DX66" s="58">
        <v>123.755</v>
      </c>
      <c r="DY66" s="58">
        <v>208.58099999999999</v>
      </c>
      <c r="DZ66" s="58">
        <v>93.093999999999994</v>
      </c>
      <c r="EA66" s="58">
        <v>115.486</v>
      </c>
      <c r="EB66" s="58">
        <v>850.41099999999994</v>
      </c>
      <c r="EC66" s="58">
        <v>453.66399999999999</v>
      </c>
      <c r="ED66" s="58">
        <v>396.74700000000001</v>
      </c>
      <c r="EE66" s="58">
        <v>554.83500000000004</v>
      </c>
      <c r="EF66" s="58">
        <v>368.04899999999998</v>
      </c>
      <c r="EG66" s="58">
        <v>186.786</v>
      </c>
      <c r="EH66" s="58">
        <v>295.57600000000002</v>
      </c>
      <c r="EI66" s="58">
        <v>85.614999999999995</v>
      </c>
      <c r="EJ66" s="58">
        <v>209.96100000000001</v>
      </c>
      <c r="EK66" s="58">
        <v>128.32499999999999</v>
      </c>
      <c r="EL66" s="58">
        <v>66.087000000000003</v>
      </c>
      <c r="EM66" s="58">
        <v>62.238999999999997</v>
      </c>
      <c r="EN66" s="58">
        <v>32.816000000000003</v>
      </c>
      <c r="EO66" s="58">
        <v>18.379000000000001</v>
      </c>
      <c r="EP66" s="58">
        <v>14.436999999999999</v>
      </c>
      <c r="EQ66" s="58">
        <v>13.602</v>
      </c>
      <c r="ER66" s="58">
        <v>11.093999999999999</v>
      </c>
      <c r="ES66" s="58">
        <v>2.5089999999999999</v>
      </c>
      <c r="ET66" s="58">
        <v>6.4889999999999999</v>
      </c>
      <c r="EU66" s="58">
        <v>4.7089999999999996</v>
      </c>
      <c r="EV66" s="58">
        <v>1.78</v>
      </c>
      <c r="EW66" s="58">
        <v>7.1139999999999999</v>
      </c>
      <c r="EX66" s="58">
        <v>6.3849999999999998</v>
      </c>
      <c r="EY66" s="58">
        <v>0.72899999999999998</v>
      </c>
      <c r="EZ66" s="58">
        <v>19.213000000000001</v>
      </c>
      <c r="FA66" s="58">
        <v>7.2850000000000001</v>
      </c>
      <c r="FB66" s="58">
        <v>11.928000000000001</v>
      </c>
      <c r="FC66" s="58">
        <v>110.038</v>
      </c>
      <c r="FD66" s="58">
        <v>55.691000000000003</v>
      </c>
      <c r="FE66" s="58">
        <v>54.347000000000001</v>
      </c>
      <c r="FF66" s="58">
        <v>39.195</v>
      </c>
      <c r="FG66" s="58">
        <v>28.664000000000001</v>
      </c>
      <c r="FH66" s="58">
        <v>10.53</v>
      </c>
      <c r="FI66" s="58">
        <v>70.843000000000004</v>
      </c>
      <c r="FJ66" s="58">
        <v>27.027000000000001</v>
      </c>
      <c r="FK66" s="58">
        <v>43.817</v>
      </c>
      <c r="FL66" s="58">
        <v>48.371000000000002</v>
      </c>
      <c r="FM66" s="58">
        <v>36.091999999999999</v>
      </c>
      <c r="FN66" s="58">
        <v>12.279</v>
      </c>
      <c r="FO66" s="58">
        <v>79.953999999999994</v>
      </c>
      <c r="FP66" s="58">
        <v>29.994</v>
      </c>
      <c r="FQ66" s="58">
        <v>49.959000000000003</v>
      </c>
      <c r="FR66" s="58">
        <v>77.331999999999994</v>
      </c>
      <c r="FS66" s="58">
        <v>31.736000000000001</v>
      </c>
      <c r="FT66" s="58">
        <v>45.595999999999997</v>
      </c>
      <c r="FU66" s="58">
        <v>1340.2750000000001</v>
      </c>
      <c r="FV66" s="58">
        <v>725.38400000000001</v>
      </c>
      <c r="FW66" s="58">
        <v>614.89099999999996</v>
      </c>
      <c r="FX66" s="58">
        <v>927.22</v>
      </c>
      <c r="FY66" s="58">
        <v>607.34199999999998</v>
      </c>
      <c r="FZ66" s="58">
        <v>319.87700000000001</v>
      </c>
      <c r="GA66" s="58">
        <v>413.05500000000001</v>
      </c>
      <c r="GB66" s="58">
        <v>118.042</v>
      </c>
      <c r="GC66" s="58">
        <v>295.01400000000001</v>
      </c>
      <c r="GD66" s="58">
        <v>205.01900000000001</v>
      </c>
      <c r="GE66" s="58">
        <v>104.578</v>
      </c>
      <c r="GF66" s="58">
        <v>100.441</v>
      </c>
      <c r="GG66" s="58">
        <v>47.194000000000003</v>
      </c>
      <c r="GH66" s="58">
        <v>31.783000000000001</v>
      </c>
      <c r="GI66" s="58">
        <v>15.411</v>
      </c>
      <c r="GJ66" s="58">
        <v>22.175999999999998</v>
      </c>
      <c r="GK66" s="58">
        <v>19.96</v>
      </c>
      <c r="GL66" s="58">
        <v>2.2160000000000002</v>
      </c>
      <c r="GM66" s="58">
        <v>10.656000000000001</v>
      </c>
      <c r="GN66" s="58">
        <v>9.5239999999999991</v>
      </c>
      <c r="GO66" s="58">
        <v>1.133</v>
      </c>
      <c r="GP66" s="58">
        <v>11.519</v>
      </c>
      <c r="GQ66" s="58">
        <v>10.436999999999999</v>
      </c>
      <c r="GR66" s="58">
        <v>1.083</v>
      </c>
      <c r="GS66" s="58">
        <v>25.018000000000001</v>
      </c>
      <c r="GT66" s="58">
        <v>11.823</v>
      </c>
      <c r="GU66" s="58">
        <v>13.195</v>
      </c>
      <c r="GV66" s="58">
        <v>179.79400000000001</v>
      </c>
      <c r="GW66" s="58">
        <v>88.724000000000004</v>
      </c>
      <c r="GX66" s="58">
        <v>91.07</v>
      </c>
      <c r="GY66" s="58">
        <v>68.936999999999998</v>
      </c>
      <c r="GZ66" s="58">
        <v>49.023000000000003</v>
      </c>
      <c r="HA66" s="58">
        <v>19.913</v>
      </c>
      <c r="HB66" s="58">
        <v>110.857</v>
      </c>
      <c r="HC66" s="58">
        <v>39.701000000000001</v>
      </c>
      <c r="HD66" s="58">
        <v>71.156999999999996</v>
      </c>
      <c r="HE66" s="58">
        <v>83.94</v>
      </c>
      <c r="HF66" s="58">
        <v>61.811</v>
      </c>
      <c r="HG66" s="58">
        <v>22.129000000000001</v>
      </c>
      <c r="HH66" s="58">
        <v>121.07899999999999</v>
      </c>
      <c r="HI66" s="58">
        <v>42.765999999999998</v>
      </c>
      <c r="HJ66" s="58">
        <v>78.313000000000002</v>
      </c>
      <c r="HK66" s="58">
        <v>121.514</v>
      </c>
      <c r="HL66" s="58">
        <v>49.223999999999997</v>
      </c>
      <c r="HM66" s="58">
        <v>72.290000000000006</v>
      </c>
      <c r="HN66" s="58">
        <v>249.38499999999999</v>
      </c>
      <c r="HO66" s="58">
        <v>131.673</v>
      </c>
      <c r="HP66" s="58">
        <v>117.712</v>
      </c>
      <c r="HQ66" s="58">
        <v>158.05099999999999</v>
      </c>
      <c r="HR66" s="58">
        <v>102.663</v>
      </c>
      <c r="HS66" s="58">
        <v>55.387999999999998</v>
      </c>
      <c r="HT66" s="58">
        <v>91.334000000000003</v>
      </c>
      <c r="HU66" s="58">
        <v>29.01</v>
      </c>
      <c r="HV66" s="58">
        <v>62.323999999999998</v>
      </c>
      <c r="HW66" s="58">
        <v>37.860999999999997</v>
      </c>
      <c r="HX66" s="58">
        <v>18.353999999999999</v>
      </c>
      <c r="HY66" s="58">
        <v>19.507000000000001</v>
      </c>
      <c r="HZ66" s="58">
        <v>7.4109999999999996</v>
      </c>
      <c r="IA66" s="58">
        <v>3.4159999999999999</v>
      </c>
      <c r="IB66" s="58">
        <v>3.9950000000000001</v>
      </c>
      <c r="IC66" s="58">
        <v>2.5499999999999998</v>
      </c>
      <c r="ID66" s="58">
        <v>1.746</v>
      </c>
      <c r="IE66" s="58">
        <v>0.80400000000000005</v>
      </c>
      <c r="IF66" s="58">
        <v>1.504</v>
      </c>
      <c r="IG66" s="58">
        <v>0.877</v>
      </c>
      <c r="IH66" s="58">
        <v>0.628</v>
      </c>
      <c r="II66" s="58">
        <v>1.046</v>
      </c>
      <c r="IJ66" s="58">
        <v>0.86899999999999999</v>
      </c>
      <c r="IK66" s="58">
        <v>0.17699999999999999</v>
      </c>
      <c r="IL66" s="58">
        <v>4.8609999999999998</v>
      </c>
      <c r="IM66" s="58">
        <v>1.67</v>
      </c>
      <c r="IN66" s="58">
        <v>3.1909999999999998</v>
      </c>
      <c r="IO66" s="58">
        <v>34.22</v>
      </c>
      <c r="IP66" s="58">
        <v>16.532</v>
      </c>
      <c r="IQ66" s="58">
        <v>17.687999999999999</v>
      </c>
    </row>
    <row r="67" spans="1:251">
      <c r="A67" s="5">
        <v>43525</v>
      </c>
      <c r="B67" s="58">
        <v>1064.0920000000001</v>
      </c>
      <c r="C67" s="58">
        <v>1265.7750000000001</v>
      </c>
      <c r="D67" s="58">
        <v>419.35599999999999</v>
      </c>
      <c r="E67" s="58">
        <v>846.41800000000001</v>
      </c>
      <c r="F67" s="58">
        <v>529.58299999999997</v>
      </c>
      <c r="G67" s="58">
        <v>277.666</v>
      </c>
      <c r="H67" s="58">
        <v>251.916</v>
      </c>
      <c r="I67" s="58">
        <v>103.574</v>
      </c>
      <c r="J67" s="58">
        <v>59.24</v>
      </c>
      <c r="K67" s="58">
        <v>44.334000000000003</v>
      </c>
      <c r="L67" s="58">
        <v>43.128999999999998</v>
      </c>
      <c r="M67" s="58">
        <v>34.152000000000001</v>
      </c>
      <c r="N67" s="58">
        <v>8.9770000000000003</v>
      </c>
      <c r="O67" s="58">
        <v>21.614000000000001</v>
      </c>
      <c r="P67" s="58">
        <v>18.706</v>
      </c>
      <c r="Q67" s="58">
        <v>2.9079999999999999</v>
      </c>
      <c r="R67" s="58">
        <v>21.515000000000001</v>
      </c>
      <c r="S67" s="58">
        <v>15.446</v>
      </c>
      <c r="T67" s="58">
        <v>6.069</v>
      </c>
      <c r="U67" s="58">
        <v>60.445999999999998</v>
      </c>
      <c r="V67" s="58">
        <v>25.088999999999999</v>
      </c>
      <c r="W67" s="58">
        <v>35.356999999999999</v>
      </c>
      <c r="X67" s="58">
        <v>469.92399999999998</v>
      </c>
      <c r="Y67" s="58">
        <v>241.86099999999999</v>
      </c>
      <c r="Z67" s="58">
        <v>228.06299999999999</v>
      </c>
      <c r="AA67" s="58">
        <v>180.25200000000001</v>
      </c>
      <c r="AB67" s="58">
        <v>129.50700000000001</v>
      </c>
      <c r="AC67" s="58">
        <v>50.744999999999997</v>
      </c>
      <c r="AD67" s="58">
        <v>289.673</v>
      </c>
      <c r="AE67" s="58">
        <v>112.354</v>
      </c>
      <c r="AF67" s="58">
        <v>177.31800000000001</v>
      </c>
      <c r="AG67" s="58">
        <v>210.614</v>
      </c>
      <c r="AH67" s="58">
        <v>152.82</v>
      </c>
      <c r="AI67" s="58">
        <v>57.793999999999997</v>
      </c>
      <c r="AJ67" s="58">
        <v>318.96899999999999</v>
      </c>
      <c r="AK67" s="58">
        <v>124.84699999999999</v>
      </c>
      <c r="AL67" s="58">
        <v>194.12200000000001</v>
      </c>
      <c r="AM67" s="58">
        <v>311.286</v>
      </c>
      <c r="AN67" s="58">
        <v>131.06</v>
      </c>
      <c r="AO67" s="58">
        <v>180.226</v>
      </c>
      <c r="AP67" s="58">
        <v>3382.808</v>
      </c>
      <c r="AQ67" s="58">
        <v>1815.874</v>
      </c>
      <c r="AR67" s="58">
        <v>1566.934</v>
      </c>
      <c r="AS67" s="58">
        <v>2303.88</v>
      </c>
      <c r="AT67" s="58">
        <v>1469.7529999999999</v>
      </c>
      <c r="AU67" s="58">
        <v>834.12699999999995</v>
      </c>
      <c r="AV67" s="58">
        <v>1078.9280000000001</v>
      </c>
      <c r="AW67" s="58">
        <v>346.12200000000001</v>
      </c>
      <c r="AX67" s="58">
        <v>732.80700000000002</v>
      </c>
      <c r="AY67" s="58">
        <v>472.59399999999999</v>
      </c>
      <c r="AZ67" s="58">
        <v>253.96299999999999</v>
      </c>
      <c r="BA67" s="58">
        <v>218.631</v>
      </c>
      <c r="BB67" s="58">
        <v>87.200999999999993</v>
      </c>
      <c r="BC67" s="58">
        <v>48.981000000000002</v>
      </c>
      <c r="BD67" s="58">
        <v>38.22</v>
      </c>
      <c r="BE67" s="58">
        <v>31.8</v>
      </c>
      <c r="BF67" s="58">
        <v>21.684999999999999</v>
      </c>
      <c r="BG67" s="58">
        <v>10.114000000000001</v>
      </c>
      <c r="BH67" s="58">
        <v>19.495000000000001</v>
      </c>
      <c r="BI67" s="58">
        <v>13.728999999999999</v>
      </c>
      <c r="BJ67" s="58">
        <v>5.766</v>
      </c>
      <c r="BK67" s="58">
        <v>12.305</v>
      </c>
      <c r="BL67" s="58">
        <v>7.9560000000000004</v>
      </c>
      <c r="BM67" s="58">
        <v>4.3490000000000002</v>
      </c>
      <c r="BN67" s="58">
        <v>55.401000000000003</v>
      </c>
      <c r="BO67" s="58">
        <v>27.295999999999999</v>
      </c>
      <c r="BP67" s="58">
        <v>28.106000000000002</v>
      </c>
      <c r="BQ67" s="58">
        <v>421.25700000000001</v>
      </c>
      <c r="BR67" s="58">
        <v>227.773</v>
      </c>
      <c r="BS67" s="58">
        <v>193.483</v>
      </c>
      <c r="BT67" s="58">
        <v>151.80199999999999</v>
      </c>
      <c r="BU67" s="58">
        <v>114.613</v>
      </c>
      <c r="BV67" s="58">
        <v>37.19</v>
      </c>
      <c r="BW67" s="58">
        <v>269.45400000000001</v>
      </c>
      <c r="BX67" s="58">
        <v>113.161</v>
      </c>
      <c r="BY67" s="58">
        <v>156.29400000000001</v>
      </c>
      <c r="BZ67" s="58">
        <v>176.084</v>
      </c>
      <c r="CA67" s="58">
        <v>129.88</v>
      </c>
      <c r="CB67" s="58">
        <v>46.204000000000001</v>
      </c>
      <c r="CC67" s="58">
        <v>296.51</v>
      </c>
      <c r="CD67" s="58">
        <v>124.084</v>
      </c>
      <c r="CE67" s="58">
        <v>172.42599999999999</v>
      </c>
      <c r="CF67" s="58">
        <v>288.94900000000001</v>
      </c>
      <c r="CG67" s="58">
        <v>126.89</v>
      </c>
      <c r="CH67" s="58">
        <v>162.059</v>
      </c>
      <c r="CI67" s="58">
        <v>2505.87</v>
      </c>
      <c r="CJ67" s="58">
        <v>1303.491</v>
      </c>
      <c r="CK67" s="58">
        <v>1202.3800000000001</v>
      </c>
      <c r="CL67" s="58">
        <v>1739.107</v>
      </c>
      <c r="CM67" s="58">
        <v>1077.8910000000001</v>
      </c>
      <c r="CN67" s="58">
        <v>661.21600000000001</v>
      </c>
      <c r="CO67" s="58">
        <v>766.76300000000003</v>
      </c>
      <c r="CP67" s="58">
        <v>225.6</v>
      </c>
      <c r="CQ67" s="58">
        <v>541.16399999999999</v>
      </c>
      <c r="CR67" s="58">
        <v>364.024</v>
      </c>
      <c r="CS67" s="58">
        <v>177.72499999999999</v>
      </c>
      <c r="CT67" s="58">
        <v>186.29900000000001</v>
      </c>
      <c r="CU67" s="58">
        <v>71.335999999999999</v>
      </c>
      <c r="CV67" s="58">
        <v>36.32</v>
      </c>
      <c r="CW67" s="58">
        <v>35.015999999999998</v>
      </c>
      <c r="CX67" s="58">
        <v>24.811</v>
      </c>
      <c r="CY67" s="58">
        <v>18.422000000000001</v>
      </c>
      <c r="CZ67" s="58">
        <v>6.3890000000000002</v>
      </c>
      <c r="DA67" s="58">
        <v>14.987</v>
      </c>
      <c r="DB67" s="58">
        <v>12.048999999999999</v>
      </c>
      <c r="DC67" s="58">
        <v>2.9369999999999998</v>
      </c>
      <c r="DD67" s="58">
        <v>9.8239999999999998</v>
      </c>
      <c r="DE67" s="58">
        <v>6.3730000000000002</v>
      </c>
      <c r="DF67" s="58">
        <v>3.452</v>
      </c>
      <c r="DG67" s="58">
        <v>46.524999999999999</v>
      </c>
      <c r="DH67" s="58">
        <v>17.898</v>
      </c>
      <c r="DI67" s="58">
        <v>28.626999999999999</v>
      </c>
      <c r="DJ67" s="58">
        <v>326.774</v>
      </c>
      <c r="DK67" s="58">
        <v>157.80500000000001</v>
      </c>
      <c r="DL67" s="58">
        <v>168.96799999999999</v>
      </c>
      <c r="DM67" s="58">
        <v>103.84699999999999</v>
      </c>
      <c r="DN67" s="58">
        <v>72.388000000000005</v>
      </c>
      <c r="DO67" s="58">
        <v>31.457999999999998</v>
      </c>
      <c r="DP67" s="58">
        <v>222.92699999999999</v>
      </c>
      <c r="DQ67" s="58">
        <v>85.417000000000002</v>
      </c>
      <c r="DR67" s="58">
        <v>137.51</v>
      </c>
      <c r="DS67" s="58">
        <v>121.414</v>
      </c>
      <c r="DT67" s="58">
        <v>86.024000000000001</v>
      </c>
      <c r="DU67" s="58">
        <v>35.390999999999998</v>
      </c>
      <c r="DV67" s="58">
        <v>242.61</v>
      </c>
      <c r="DW67" s="58">
        <v>91.700999999999993</v>
      </c>
      <c r="DX67" s="58">
        <v>150.90799999999999</v>
      </c>
      <c r="DY67" s="58">
        <v>237.91399999999999</v>
      </c>
      <c r="DZ67" s="58">
        <v>97.465999999999994</v>
      </c>
      <c r="EA67" s="58">
        <v>140.447</v>
      </c>
      <c r="EB67" s="58">
        <v>857.42700000000002</v>
      </c>
      <c r="EC67" s="58">
        <v>452.887</v>
      </c>
      <c r="ED67" s="58">
        <v>404.54</v>
      </c>
      <c r="EE67" s="58">
        <v>557.58299999999997</v>
      </c>
      <c r="EF67" s="58">
        <v>365.09899999999999</v>
      </c>
      <c r="EG67" s="58">
        <v>192.48400000000001</v>
      </c>
      <c r="EH67" s="58">
        <v>299.84500000000003</v>
      </c>
      <c r="EI67" s="58">
        <v>87.787999999999997</v>
      </c>
      <c r="EJ67" s="58">
        <v>212.05600000000001</v>
      </c>
      <c r="EK67" s="58">
        <v>123.47199999999999</v>
      </c>
      <c r="EL67" s="58">
        <v>60.893999999999998</v>
      </c>
      <c r="EM67" s="58">
        <v>62.578000000000003</v>
      </c>
      <c r="EN67" s="58">
        <v>22.629000000000001</v>
      </c>
      <c r="EO67" s="58">
        <v>12.026</v>
      </c>
      <c r="EP67" s="58">
        <v>10.603</v>
      </c>
      <c r="EQ67" s="58">
        <v>6.4550000000000001</v>
      </c>
      <c r="ER67" s="58">
        <v>4.8310000000000004</v>
      </c>
      <c r="ES67" s="58">
        <v>1.6240000000000001</v>
      </c>
      <c r="ET67" s="58">
        <v>3.8530000000000002</v>
      </c>
      <c r="EU67" s="58">
        <v>2.2290000000000001</v>
      </c>
      <c r="EV67" s="58">
        <v>1.6240000000000001</v>
      </c>
      <c r="EW67" s="58">
        <v>2.6019999999999999</v>
      </c>
      <c r="EX67" s="58">
        <v>2.6019999999999999</v>
      </c>
      <c r="EY67" s="58">
        <v>0</v>
      </c>
      <c r="EZ67" s="58">
        <v>16.173999999999999</v>
      </c>
      <c r="FA67" s="58">
        <v>7.1950000000000003</v>
      </c>
      <c r="FB67" s="58">
        <v>8.9789999999999992</v>
      </c>
      <c r="FC67" s="58">
        <v>111.52800000000001</v>
      </c>
      <c r="FD67" s="58">
        <v>54.878999999999998</v>
      </c>
      <c r="FE67" s="58">
        <v>56.649000000000001</v>
      </c>
      <c r="FF67" s="58">
        <v>38.188000000000002</v>
      </c>
      <c r="FG67" s="58">
        <v>28.09</v>
      </c>
      <c r="FH67" s="58">
        <v>10.098000000000001</v>
      </c>
      <c r="FI67" s="58">
        <v>73.34</v>
      </c>
      <c r="FJ67" s="58">
        <v>26.788</v>
      </c>
      <c r="FK67" s="58">
        <v>46.551000000000002</v>
      </c>
      <c r="FL67" s="58">
        <v>42.600999999999999</v>
      </c>
      <c r="FM67" s="58">
        <v>31.134</v>
      </c>
      <c r="FN67" s="58">
        <v>11.468</v>
      </c>
      <c r="FO67" s="58">
        <v>80.870999999999995</v>
      </c>
      <c r="FP67" s="58">
        <v>29.76</v>
      </c>
      <c r="FQ67" s="58">
        <v>51.110999999999997</v>
      </c>
      <c r="FR67" s="58">
        <v>77.192999999999998</v>
      </c>
      <c r="FS67" s="58">
        <v>29.018000000000001</v>
      </c>
      <c r="FT67" s="58">
        <v>48.174999999999997</v>
      </c>
      <c r="FU67" s="58">
        <v>1340.963</v>
      </c>
      <c r="FV67" s="58">
        <v>720.10500000000002</v>
      </c>
      <c r="FW67" s="58">
        <v>620.85799999999995</v>
      </c>
      <c r="FX67" s="58">
        <v>918.39099999999996</v>
      </c>
      <c r="FY67" s="58">
        <v>591.08399999999995</v>
      </c>
      <c r="FZ67" s="58">
        <v>327.30700000000002</v>
      </c>
      <c r="GA67" s="58">
        <v>422.572</v>
      </c>
      <c r="GB67" s="58">
        <v>129.02099999999999</v>
      </c>
      <c r="GC67" s="58">
        <v>293.55200000000002</v>
      </c>
      <c r="GD67" s="58">
        <v>215.791</v>
      </c>
      <c r="GE67" s="58">
        <v>115.087</v>
      </c>
      <c r="GF67" s="58">
        <v>100.703</v>
      </c>
      <c r="GG67" s="58">
        <v>40.901000000000003</v>
      </c>
      <c r="GH67" s="58">
        <v>24.48</v>
      </c>
      <c r="GI67" s="58">
        <v>16.420999999999999</v>
      </c>
      <c r="GJ67" s="58">
        <v>15.106999999999999</v>
      </c>
      <c r="GK67" s="58">
        <v>12.12</v>
      </c>
      <c r="GL67" s="58">
        <v>2.9860000000000002</v>
      </c>
      <c r="GM67" s="58">
        <v>7.1189999999999998</v>
      </c>
      <c r="GN67" s="58">
        <v>5.7439999999999998</v>
      </c>
      <c r="GO67" s="58">
        <v>1.375</v>
      </c>
      <c r="GP67" s="58">
        <v>7.9880000000000004</v>
      </c>
      <c r="GQ67" s="58">
        <v>6.3760000000000003</v>
      </c>
      <c r="GR67" s="58">
        <v>1.611</v>
      </c>
      <c r="GS67" s="58">
        <v>25.794</v>
      </c>
      <c r="GT67" s="58">
        <v>12.36</v>
      </c>
      <c r="GU67" s="58">
        <v>13.435</v>
      </c>
      <c r="GV67" s="58">
        <v>193.93600000000001</v>
      </c>
      <c r="GW67" s="58">
        <v>102.538</v>
      </c>
      <c r="GX67" s="58">
        <v>91.397999999999996</v>
      </c>
      <c r="GY67" s="58">
        <v>75.144000000000005</v>
      </c>
      <c r="GZ67" s="58">
        <v>56.518000000000001</v>
      </c>
      <c r="HA67" s="58">
        <v>18.626999999999999</v>
      </c>
      <c r="HB67" s="58">
        <v>118.791</v>
      </c>
      <c r="HC67" s="58">
        <v>46.02</v>
      </c>
      <c r="HD67" s="58">
        <v>72.771000000000001</v>
      </c>
      <c r="HE67" s="58">
        <v>85.352000000000004</v>
      </c>
      <c r="HF67" s="58">
        <v>64.171000000000006</v>
      </c>
      <c r="HG67" s="58">
        <v>21.181000000000001</v>
      </c>
      <c r="HH67" s="58">
        <v>130.43899999999999</v>
      </c>
      <c r="HI67" s="58">
        <v>50.915999999999997</v>
      </c>
      <c r="HJ67" s="58">
        <v>79.522000000000006</v>
      </c>
      <c r="HK67" s="58">
        <v>125.91</v>
      </c>
      <c r="HL67" s="58">
        <v>51.764000000000003</v>
      </c>
      <c r="HM67" s="58">
        <v>74.146000000000001</v>
      </c>
      <c r="HN67" s="58">
        <v>247.774</v>
      </c>
      <c r="HO67" s="58">
        <v>130.465</v>
      </c>
      <c r="HP67" s="58">
        <v>117.309</v>
      </c>
      <c r="HQ67" s="58">
        <v>154.495</v>
      </c>
      <c r="HR67" s="58">
        <v>100.851</v>
      </c>
      <c r="HS67" s="58">
        <v>53.643999999999998</v>
      </c>
      <c r="HT67" s="58">
        <v>93.278999999999996</v>
      </c>
      <c r="HU67" s="58">
        <v>29.614999999999998</v>
      </c>
      <c r="HV67" s="58">
        <v>63.664000000000001</v>
      </c>
      <c r="HW67" s="58">
        <v>37.442999999999998</v>
      </c>
      <c r="HX67" s="58">
        <v>16.920999999999999</v>
      </c>
      <c r="HY67" s="58">
        <v>20.521999999999998</v>
      </c>
      <c r="HZ67" s="58">
        <v>6.5149999999999997</v>
      </c>
      <c r="IA67" s="58">
        <v>3.3650000000000002</v>
      </c>
      <c r="IB67" s="58">
        <v>3.1509999999999998</v>
      </c>
      <c r="IC67" s="58">
        <v>1</v>
      </c>
      <c r="ID67" s="58">
        <v>0.78</v>
      </c>
      <c r="IE67" s="58">
        <v>0.22</v>
      </c>
      <c r="IF67" s="58">
        <v>0.54100000000000004</v>
      </c>
      <c r="IG67" s="58">
        <v>0.42</v>
      </c>
      <c r="IH67" s="58">
        <v>0.121</v>
      </c>
      <c r="II67" s="58">
        <v>0.45900000000000002</v>
      </c>
      <c r="IJ67" s="58">
        <v>0.36</v>
      </c>
      <c r="IK67" s="58">
        <v>0.1</v>
      </c>
      <c r="IL67" s="58">
        <v>5.5149999999999997</v>
      </c>
      <c r="IM67" s="58">
        <v>2.585</v>
      </c>
      <c r="IN67" s="58">
        <v>2.931</v>
      </c>
      <c r="IO67" s="58">
        <v>34.267000000000003</v>
      </c>
      <c r="IP67" s="58">
        <v>15.101000000000001</v>
      </c>
      <c r="IQ67" s="58">
        <v>19.164999999999999</v>
      </c>
    </row>
    <row r="68" spans="1:251">
      <c r="A68" s="5">
        <v>43556</v>
      </c>
      <c r="B68" s="58">
        <v>1082.0719999999999</v>
      </c>
      <c r="C68" s="58">
        <v>1292.268</v>
      </c>
      <c r="D68" s="58">
        <v>448.31900000000002</v>
      </c>
      <c r="E68" s="58">
        <v>843.94899999999996</v>
      </c>
      <c r="F68" s="58">
        <v>562.35799999999995</v>
      </c>
      <c r="G68" s="58">
        <v>314.21499999999997</v>
      </c>
      <c r="H68" s="58">
        <v>248.143</v>
      </c>
      <c r="I68" s="58">
        <v>104.592</v>
      </c>
      <c r="J68" s="58">
        <v>61.832000000000001</v>
      </c>
      <c r="K68" s="58">
        <v>42.76</v>
      </c>
      <c r="L68" s="58">
        <v>37.219000000000001</v>
      </c>
      <c r="M68" s="58">
        <v>31.13</v>
      </c>
      <c r="N68" s="58">
        <v>6.0890000000000004</v>
      </c>
      <c r="O68" s="58">
        <v>20.85</v>
      </c>
      <c r="P68" s="58">
        <v>17.62</v>
      </c>
      <c r="Q68" s="58">
        <v>3.23</v>
      </c>
      <c r="R68" s="58">
        <v>16.369</v>
      </c>
      <c r="S68" s="58">
        <v>13.51</v>
      </c>
      <c r="T68" s="58">
        <v>2.859</v>
      </c>
      <c r="U68" s="58">
        <v>67.373000000000005</v>
      </c>
      <c r="V68" s="58">
        <v>30.702999999999999</v>
      </c>
      <c r="W68" s="58">
        <v>36.67</v>
      </c>
      <c r="X68" s="58">
        <v>504.83300000000003</v>
      </c>
      <c r="Y68" s="58">
        <v>276.43</v>
      </c>
      <c r="Z68" s="58">
        <v>228.40299999999999</v>
      </c>
      <c r="AA68" s="58">
        <v>190.87200000000001</v>
      </c>
      <c r="AB68" s="58">
        <v>140.465</v>
      </c>
      <c r="AC68" s="58">
        <v>50.406999999999996</v>
      </c>
      <c r="AD68" s="58">
        <v>313.96100000000001</v>
      </c>
      <c r="AE68" s="58">
        <v>135.965</v>
      </c>
      <c r="AF68" s="58">
        <v>177.99600000000001</v>
      </c>
      <c r="AG68" s="58">
        <v>213.94900000000001</v>
      </c>
      <c r="AH68" s="58">
        <v>160.13800000000001</v>
      </c>
      <c r="AI68" s="58">
        <v>53.811</v>
      </c>
      <c r="AJ68" s="58">
        <v>348.40899999999999</v>
      </c>
      <c r="AK68" s="58">
        <v>154.078</v>
      </c>
      <c r="AL68" s="58">
        <v>194.33099999999999</v>
      </c>
      <c r="AM68" s="58">
        <v>334.81099999999998</v>
      </c>
      <c r="AN68" s="58">
        <v>153.584</v>
      </c>
      <c r="AO68" s="58">
        <v>181.226</v>
      </c>
      <c r="AP68" s="58">
        <v>3367.1970000000001</v>
      </c>
      <c r="AQ68" s="58">
        <v>1778.8620000000001</v>
      </c>
      <c r="AR68" s="58">
        <v>1588.335</v>
      </c>
      <c r="AS68" s="58">
        <v>2277.7220000000002</v>
      </c>
      <c r="AT68" s="58">
        <v>1432.338</v>
      </c>
      <c r="AU68" s="58">
        <v>845.38400000000001</v>
      </c>
      <c r="AV68" s="58">
        <v>1089.4749999999999</v>
      </c>
      <c r="AW68" s="58">
        <v>346.524</v>
      </c>
      <c r="AX68" s="58">
        <v>742.95100000000002</v>
      </c>
      <c r="AY68" s="58">
        <v>481.04300000000001</v>
      </c>
      <c r="AZ68" s="58">
        <v>264.072</v>
      </c>
      <c r="BA68" s="58">
        <v>216.971</v>
      </c>
      <c r="BB68" s="58">
        <v>83.052999999999997</v>
      </c>
      <c r="BC68" s="58">
        <v>52.023000000000003</v>
      </c>
      <c r="BD68" s="58">
        <v>31.030999999999999</v>
      </c>
      <c r="BE68" s="58">
        <v>30.527000000000001</v>
      </c>
      <c r="BF68" s="58">
        <v>24.163</v>
      </c>
      <c r="BG68" s="58">
        <v>6.3650000000000002</v>
      </c>
      <c r="BH68" s="58">
        <v>17.952999999999999</v>
      </c>
      <c r="BI68" s="58">
        <v>13.090999999999999</v>
      </c>
      <c r="BJ68" s="58">
        <v>4.8620000000000001</v>
      </c>
      <c r="BK68" s="58">
        <v>12.574</v>
      </c>
      <c r="BL68" s="58">
        <v>11.071999999999999</v>
      </c>
      <c r="BM68" s="58">
        <v>1.5029999999999999</v>
      </c>
      <c r="BN68" s="58">
        <v>52.526000000000003</v>
      </c>
      <c r="BO68" s="58">
        <v>27.86</v>
      </c>
      <c r="BP68" s="58">
        <v>24.666</v>
      </c>
      <c r="BQ68" s="58">
        <v>437.79</v>
      </c>
      <c r="BR68" s="58">
        <v>238.381</v>
      </c>
      <c r="BS68" s="58">
        <v>199.40899999999999</v>
      </c>
      <c r="BT68" s="58">
        <v>167.625</v>
      </c>
      <c r="BU68" s="58">
        <v>125.73</v>
      </c>
      <c r="BV68" s="58">
        <v>41.895000000000003</v>
      </c>
      <c r="BW68" s="58">
        <v>270.16399999999999</v>
      </c>
      <c r="BX68" s="58">
        <v>112.65</v>
      </c>
      <c r="BY68" s="58">
        <v>157.51400000000001</v>
      </c>
      <c r="BZ68" s="58">
        <v>188.77500000000001</v>
      </c>
      <c r="CA68" s="58">
        <v>141.98099999999999</v>
      </c>
      <c r="CB68" s="58">
        <v>46.793999999999997</v>
      </c>
      <c r="CC68" s="58">
        <v>292.26799999999997</v>
      </c>
      <c r="CD68" s="58">
        <v>122.092</v>
      </c>
      <c r="CE68" s="58">
        <v>170.17699999999999</v>
      </c>
      <c r="CF68" s="58">
        <v>288.11700000000002</v>
      </c>
      <c r="CG68" s="58">
        <v>125.741</v>
      </c>
      <c r="CH68" s="58">
        <v>162.37700000000001</v>
      </c>
      <c r="CI68" s="58">
        <v>2514.2159999999999</v>
      </c>
      <c r="CJ68" s="58">
        <v>1305.912</v>
      </c>
      <c r="CK68" s="58">
        <v>1208.3030000000001</v>
      </c>
      <c r="CL68" s="58">
        <v>1719.3810000000001</v>
      </c>
      <c r="CM68" s="58">
        <v>1067.7090000000001</v>
      </c>
      <c r="CN68" s="58">
        <v>651.67200000000003</v>
      </c>
      <c r="CO68" s="58">
        <v>794.83500000000004</v>
      </c>
      <c r="CP68" s="58">
        <v>238.203</v>
      </c>
      <c r="CQ68" s="58">
        <v>556.63199999999995</v>
      </c>
      <c r="CR68" s="58">
        <v>395.10899999999998</v>
      </c>
      <c r="CS68" s="58">
        <v>197.15799999999999</v>
      </c>
      <c r="CT68" s="58">
        <v>197.95099999999999</v>
      </c>
      <c r="CU68" s="58">
        <v>80.897000000000006</v>
      </c>
      <c r="CV68" s="58">
        <v>49.177</v>
      </c>
      <c r="CW68" s="58">
        <v>31.72</v>
      </c>
      <c r="CX68" s="58">
        <v>34.345999999999997</v>
      </c>
      <c r="CY68" s="58">
        <v>26.085999999999999</v>
      </c>
      <c r="CZ68" s="58">
        <v>8.2590000000000003</v>
      </c>
      <c r="DA68" s="58">
        <v>19.132000000000001</v>
      </c>
      <c r="DB68" s="58">
        <v>13.661</v>
      </c>
      <c r="DC68" s="58">
        <v>5.4710000000000001</v>
      </c>
      <c r="DD68" s="58">
        <v>15.214</v>
      </c>
      <c r="DE68" s="58">
        <v>12.425000000000001</v>
      </c>
      <c r="DF68" s="58">
        <v>2.7890000000000001</v>
      </c>
      <c r="DG68" s="58">
        <v>46.551000000000002</v>
      </c>
      <c r="DH68" s="58">
        <v>23.091000000000001</v>
      </c>
      <c r="DI68" s="58">
        <v>23.460999999999999</v>
      </c>
      <c r="DJ68" s="58">
        <v>350.26</v>
      </c>
      <c r="DK68" s="58">
        <v>170.30099999999999</v>
      </c>
      <c r="DL68" s="58">
        <v>179.959</v>
      </c>
      <c r="DM68" s="58">
        <v>112.196</v>
      </c>
      <c r="DN68" s="58">
        <v>77.176000000000002</v>
      </c>
      <c r="DO68" s="58">
        <v>35.020000000000003</v>
      </c>
      <c r="DP68" s="58">
        <v>238.06399999999999</v>
      </c>
      <c r="DQ68" s="58">
        <v>93.125</v>
      </c>
      <c r="DR68" s="58">
        <v>144.93899999999999</v>
      </c>
      <c r="DS68" s="58">
        <v>138.637</v>
      </c>
      <c r="DT68" s="58">
        <v>97.501000000000005</v>
      </c>
      <c r="DU68" s="58">
        <v>41.136000000000003</v>
      </c>
      <c r="DV68" s="58">
        <v>256.47199999999998</v>
      </c>
      <c r="DW68" s="58">
        <v>99.658000000000001</v>
      </c>
      <c r="DX68" s="58">
        <v>156.81399999999999</v>
      </c>
      <c r="DY68" s="58">
        <v>257.19600000000003</v>
      </c>
      <c r="DZ68" s="58">
        <v>106.786</v>
      </c>
      <c r="EA68" s="58">
        <v>150.41</v>
      </c>
      <c r="EB68" s="58">
        <v>861.46299999999997</v>
      </c>
      <c r="EC68" s="58">
        <v>454.53199999999998</v>
      </c>
      <c r="ED68" s="58">
        <v>406.93099999999998</v>
      </c>
      <c r="EE68" s="58">
        <v>560.18399999999997</v>
      </c>
      <c r="EF68" s="58">
        <v>366.72800000000001</v>
      </c>
      <c r="EG68" s="58">
        <v>193.45599999999999</v>
      </c>
      <c r="EH68" s="58">
        <v>301.27999999999997</v>
      </c>
      <c r="EI68" s="58">
        <v>87.804000000000002</v>
      </c>
      <c r="EJ68" s="58">
        <v>213.476</v>
      </c>
      <c r="EK68" s="58">
        <v>127.509</v>
      </c>
      <c r="EL68" s="58">
        <v>65.78</v>
      </c>
      <c r="EM68" s="58">
        <v>61.728999999999999</v>
      </c>
      <c r="EN68" s="58">
        <v>30.602</v>
      </c>
      <c r="EO68" s="58">
        <v>17.829000000000001</v>
      </c>
      <c r="EP68" s="58">
        <v>12.773999999999999</v>
      </c>
      <c r="EQ68" s="58">
        <v>14.090999999999999</v>
      </c>
      <c r="ER68" s="58">
        <v>10.753</v>
      </c>
      <c r="ES68" s="58">
        <v>3.3380000000000001</v>
      </c>
      <c r="ET68" s="58">
        <v>7.335</v>
      </c>
      <c r="EU68" s="58">
        <v>5.5640000000000001</v>
      </c>
      <c r="EV68" s="58">
        <v>1.7709999999999999</v>
      </c>
      <c r="EW68" s="58">
        <v>6.7560000000000002</v>
      </c>
      <c r="EX68" s="58">
        <v>5.1890000000000001</v>
      </c>
      <c r="EY68" s="58">
        <v>1.5669999999999999</v>
      </c>
      <c r="EZ68" s="58">
        <v>16.510999999999999</v>
      </c>
      <c r="FA68" s="58">
        <v>7.0759999999999996</v>
      </c>
      <c r="FB68" s="58">
        <v>9.4359999999999999</v>
      </c>
      <c r="FC68" s="58">
        <v>107.724</v>
      </c>
      <c r="FD68" s="58">
        <v>54.350999999999999</v>
      </c>
      <c r="FE68" s="58">
        <v>53.372999999999998</v>
      </c>
      <c r="FF68" s="58">
        <v>37.628</v>
      </c>
      <c r="FG68" s="58">
        <v>26.675999999999998</v>
      </c>
      <c r="FH68" s="58">
        <v>10.951000000000001</v>
      </c>
      <c r="FI68" s="58">
        <v>70.096999999999994</v>
      </c>
      <c r="FJ68" s="58">
        <v>27.675000000000001</v>
      </c>
      <c r="FK68" s="58">
        <v>42.421999999999997</v>
      </c>
      <c r="FL68" s="58">
        <v>48.308999999999997</v>
      </c>
      <c r="FM68" s="58">
        <v>34.268000000000001</v>
      </c>
      <c r="FN68" s="58">
        <v>14.042</v>
      </c>
      <c r="FO68" s="58">
        <v>79.2</v>
      </c>
      <c r="FP68" s="58">
        <v>31.512</v>
      </c>
      <c r="FQ68" s="58">
        <v>47.686999999999998</v>
      </c>
      <c r="FR68" s="58">
        <v>77.430999999999997</v>
      </c>
      <c r="FS68" s="58">
        <v>33.238</v>
      </c>
      <c r="FT68" s="58">
        <v>44.192999999999998</v>
      </c>
      <c r="FU68" s="58">
        <v>1351.886</v>
      </c>
      <c r="FV68" s="58">
        <v>729.32299999999998</v>
      </c>
      <c r="FW68" s="58">
        <v>622.56299999999999</v>
      </c>
      <c r="FX68" s="58">
        <v>930.99400000000003</v>
      </c>
      <c r="FY68" s="58">
        <v>603.05200000000002</v>
      </c>
      <c r="FZ68" s="58">
        <v>327.94200000000001</v>
      </c>
      <c r="GA68" s="58">
        <v>420.89299999999997</v>
      </c>
      <c r="GB68" s="58">
        <v>126.271</v>
      </c>
      <c r="GC68" s="58">
        <v>294.62200000000001</v>
      </c>
      <c r="GD68" s="58">
        <v>208.959</v>
      </c>
      <c r="GE68" s="58">
        <v>103.089</v>
      </c>
      <c r="GF68" s="58">
        <v>105.87</v>
      </c>
      <c r="GG68" s="58">
        <v>42.082000000000001</v>
      </c>
      <c r="GH68" s="58">
        <v>22.448</v>
      </c>
      <c r="GI68" s="58">
        <v>19.634</v>
      </c>
      <c r="GJ68" s="58">
        <v>14.112</v>
      </c>
      <c r="GK68" s="58">
        <v>11.445</v>
      </c>
      <c r="GL68" s="58">
        <v>2.6659999999999999</v>
      </c>
      <c r="GM68" s="58">
        <v>7.95</v>
      </c>
      <c r="GN68" s="58">
        <v>6.1420000000000003</v>
      </c>
      <c r="GO68" s="58">
        <v>1.8069999999999999</v>
      </c>
      <c r="GP68" s="58">
        <v>6.1619999999999999</v>
      </c>
      <c r="GQ68" s="58">
        <v>5.3029999999999999</v>
      </c>
      <c r="GR68" s="58">
        <v>0.85899999999999999</v>
      </c>
      <c r="GS68" s="58">
        <v>27.97</v>
      </c>
      <c r="GT68" s="58">
        <v>11.003</v>
      </c>
      <c r="GU68" s="58">
        <v>16.966999999999999</v>
      </c>
      <c r="GV68" s="58">
        <v>189.78899999999999</v>
      </c>
      <c r="GW68" s="58">
        <v>93.501999999999995</v>
      </c>
      <c r="GX68" s="58">
        <v>96.287000000000006</v>
      </c>
      <c r="GY68" s="58">
        <v>66.840999999999994</v>
      </c>
      <c r="GZ68" s="58">
        <v>51.798000000000002</v>
      </c>
      <c r="HA68" s="58">
        <v>15.042999999999999</v>
      </c>
      <c r="HB68" s="58">
        <v>122.94799999999999</v>
      </c>
      <c r="HC68" s="58">
        <v>41.704000000000001</v>
      </c>
      <c r="HD68" s="58">
        <v>81.244</v>
      </c>
      <c r="HE68" s="58">
        <v>74.512</v>
      </c>
      <c r="HF68" s="58">
        <v>57.648000000000003</v>
      </c>
      <c r="HG68" s="58">
        <v>16.863</v>
      </c>
      <c r="HH68" s="58">
        <v>134.447</v>
      </c>
      <c r="HI68" s="58">
        <v>45.441000000000003</v>
      </c>
      <c r="HJ68" s="58">
        <v>89.006</v>
      </c>
      <c r="HK68" s="58">
        <v>130.898</v>
      </c>
      <c r="HL68" s="58">
        <v>47.847000000000001</v>
      </c>
      <c r="HM68" s="58">
        <v>83.052000000000007</v>
      </c>
      <c r="HN68" s="58">
        <v>250.374</v>
      </c>
      <c r="HO68" s="58">
        <v>132.69499999999999</v>
      </c>
      <c r="HP68" s="58">
        <v>117.679</v>
      </c>
      <c r="HQ68" s="58">
        <v>153.852</v>
      </c>
      <c r="HR68" s="58">
        <v>101.46899999999999</v>
      </c>
      <c r="HS68" s="58">
        <v>52.383000000000003</v>
      </c>
      <c r="HT68" s="58">
        <v>96.522000000000006</v>
      </c>
      <c r="HU68" s="58">
        <v>31.225999999999999</v>
      </c>
      <c r="HV68" s="58">
        <v>65.296000000000006</v>
      </c>
      <c r="HW68" s="58">
        <v>36.947000000000003</v>
      </c>
      <c r="HX68" s="58">
        <v>16.991</v>
      </c>
      <c r="HY68" s="58">
        <v>19.956</v>
      </c>
      <c r="HZ68" s="58">
        <v>6.85</v>
      </c>
      <c r="IA68" s="58">
        <v>3.18</v>
      </c>
      <c r="IB68" s="58">
        <v>3.67</v>
      </c>
      <c r="IC68" s="58">
        <v>2.21</v>
      </c>
      <c r="ID68" s="58">
        <v>1.4530000000000001</v>
      </c>
      <c r="IE68" s="58">
        <v>0.75700000000000001</v>
      </c>
      <c r="IF68" s="58">
        <v>1.0740000000000001</v>
      </c>
      <c r="IG68" s="58">
        <v>0.64</v>
      </c>
      <c r="IH68" s="58">
        <v>0.434</v>
      </c>
      <c r="II68" s="58">
        <v>1.1359999999999999</v>
      </c>
      <c r="IJ68" s="58">
        <v>0.81299999999999994</v>
      </c>
      <c r="IK68" s="58">
        <v>0.32300000000000001</v>
      </c>
      <c r="IL68" s="58">
        <v>4.6390000000000002</v>
      </c>
      <c r="IM68" s="58">
        <v>1.7270000000000001</v>
      </c>
      <c r="IN68" s="58">
        <v>2.9119999999999999</v>
      </c>
      <c r="IO68" s="58">
        <v>33.518999999999998</v>
      </c>
      <c r="IP68" s="58">
        <v>15.156000000000001</v>
      </c>
      <c r="IQ68" s="58">
        <v>18.363</v>
      </c>
    </row>
    <row r="69" spans="1:251">
      <c r="A69" s="5">
        <v>43586</v>
      </c>
      <c r="B69" s="58">
        <v>1068.731</v>
      </c>
      <c r="C69" s="58">
        <v>1306.3820000000001</v>
      </c>
      <c r="D69" s="58">
        <v>445.52600000000001</v>
      </c>
      <c r="E69" s="58">
        <v>860.85599999999999</v>
      </c>
      <c r="F69" s="58">
        <v>584.77099999999996</v>
      </c>
      <c r="G69" s="58">
        <v>332.40199999999999</v>
      </c>
      <c r="H69" s="58">
        <v>252.37</v>
      </c>
      <c r="I69" s="58">
        <v>128.072</v>
      </c>
      <c r="J69" s="58">
        <v>74.774000000000001</v>
      </c>
      <c r="K69" s="58">
        <v>53.296999999999997</v>
      </c>
      <c r="L69" s="58">
        <v>54.631999999999998</v>
      </c>
      <c r="M69" s="58">
        <v>43.689</v>
      </c>
      <c r="N69" s="58">
        <v>10.943</v>
      </c>
      <c r="O69" s="58">
        <v>33.121000000000002</v>
      </c>
      <c r="P69" s="58">
        <v>26.652999999999999</v>
      </c>
      <c r="Q69" s="58">
        <v>6.468</v>
      </c>
      <c r="R69" s="58">
        <v>21.510999999999999</v>
      </c>
      <c r="S69" s="58">
        <v>17.036000000000001</v>
      </c>
      <c r="T69" s="58">
        <v>4.4749999999999996</v>
      </c>
      <c r="U69" s="58">
        <v>73.44</v>
      </c>
      <c r="V69" s="58">
        <v>31.085999999999999</v>
      </c>
      <c r="W69" s="58">
        <v>42.353999999999999</v>
      </c>
      <c r="X69" s="58">
        <v>511.07499999999999</v>
      </c>
      <c r="Y69" s="58">
        <v>284.28699999999998</v>
      </c>
      <c r="Z69" s="58">
        <v>226.78800000000001</v>
      </c>
      <c r="AA69" s="58">
        <v>209</v>
      </c>
      <c r="AB69" s="58">
        <v>161.60499999999999</v>
      </c>
      <c r="AC69" s="58">
        <v>47.395000000000003</v>
      </c>
      <c r="AD69" s="58">
        <v>302.07499999999999</v>
      </c>
      <c r="AE69" s="58">
        <v>122.682</v>
      </c>
      <c r="AF69" s="58">
        <v>179.392</v>
      </c>
      <c r="AG69" s="58">
        <v>247.435</v>
      </c>
      <c r="AH69" s="58">
        <v>191.69800000000001</v>
      </c>
      <c r="AI69" s="58">
        <v>55.737000000000002</v>
      </c>
      <c r="AJ69" s="58">
        <v>337.33600000000001</v>
      </c>
      <c r="AK69" s="58">
        <v>140.70400000000001</v>
      </c>
      <c r="AL69" s="58">
        <v>196.63200000000001</v>
      </c>
      <c r="AM69" s="58">
        <v>335.19600000000003</v>
      </c>
      <c r="AN69" s="58">
        <v>149.33500000000001</v>
      </c>
      <c r="AO69" s="58">
        <v>185.86</v>
      </c>
      <c r="AP69" s="58">
        <v>3411.884</v>
      </c>
      <c r="AQ69" s="58">
        <v>1818.538</v>
      </c>
      <c r="AR69" s="58">
        <v>1593.346</v>
      </c>
      <c r="AS69" s="58">
        <v>2294.732</v>
      </c>
      <c r="AT69" s="58">
        <v>1463.384</v>
      </c>
      <c r="AU69" s="58">
        <v>831.34799999999996</v>
      </c>
      <c r="AV69" s="58">
        <v>1117.152</v>
      </c>
      <c r="AW69" s="58">
        <v>355.154</v>
      </c>
      <c r="AX69" s="58">
        <v>761.99800000000005</v>
      </c>
      <c r="AY69" s="58">
        <v>509.44099999999997</v>
      </c>
      <c r="AZ69" s="58">
        <v>272.767</v>
      </c>
      <c r="BA69" s="58">
        <v>236.67500000000001</v>
      </c>
      <c r="BB69" s="58">
        <v>95.191000000000003</v>
      </c>
      <c r="BC69" s="58">
        <v>56.386000000000003</v>
      </c>
      <c r="BD69" s="58">
        <v>38.805</v>
      </c>
      <c r="BE69" s="58">
        <v>32.396999999999998</v>
      </c>
      <c r="BF69" s="58">
        <v>24.428000000000001</v>
      </c>
      <c r="BG69" s="58">
        <v>7.9690000000000003</v>
      </c>
      <c r="BH69" s="58">
        <v>19.602</v>
      </c>
      <c r="BI69" s="58">
        <v>13.307</v>
      </c>
      <c r="BJ69" s="58">
        <v>6.2949999999999999</v>
      </c>
      <c r="BK69" s="58">
        <v>12.795999999999999</v>
      </c>
      <c r="BL69" s="58">
        <v>11.122</v>
      </c>
      <c r="BM69" s="58">
        <v>1.6739999999999999</v>
      </c>
      <c r="BN69" s="58">
        <v>62.793999999999997</v>
      </c>
      <c r="BO69" s="58">
        <v>31.957999999999998</v>
      </c>
      <c r="BP69" s="58">
        <v>30.835999999999999</v>
      </c>
      <c r="BQ69" s="58">
        <v>464.18599999999998</v>
      </c>
      <c r="BR69" s="58">
        <v>246.52799999999999</v>
      </c>
      <c r="BS69" s="58">
        <v>217.65799999999999</v>
      </c>
      <c r="BT69" s="58">
        <v>167.02199999999999</v>
      </c>
      <c r="BU69" s="58">
        <v>122.444</v>
      </c>
      <c r="BV69" s="58">
        <v>44.578000000000003</v>
      </c>
      <c r="BW69" s="58">
        <v>297.16399999999999</v>
      </c>
      <c r="BX69" s="58">
        <v>124.084</v>
      </c>
      <c r="BY69" s="58">
        <v>173.08</v>
      </c>
      <c r="BZ69" s="58">
        <v>187.88200000000001</v>
      </c>
      <c r="CA69" s="58">
        <v>139.001</v>
      </c>
      <c r="CB69" s="58">
        <v>48.881</v>
      </c>
      <c r="CC69" s="58">
        <v>321.55900000000003</v>
      </c>
      <c r="CD69" s="58">
        <v>133.76599999999999</v>
      </c>
      <c r="CE69" s="58">
        <v>187.79300000000001</v>
      </c>
      <c r="CF69" s="58">
        <v>316.76600000000002</v>
      </c>
      <c r="CG69" s="58">
        <v>137.38999999999999</v>
      </c>
      <c r="CH69" s="58">
        <v>179.375</v>
      </c>
      <c r="CI69" s="58">
        <v>2524.6610000000001</v>
      </c>
      <c r="CJ69" s="58">
        <v>1311.864</v>
      </c>
      <c r="CK69" s="58">
        <v>1212.797</v>
      </c>
      <c r="CL69" s="58">
        <v>1727.8979999999999</v>
      </c>
      <c r="CM69" s="58">
        <v>1071.827</v>
      </c>
      <c r="CN69" s="58">
        <v>656.07100000000003</v>
      </c>
      <c r="CO69" s="58">
        <v>796.76300000000003</v>
      </c>
      <c r="CP69" s="58">
        <v>240.03700000000001</v>
      </c>
      <c r="CQ69" s="58">
        <v>556.726</v>
      </c>
      <c r="CR69" s="58">
        <v>390.49799999999999</v>
      </c>
      <c r="CS69" s="58">
        <v>198.24799999999999</v>
      </c>
      <c r="CT69" s="58">
        <v>192.25</v>
      </c>
      <c r="CU69" s="58">
        <v>71.48</v>
      </c>
      <c r="CV69" s="58">
        <v>44.003999999999998</v>
      </c>
      <c r="CW69" s="58">
        <v>27.475999999999999</v>
      </c>
      <c r="CX69" s="58">
        <v>25.568999999999999</v>
      </c>
      <c r="CY69" s="58">
        <v>22.137</v>
      </c>
      <c r="CZ69" s="58">
        <v>3.4319999999999999</v>
      </c>
      <c r="DA69" s="58">
        <v>14.526</v>
      </c>
      <c r="DB69" s="58">
        <v>12.478</v>
      </c>
      <c r="DC69" s="58">
        <v>2.048</v>
      </c>
      <c r="DD69" s="58">
        <v>11.042</v>
      </c>
      <c r="DE69" s="58">
        <v>9.6579999999999995</v>
      </c>
      <c r="DF69" s="58">
        <v>1.3839999999999999</v>
      </c>
      <c r="DG69" s="58">
        <v>45.911000000000001</v>
      </c>
      <c r="DH69" s="58">
        <v>21.867000000000001</v>
      </c>
      <c r="DI69" s="58">
        <v>24.044</v>
      </c>
      <c r="DJ69" s="58">
        <v>348.01499999999999</v>
      </c>
      <c r="DK69" s="58">
        <v>170.87200000000001</v>
      </c>
      <c r="DL69" s="58">
        <v>177.143</v>
      </c>
      <c r="DM69" s="58">
        <v>120.685</v>
      </c>
      <c r="DN69" s="58">
        <v>83.156999999999996</v>
      </c>
      <c r="DO69" s="58">
        <v>37.529000000000003</v>
      </c>
      <c r="DP69" s="58">
        <v>227.33</v>
      </c>
      <c r="DQ69" s="58">
        <v>87.715000000000003</v>
      </c>
      <c r="DR69" s="58">
        <v>139.614</v>
      </c>
      <c r="DS69" s="58">
        <v>141.00899999999999</v>
      </c>
      <c r="DT69" s="58">
        <v>100.47199999999999</v>
      </c>
      <c r="DU69" s="58">
        <v>40.536999999999999</v>
      </c>
      <c r="DV69" s="58">
        <v>249.489</v>
      </c>
      <c r="DW69" s="58">
        <v>97.775999999999996</v>
      </c>
      <c r="DX69" s="58">
        <v>151.71299999999999</v>
      </c>
      <c r="DY69" s="58">
        <v>241.85599999999999</v>
      </c>
      <c r="DZ69" s="58">
        <v>100.193</v>
      </c>
      <c r="EA69" s="58">
        <v>141.66300000000001</v>
      </c>
      <c r="EB69" s="58">
        <v>862.93899999999996</v>
      </c>
      <c r="EC69" s="58">
        <v>450.30500000000001</v>
      </c>
      <c r="ED69" s="58">
        <v>412.63400000000001</v>
      </c>
      <c r="EE69" s="58">
        <v>552.21699999999998</v>
      </c>
      <c r="EF69" s="58">
        <v>357.22399999999999</v>
      </c>
      <c r="EG69" s="58">
        <v>194.99299999999999</v>
      </c>
      <c r="EH69" s="58">
        <v>310.72199999999998</v>
      </c>
      <c r="EI69" s="58">
        <v>93.081000000000003</v>
      </c>
      <c r="EJ69" s="58">
        <v>217.64099999999999</v>
      </c>
      <c r="EK69" s="58">
        <v>131.51599999999999</v>
      </c>
      <c r="EL69" s="58">
        <v>67.644999999999996</v>
      </c>
      <c r="EM69" s="58">
        <v>63.872</v>
      </c>
      <c r="EN69" s="58">
        <v>31.529</v>
      </c>
      <c r="EO69" s="58">
        <v>17.885000000000002</v>
      </c>
      <c r="EP69" s="58">
        <v>13.644</v>
      </c>
      <c r="EQ69" s="58">
        <v>11.797000000000001</v>
      </c>
      <c r="ER69" s="58">
        <v>9.1470000000000002</v>
      </c>
      <c r="ES69" s="58">
        <v>2.65</v>
      </c>
      <c r="ET69" s="58">
        <v>4.6429999999999998</v>
      </c>
      <c r="EU69" s="58">
        <v>2.899</v>
      </c>
      <c r="EV69" s="58">
        <v>1.7450000000000001</v>
      </c>
      <c r="EW69" s="58">
        <v>7.1539999999999999</v>
      </c>
      <c r="EX69" s="58">
        <v>6.2480000000000002</v>
      </c>
      <c r="EY69" s="58">
        <v>0.90500000000000003</v>
      </c>
      <c r="EZ69" s="58">
        <v>19.731999999999999</v>
      </c>
      <c r="FA69" s="58">
        <v>8.7379999999999995</v>
      </c>
      <c r="FB69" s="58">
        <v>10.994</v>
      </c>
      <c r="FC69" s="58">
        <v>111.72799999999999</v>
      </c>
      <c r="FD69" s="58">
        <v>55.539000000000001</v>
      </c>
      <c r="FE69" s="58">
        <v>56.189</v>
      </c>
      <c r="FF69" s="58">
        <v>37.298000000000002</v>
      </c>
      <c r="FG69" s="58">
        <v>27.481999999999999</v>
      </c>
      <c r="FH69" s="58">
        <v>9.8170000000000002</v>
      </c>
      <c r="FI69" s="58">
        <v>74.430000000000007</v>
      </c>
      <c r="FJ69" s="58">
        <v>28.056999999999999</v>
      </c>
      <c r="FK69" s="58">
        <v>46.372999999999998</v>
      </c>
      <c r="FL69" s="58">
        <v>47.548999999999999</v>
      </c>
      <c r="FM69" s="58">
        <v>35.082000000000001</v>
      </c>
      <c r="FN69" s="58">
        <v>12.465999999999999</v>
      </c>
      <c r="FO69" s="58">
        <v>83.968000000000004</v>
      </c>
      <c r="FP69" s="58">
        <v>32.563000000000002</v>
      </c>
      <c r="FQ69" s="58">
        <v>51.405000000000001</v>
      </c>
      <c r="FR69" s="58">
        <v>79.072999999999993</v>
      </c>
      <c r="FS69" s="58">
        <v>30.956</v>
      </c>
      <c r="FT69" s="58">
        <v>48.116999999999997</v>
      </c>
      <c r="FU69" s="58">
        <v>1356.0260000000001</v>
      </c>
      <c r="FV69" s="58">
        <v>733.10799999999995</v>
      </c>
      <c r="FW69" s="58">
        <v>622.91700000000003</v>
      </c>
      <c r="FX69" s="58">
        <v>926.12599999999998</v>
      </c>
      <c r="FY69" s="58">
        <v>602.68899999999996</v>
      </c>
      <c r="FZ69" s="58">
        <v>323.43700000000001</v>
      </c>
      <c r="GA69" s="58">
        <v>429.9</v>
      </c>
      <c r="GB69" s="58">
        <v>130.41900000000001</v>
      </c>
      <c r="GC69" s="58">
        <v>299.48099999999999</v>
      </c>
      <c r="GD69" s="58">
        <v>208.446</v>
      </c>
      <c r="GE69" s="58">
        <v>110.527</v>
      </c>
      <c r="GF69" s="58">
        <v>97.918999999999997</v>
      </c>
      <c r="GG69" s="58">
        <v>37.808</v>
      </c>
      <c r="GH69" s="58">
        <v>21.54</v>
      </c>
      <c r="GI69" s="58">
        <v>16.268000000000001</v>
      </c>
      <c r="GJ69" s="58">
        <v>15.632</v>
      </c>
      <c r="GK69" s="58">
        <v>11.728999999999999</v>
      </c>
      <c r="GL69" s="58">
        <v>3.903</v>
      </c>
      <c r="GM69" s="58">
        <v>8.9450000000000003</v>
      </c>
      <c r="GN69" s="58">
        <v>6.9130000000000003</v>
      </c>
      <c r="GO69" s="58">
        <v>2.032</v>
      </c>
      <c r="GP69" s="58">
        <v>6.6870000000000003</v>
      </c>
      <c r="GQ69" s="58">
        <v>4.8159999999999998</v>
      </c>
      <c r="GR69" s="58">
        <v>1.87</v>
      </c>
      <c r="GS69" s="58">
        <v>22.175999999999998</v>
      </c>
      <c r="GT69" s="58">
        <v>9.81</v>
      </c>
      <c r="GU69" s="58">
        <v>12.366</v>
      </c>
      <c r="GV69" s="58">
        <v>188.85</v>
      </c>
      <c r="GW69" s="58">
        <v>100.667</v>
      </c>
      <c r="GX69" s="58">
        <v>88.183000000000007</v>
      </c>
      <c r="GY69" s="58">
        <v>72.173000000000002</v>
      </c>
      <c r="GZ69" s="58">
        <v>54.982999999999997</v>
      </c>
      <c r="HA69" s="58">
        <v>17.190000000000001</v>
      </c>
      <c r="HB69" s="58">
        <v>116.67700000000001</v>
      </c>
      <c r="HC69" s="58">
        <v>45.683999999999997</v>
      </c>
      <c r="HD69" s="58">
        <v>70.992999999999995</v>
      </c>
      <c r="HE69" s="58">
        <v>83.072999999999993</v>
      </c>
      <c r="HF69" s="58">
        <v>61.981000000000002</v>
      </c>
      <c r="HG69" s="58">
        <v>21.091999999999999</v>
      </c>
      <c r="HH69" s="58">
        <v>125.373</v>
      </c>
      <c r="HI69" s="58">
        <v>48.545999999999999</v>
      </c>
      <c r="HJ69" s="58">
        <v>76.826999999999998</v>
      </c>
      <c r="HK69" s="58">
        <v>125.623</v>
      </c>
      <c r="HL69" s="58">
        <v>52.597000000000001</v>
      </c>
      <c r="HM69" s="58">
        <v>73.025000000000006</v>
      </c>
      <c r="HN69" s="58">
        <v>249.52099999999999</v>
      </c>
      <c r="HO69" s="58">
        <v>130.78</v>
      </c>
      <c r="HP69" s="58">
        <v>118.74</v>
      </c>
      <c r="HQ69" s="58">
        <v>150.70099999999999</v>
      </c>
      <c r="HR69" s="58">
        <v>99.114999999999995</v>
      </c>
      <c r="HS69" s="58">
        <v>51.587000000000003</v>
      </c>
      <c r="HT69" s="58">
        <v>98.819000000000003</v>
      </c>
      <c r="HU69" s="58">
        <v>31.666</v>
      </c>
      <c r="HV69" s="58">
        <v>67.153000000000006</v>
      </c>
      <c r="HW69" s="58">
        <v>40.311999999999998</v>
      </c>
      <c r="HX69" s="58">
        <v>17.82</v>
      </c>
      <c r="HY69" s="58">
        <v>22.492000000000001</v>
      </c>
      <c r="HZ69" s="58">
        <v>9.2590000000000003</v>
      </c>
      <c r="IA69" s="58">
        <v>4.1180000000000003</v>
      </c>
      <c r="IB69" s="58">
        <v>5.141</v>
      </c>
      <c r="IC69" s="58">
        <v>1.677</v>
      </c>
      <c r="ID69" s="58">
        <v>1.3480000000000001</v>
      </c>
      <c r="IE69" s="58">
        <v>0.32900000000000001</v>
      </c>
      <c r="IF69" s="58">
        <v>0.55500000000000005</v>
      </c>
      <c r="IG69" s="58">
        <v>0.437</v>
      </c>
      <c r="IH69" s="58">
        <v>0.11799999999999999</v>
      </c>
      <c r="II69" s="58">
        <v>1.123</v>
      </c>
      <c r="IJ69" s="58">
        <v>0.91200000000000003</v>
      </c>
      <c r="IK69" s="58">
        <v>0.21099999999999999</v>
      </c>
      <c r="IL69" s="58">
        <v>7.5819999999999999</v>
      </c>
      <c r="IM69" s="58">
        <v>2.77</v>
      </c>
      <c r="IN69" s="58">
        <v>4.8120000000000003</v>
      </c>
      <c r="IO69" s="58">
        <v>35.896000000000001</v>
      </c>
      <c r="IP69" s="58">
        <v>15.926</v>
      </c>
      <c r="IQ69" s="58">
        <v>19.97</v>
      </c>
    </row>
    <row r="70" spans="1:251">
      <c r="A70" s="5">
        <v>43617</v>
      </c>
      <c r="B70" s="58">
        <v>1092.931</v>
      </c>
      <c r="C70" s="58">
        <v>1267.375</v>
      </c>
      <c r="D70" s="58">
        <v>433.09800000000001</v>
      </c>
      <c r="E70" s="58">
        <v>834.27599999999995</v>
      </c>
      <c r="F70" s="58">
        <v>583.92899999999997</v>
      </c>
      <c r="G70" s="58">
        <v>310.59800000000001</v>
      </c>
      <c r="H70" s="58">
        <v>273.33100000000002</v>
      </c>
      <c r="I70" s="58">
        <v>107.265</v>
      </c>
      <c r="J70" s="58">
        <v>63.232999999999997</v>
      </c>
      <c r="K70" s="58">
        <v>44.031999999999996</v>
      </c>
      <c r="L70" s="58">
        <v>41.841999999999999</v>
      </c>
      <c r="M70" s="58">
        <v>30.544</v>
      </c>
      <c r="N70" s="58">
        <v>11.298</v>
      </c>
      <c r="O70" s="58">
        <v>20.678000000000001</v>
      </c>
      <c r="P70" s="58">
        <v>16.138000000000002</v>
      </c>
      <c r="Q70" s="58">
        <v>4.54</v>
      </c>
      <c r="R70" s="58">
        <v>21.164999999999999</v>
      </c>
      <c r="S70" s="58">
        <v>14.406000000000001</v>
      </c>
      <c r="T70" s="58">
        <v>6.7590000000000003</v>
      </c>
      <c r="U70" s="58">
        <v>65.423000000000002</v>
      </c>
      <c r="V70" s="58">
        <v>32.689</v>
      </c>
      <c r="W70" s="58">
        <v>32.734000000000002</v>
      </c>
      <c r="X70" s="58">
        <v>516.97199999999998</v>
      </c>
      <c r="Y70" s="58">
        <v>272.42899999999997</v>
      </c>
      <c r="Z70" s="58">
        <v>244.54400000000001</v>
      </c>
      <c r="AA70" s="58">
        <v>211.17099999999999</v>
      </c>
      <c r="AB70" s="58">
        <v>146.58600000000001</v>
      </c>
      <c r="AC70" s="58">
        <v>64.585999999999999</v>
      </c>
      <c r="AD70" s="58">
        <v>305.80099999999999</v>
      </c>
      <c r="AE70" s="58">
        <v>125.843</v>
      </c>
      <c r="AF70" s="58">
        <v>179.958</v>
      </c>
      <c r="AG70" s="58">
        <v>244.31100000000001</v>
      </c>
      <c r="AH70" s="58">
        <v>169.48400000000001</v>
      </c>
      <c r="AI70" s="58">
        <v>74.826999999999998</v>
      </c>
      <c r="AJ70" s="58">
        <v>339.61900000000003</v>
      </c>
      <c r="AK70" s="58">
        <v>141.11500000000001</v>
      </c>
      <c r="AL70" s="58">
        <v>198.50399999999999</v>
      </c>
      <c r="AM70" s="58">
        <v>326.47800000000001</v>
      </c>
      <c r="AN70" s="58">
        <v>141.98099999999999</v>
      </c>
      <c r="AO70" s="58">
        <v>184.49700000000001</v>
      </c>
      <c r="AP70" s="58">
        <v>3400.2069999999999</v>
      </c>
      <c r="AQ70" s="58">
        <v>1808.7919999999999</v>
      </c>
      <c r="AR70" s="58">
        <v>1591.415</v>
      </c>
      <c r="AS70" s="58">
        <v>2278.1289999999999</v>
      </c>
      <c r="AT70" s="58">
        <v>1445.117</v>
      </c>
      <c r="AU70" s="58">
        <v>833.01199999999994</v>
      </c>
      <c r="AV70" s="58">
        <v>1122.078</v>
      </c>
      <c r="AW70" s="58">
        <v>363.67399999999998</v>
      </c>
      <c r="AX70" s="58">
        <v>758.40300000000002</v>
      </c>
      <c r="AY70" s="58">
        <v>477.98</v>
      </c>
      <c r="AZ70" s="58">
        <v>268.08999999999997</v>
      </c>
      <c r="BA70" s="58">
        <v>209.89</v>
      </c>
      <c r="BB70" s="58">
        <v>78.266999999999996</v>
      </c>
      <c r="BC70" s="58">
        <v>46.375</v>
      </c>
      <c r="BD70" s="58">
        <v>31.891999999999999</v>
      </c>
      <c r="BE70" s="58">
        <v>27.495999999999999</v>
      </c>
      <c r="BF70" s="58">
        <v>20.259</v>
      </c>
      <c r="BG70" s="58">
        <v>7.2370000000000001</v>
      </c>
      <c r="BH70" s="58">
        <v>15.211</v>
      </c>
      <c r="BI70" s="58">
        <v>9.0210000000000008</v>
      </c>
      <c r="BJ70" s="58">
        <v>6.19</v>
      </c>
      <c r="BK70" s="58">
        <v>12.285</v>
      </c>
      <c r="BL70" s="58">
        <v>11.238</v>
      </c>
      <c r="BM70" s="58">
        <v>1.0469999999999999</v>
      </c>
      <c r="BN70" s="58">
        <v>50.771000000000001</v>
      </c>
      <c r="BO70" s="58">
        <v>26.116</v>
      </c>
      <c r="BP70" s="58">
        <v>24.655000000000001</v>
      </c>
      <c r="BQ70" s="58">
        <v>439.22</v>
      </c>
      <c r="BR70" s="58">
        <v>243.99700000000001</v>
      </c>
      <c r="BS70" s="58">
        <v>195.22200000000001</v>
      </c>
      <c r="BT70" s="58">
        <v>175.392</v>
      </c>
      <c r="BU70" s="58">
        <v>131.607</v>
      </c>
      <c r="BV70" s="58">
        <v>43.784999999999997</v>
      </c>
      <c r="BW70" s="58">
        <v>263.82799999999997</v>
      </c>
      <c r="BX70" s="58">
        <v>112.39100000000001</v>
      </c>
      <c r="BY70" s="58">
        <v>151.43700000000001</v>
      </c>
      <c r="BZ70" s="58">
        <v>193.946</v>
      </c>
      <c r="CA70" s="58">
        <v>145.91300000000001</v>
      </c>
      <c r="CB70" s="58">
        <v>48.031999999999996</v>
      </c>
      <c r="CC70" s="58">
        <v>284.03500000000003</v>
      </c>
      <c r="CD70" s="58">
        <v>122.17700000000001</v>
      </c>
      <c r="CE70" s="58">
        <v>161.858</v>
      </c>
      <c r="CF70" s="58">
        <v>279.03899999999999</v>
      </c>
      <c r="CG70" s="58">
        <v>121.41200000000001</v>
      </c>
      <c r="CH70" s="58">
        <v>157.62700000000001</v>
      </c>
      <c r="CI70" s="58">
        <v>2508.9169999999999</v>
      </c>
      <c r="CJ70" s="58">
        <v>1307.9490000000001</v>
      </c>
      <c r="CK70" s="58">
        <v>1200.9680000000001</v>
      </c>
      <c r="CL70" s="58">
        <v>1738.0550000000001</v>
      </c>
      <c r="CM70" s="58">
        <v>1083.7260000000001</v>
      </c>
      <c r="CN70" s="58">
        <v>654.32899999999995</v>
      </c>
      <c r="CO70" s="58">
        <v>770.86199999999997</v>
      </c>
      <c r="CP70" s="58">
        <v>224.22300000000001</v>
      </c>
      <c r="CQ70" s="58">
        <v>546.63900000000001</v>
      </c>
      <c r="CR70" s="58">
        <v>367.95299999999997</v>
      </c>
      <c r="CS70" s="58">
        <v>190.13200000000001</v>
      </c>
      <c r="CT70" s="58">
        <v>177.821</v>
      </c>
      <c r="CU70" s="58">
        <v>69.926000000000002</v>
      </c>
      <c r="CV70" s="58">
        <v>38.24</v>
      </c>
      <c r="CW70" s="58">
        <v>31.686</v>
      </c>
      <c r="CX70" s="58">
        <v>25.225000000000001</v>
      </c>
      <c r="CY70" s="58">
        <v>19.414000000000001</v>
      </c>
      <c r="CZ70" s="58">
        <v>5.8120000000000003</v>
      </c>
      <c r="DA70" s="58">
        <v>13.714</v>
      </c>
      <c r="DB70" s="58">
        <v>11.218</v>
      </c>
      <c r="DC70" s="58">
        <v>2.496</v>
      </c>
      <c r="DD70" s="58">
        <v>11.512</v>
      </c>
      <c r="DE70" s="58">
        <v>8.1959999999999997</v>
      </c>
      <c r="DF70" s="58">
        <v>3.3159999999999998</v>
      </c>
      <c r="DG70" s="58">
        <v>44.701000000000001</v>
      </c>
      <c r="DH70" s="58">
        <v>18.826000000000001</v>
      </c>
      <c r="DI70" s="58">
        <v>25.875</v>
      </c>
      <c r="DJ70" s="58">
        <v>332.16699999999997</v>
      </c>
      <c r="DK70" s="58">
        <v>169.10599999999999</v>
      </c>
      <c r="DL70" s="58">
        <v>163.06100000000001</v>
      </c>
      <c r="DM70" s="58">
        <v>116.105</v>
      </c>
      <c r="DN70" s="58">
        <v>87.242999999999995</v>
      </c>
      <c r="DO70" s="58">
        <v>28.861000000000001</v>
      </c>
      <c r="DP70" s="58">
        <v>216.06200000000001</v>
      </c>
      <c r="DQ70" s="58">
        <v>81.863</v>
      </c>
      <c r="DR70" s="58">
        <v>134.19900000000001</v>
      </c>
      <c r="DS70" s="58">
        <v>135.31800000000001</v>
      </c>
      <c r="DT70" s="58">
        <v>101.729</v>
      </c>
      <c r="DU70" s="58">
        <v>33.588000000000001</v>
      </c>
      <c r="DV70" s="58">
        <v>232.63499999999999</v>
      </c>
      <c r="DW70" s="58">
        <v>88.402000000000001</v>
      </c>
      <c r="DX70" s="58">
        <v>144.233</v>
      </c>
      <c r="DY70" s="58">
        <v>229.77600000000001</v>
      </c>
      <c r="DZ70" s="58">
        <v>93.08</v>
      </c>
      <c r="EA70" s="58">
        <v>136.69499999999999</v>
      </c>
      <c r="EB70" s="58">
        <v>859.45500000000004</v>
      </c>
      <c r="EC70" s="58">
        <v>445.90800000000002</v>
      </c>
      <c r="ED70" s="58">
        <v>413.54700000000003</v>
      </c>
      <c r="EE70" s="58">
        <v>549.07600000000002</v>
      </c>
      <c r="EF70" s="58">
        <v>356.07299999999998</v>
      </c>
      <c r="EG70" s="58">
        <v>193.00200000000001</v>
      </c>
      <c r="EH70" s="58">
        <v>310.37900000000002</v>
      </c>
      <c r="EI70" s="58">
        <v>89.834999999999994</v>
      </c>
      <c r="EJ70" s="58">
        <v>220.54400000000001</v>
      </c>
      <c r="EK70" s="58">
        <v>133.04599999999999</v>
      </c>
      <c r="EL70" s="58">
        <v>69.015000000000001</v>
      </c>
      <c r="EM70" s="58">
        <v>64.031000000000006</v>
      </c>
      <c r="EN70" s="58">
        <v>30.919</v>
      </c>
      <c r="EO70" s="58">
        <v>18.283000000000001</v>
      </c>
      <c r="EP70" s="58">
        <v>12.635999999999999</v>
      </c>
      <c r="EQ70" s="58">
        <v>12.069000000000001</v>
      </c>
      <c r="ER70" s="58">
        <v>9.0399999999999991</v>
      </c>
      <c r="ES70" s="58">
        <v>3.0289999999999999</v>
      </c>
      <c r="ET70" s="58">
        <v>5.2370000000000001</v>
      </c>
      <c r="EU70" s="58">
        <v>3.81</v>
      </c>
      <c r="EV70" s="58">
        <v>1.427</v>
      </c>
      <c r="EW70" s="58">
        <v>6.8319999999999999</v>
      </c>
      <c r="EX70" s="58">
        <v>5.23</v>
      </c>
      <c r="EY70" s="58">
        <v>1.6020000000000001</v>
      </c>
      <c r="EZ70" s="58">
        <v>18.850000000000001</v>
      </c>
      <c r="FA70" s="58">
        <v>9.2430000000000003</v>
      </c>
      <c r="FB70" s="58">
        <v>9.6069999999999993</v>
      </c>
      <c r="FC70" s="58">
        <v>113.316</v>
      </c>
      <c r="FD70" s="58">
        <v>57.89</v>
      </c>
      <c r="FE70" s="58">
        <v>55.426000000000002</v>
      </c>
      <c r="FF70" s="58">
        <v>36.177</v>
      </c>
      <c r="FG70" s="58">
        <v>27.568000000000001</v>
      </c>
      <c r="FH70" s="58">
        <v>8.61</v>
      </c>
      <c r="FI70" s="58">
        <v>77.138000000000005</v>
      </c>
      <c r="FJ70" s="58">
        <v>30.321999999999999</v>
      </c>
      <c r="FK70" s="58">
        <v>46.816000000000003</v>
      </c>
      <c r="FL70" s="58">
        <v>44.844999999999999</v>
      </c>
      <c r="FM70" s="58">
        <v>33.99</v>
      </c>
      <c r="FN70" s="58">
        <v>10.855</v>
      </c>
      <c r="FO70" s="58">
        <v>88.200999999999993</v>
      </c>
      <c r="FP70" s="58">
        <v>35.024999999999999</v>
      </c>
      <c r="FQ70" s="58">
        <v>53.176000000000002</v>
      </c>
      <c r="FR70" s="58">
        <v>82.375</v>
      </c>
      <c r="FS70" s="58">
        <v>34.131999999999998</v>
      </c>
      <c r="FT70" s="58">
        <v>48.243000000000002</v>
      </c>
      <c r="FU70" s="58">
        <v>1367.96</v>
      </c>
      <c r="FV70" s="58">
        <v>739.18600000000004</v>
      </c>
      <c r="FW70" s="58">
        <v>628.77499999999998</v>
      </c>
      <c r="FX70" s="58">
        <v>923.35699999999997</v>
      </c>
      <c r="FY70" s="58">
        <v>605.64099999999996</v>
      </c>
      <c r="FZ70" s="58">
        <v>317.71499999999997</v>
      </c>
      <c r="GA70" s="58">
        <v>444.60300000000001</v>
      </c>
      <c r="GB70" s="58">
        <v>133.54400000000001</v>
      </c>
      <c r="GC70" s="58">
        <v>311.05900000000003</v>
      </c>
      <c r="GD70" s="58">
        <v>220.11600000000001</v>
      </c>
      <c r="GE70" s="58">
        <v>116.816</v>
      </c>
      <c r="GF70" s="58">
        <v>103.3</v>
      </c>
      <c r="GG70" s="58">
        <v>47.064</v>
      </c>
      <c r="GH70" s="58">
        <v>28.65</v>
      </c>
      <c r="GI70" s="58">
        <v>18.414000000000001</v>
      </c>
      <c r="GJ70" s="58">
        <v>20.163</v>
      </c>
      <c r="GK70" s="58">
        <v>16.05</v>
      </c>
      <c r="GL70" s="58">
        <v>4.1130000000000004</v>
      </c>
      <c r="GM70" s="58">
        <v>13.132999999999999</v>
      </c>
      <c r="GN70" s="58">
        <v>11.425000000000001</v>
      </c>
      <c r="GO70" s="58">
        <v>1.708</v>
      </c>
      <c r="GP70" s="58">
        <v>7.03</v>
      </c>
      <c r="GQ70" s="58">
        <v>4.625</v>
      </c>
      <c r="GR70" s="58">
        <v>2.4060000000000001</v>
      </c>
      <c r="GS70" s="58">
        <v>26.901</v>
      </c>
      <c r="GT70" s="58">
        <v>12.6</v>
      </c>
      <c r="GU70" s="58">
        <v>14.301</v>
      </c>
      <c r="GV70" s="58">
        <v>195.09399999999999</v>
      </c>
      <c r="GW70" s="58">
        <v>101.24299999999999</v>
      </c>
      <c r="GX70" s="58">
        <v>93.850999999999999</v>
      </c>
      <c r="GY70" s="58">
        <v>66.108999999999995</v>
      </c>
      <c r="GZ70" s="58">
        <v>50.597000000000001</v>
      </c>
      <c r="HA70" s="58">
        <v>15.512</v>
      </c>
      <c r="HB70" s="58">
        <v>128.98500000000001</v>
      </c>
      <c r="HC70" s="58">
        <v>50.646999999999998</v>
      </c>
      <c r="HD70" s="58">
        <v>78.337999999999994</v>
      </c>
      <c r="HE70" s="58">
        <v>80.194999999999993</v>
      </c>
      <c r="HF70" s="58">
        <v>61.942</v>
      </c>
      <c r="HG70" s="58">
        <v>18.253</v>
      </c>
      <c r="HH70" s="58">
        <v>139.91999999999999</v>
      </c>
      <c r="HI70" s="58">
        <v>54.874000000000002</v>
      </c>
      <c r="HJ70" s="58">
        <v>85.046999999999997</v>
      </c>
      <c r="HK70" s="58">
        <v>142.11699999999999</v>
      </c>
      <c r="HL70" s="58">
        <v>62.072000000000003</v>
      </c>
      <c r="HM70" s="58">
        <v>80.046000000000006</v>
      </c>
      <c r="HN70" s="58">
        <v>247.15600000000001</v>
      </c>
      <c r="HO70" s="58">
        <v>128.71100000000001</v>
      </c>
      <c r="HP70" s="58">
        <v>118.446</v>
      </c>
      <c r="HQ70" s="58">
        <v>150.43199999999999</v>
      </c>
      <c r="HR70" s="58">
        <v>98.548000000000002</v>
      </c>
      <c r="HS70" s="58">
        <v>51.884</v>
      </c>
      <c r="HT70" s="58">
        <v>96.724000000000004</v>
      </c>
      <c r="HU70" s="58">
        <v>30.161999999999999</v>
      </c>
      <c r="HV70" s="58">
        <v>66.561000000000007</v>
      </c>
      <c r="HW70" s="58">
        <v>39.862000000000002</v>
      </c>
      <c r="HX70" s="58">
        <v>18.41</v>
      </c>
      <c r="HY70" s="58">
        <v>21.452000000000002</v>
      </c>
      <c r="HZ70" s="58">
        <v>8.1880000000000006</v>
      </c>
      <c r="IA70" s="58">
        <v>3.363</v>
      </c>
      <c r="IB70" s="58">
        <v>4.8250000000000002</v>
      </c>
      <c r="IC70" s="58">
        <v>1.829</v>
      </c>
      <c r="ID70" s="58">
        <v>1.1779999999999999</v>
      </c>
      <c r="IE70" s="58">
        <v>0.65100000000000002</v>
      </c>
      <c r="IF70" s="58">
        <v>0.76900000000000002</v>
      </c>
      <c r="IG70" s="58">
        <v>0.45900000000000002</v>
      </c>
      <c r="IH70" s="58">
        <v>0.311</v>
      </c>
      <c r="II70" s="58">
        <v>1.06</v>
      </c>
      <c r="IJ70" s="58">
        <v>0.72</v>
      </c>
      <c r="IK70" s="58">
        <v>0.34</v>
      </c>
      <c r="IL70" s="58">
        <v>6.359</v>
      </c>
      <c r="IM70" s="58">
        <v>2.1840000000000002</v>
      </c>
      <c r="IN70" s="58">
        <v>4.1749999999999998</v>
      </c>
      <c r="IO70" s="58">
        <v>36.612000000000002</v>
      </c>
      <c r="IP70" s="58">
        <v>16.763000000000002</v>
      </c>
      <c r="IQ70" s="58">
        <v>19.850000000000001</v>
      </c>
    </row>
    <row r="71" spans="1:251">
      <c r="A71" s="5">
        <v>43647</v>
      </c>
      <c r="B71" s="58">
        <v>1114.731</v>
      </c>
      <c r="C71" s="58">
        <v>1238.537</v>
      </c>
      <c r="D71" s="58">
        <v>429.55700000000002</v>
      </c>
      <c r="E71" s="58">
        <v>808.97900000000004</v>
      </c>
      <c r="F71" s="58">
        <v>598.22799999999995</v>
      </c>
      <c r="G71" s="58">
        <v>335.65</v>
      </c>
      <c r="H71" s="58">
        <v>262.57900000000001</v>
      </c>
      <c r="I71" s="58">
        <v>114.422</v>
      </c>
      <c r="J71" s="58">
        <v>73.733999999999995</v>
      </c>
      <c r="K71" s="58">
        <v>40.688000000000002</v>
      </c>
      <c r="L71" s="58">
        <v>45.832000000000001</v>
      </c>
      <c r="M71" s="58">
        <v>35.158999999999999</v>
      </c>
      <c r="N71" s="58">
        <v>10.673</v>
      </c>
      <c r="O71" s="58">
        <v>28.242000000000001</v>
      </c>
      <c r="P71" s="58">
        <v>22.260999999999999</v>
      </c>
      <c r="Q71" s="58">
        <v>5.9820000000000002</v>
      </c>
      <c r="R71" s="58">
        <v>17.59</v>
      </c>
      <c r="S71" s="58">
        <v>12.898</v>
      </c>
      <c r="T71" s="58">
        <v>4.6920000000000002</v>
      </c>
      <c r="U71" s="58">
        <v>68.59</v>
      </c>
      <c r="V71" s="58">
        <v>38.575000000000003</v>
      </c>
      <c r="W71" s="58">
        <v>30.015000000000001</v>
      </c>
      <c r="X71" s="58">
        <v>536.39300000000003</v>
      </c>
      <c r="Y71" s="58">
        <v>297.64100000000002</v>
      </c>
      <c r="Z71" s="58">
        <v>238.751</v>
      </c>
      <c r="AA71" s="58">
        <v>222.12899999999999</v>
      </c>
      <c r="AB71" s="58">
        <v>161.56700000000001</v>
      </c>
      <c r="AC71" s="58">
        <v>60.561999999999998</v>
      </c>
      <c r="AD71" s="58">
        <v>314.26400000000001</v>
      </c>
      <c r="AE71" s="58">
        <v>136.07400000000001</v>
      </c>
      <c r="AF71" s="58">
        <v>178.18899999999999</v>
      </c>
      <c r="AG71" s="58">
        <v>252.73500000000001</v>
      </c>
      <c r="AH71" s="58">
        <v>184.34</v>
      </c>
      <c r="AI71" s="58">
        <v>68.394999999999996</v>
      </c>
      <c r="AJ71" s="58">
        <v>345.49400000000003</v>
      </c>
      <c r="AK71" s="58">
        <v>151.31</v>
      </c>
      <c r="AL71" s="58">
        <v>194.184</v>
      </c>
      <c r="AM71" s="58">
        <v>342.50599999999997</v>
      </c>
      <c r="AN71" s="58">
        <v>158.33500000000001</v>
      </c>
      <c r="AO71" s="58">
        <v>184.17099999999999</v>
      </c>
      <c r="AP71" s="58">
        <v>3389.799</v>
      </c>
      <c r="AQ71" s="58">
        <v>1803.2429999999999</v>
      </c>
      <c r="AR71" s="58">
        <v>1586.556</v>
      </c>
      <c r="AS71" s="58">
        <v>2306.7689999999998</v>
      </c>
      <c r="AT71" s="58">
        <v>1452.203</v>
      </c>
      <c r="AU71" s="58">
        <v>854.56700000000001</v>
      </c>
      <c r="AV71" s="58">
        <v>1083.029</v>
      </c>
      <c r="AW71" s="58">
        <v>351.04</v>
      </c>
      <c r="AX71" s="58">
        <v>731.98900000000003</v>
      </c>
      <c r="AY71" s="58">
        <v>495.553</v>
      </c>
      <c r="AZ71" s="58">
        <v>276.22699999999998</v>
      </c>
      <c r="BA71" s="58">
        <v>219.32599999999999</v>
      </c>
      <c r="BB71" s="58">
        <v>104.669</v>
      </c>
      <c r="BC71" s="58">
        <v>65.56</v>
      </c>
      <c r="BD71" s="58">
        <v>39.109000000000002</v>
      </c>
      <c r="BE71" s="58">
        <v>44.737000000000002</v>
      </c>
      <c r="BF71" s="58">
        <v>36.451999999999998</v>
      </c>
      <c r="BG71" s="58">
        <v>8.2859999999999996</v>
      </c>
      <c r="BH71" s="58">
        <v>24.978999999999999</v>
      </c>
      <c r="BI71" s="58">
        <v>19.416</v>
      </c>
      <c r="BJ71" s="58">
        <v>5.5629999999999997</v>
      </c>
      <c r="BK71" s="58">
        <v>19.757999999999999</v>
      </c>
      <c r="BL71" s="58">
        <v>17.035</v>
      </c>
      <c r="BM71" s="58">
        <v>2.7229999999999999</v>
      </c>
      <c r="BN71" s="58">
        <v>59.932000000000002</v>
      </c>
      <c r="BO71" s="58">
        <v>29.108000000000001</v>
      </c>
      <c r="BP71" s="58">
        <v>30.823</v>
      </c>
      <c r="BQ71" s="58">
        <v>442.952</v>
      </c>
      <c r="BR71" s="58">
        <v>241.441</v>
      </c>
      <c r="BS71" s="58">
        <v>201.511</v>
      </c>
      <c r="BT71" s="58">
        <v>167.54599999999999</v>
      </c>
      <c r="BU71" s="58">
        <v>127.74299999999999</v>
      </c>
      <c r="BV71" s="58">
        <v>39.802999999999997</v>
      </c>
      <c r="BW71" s="58">
        <v>275.40600000000001</v>
      </c>
      <c r="BX71" s="58">
        <v>113.69799999999999</v>
      </c>
      <c r="BY71" s="58">
        <v>161.708</v>
      </c>
      <c r="BZ71" s="58">
        <v>196.20599999999999</v>
      </c>
      <c r="CA71" s="58">
        <v>152.16</v>
      </c>
      <c r="CB71" s="58">
        <v>44.045999999999999</v>
      </c>
      <c r="CC71" s="58">
        <v>299.34699999999998</v>
      </c>
      <c r="CD71" s="58">
        <v>124.06699999999999</v>
      </c>
      <c r="CE71" s="58">
        <v>175.28</v>
      </c>
      <c r="CF71" s="58">
        <v>300.38499999999999</v>
      </c>
      <c r="CG71" s="58">
        <v>133.114</v>
      </c>
      <c r="CH71" s="58">
        <v>167.27099999999999</v>
      </c>
      <c r="CI71" s="58">
        <v>2538.4639999999999</v>
      </c>
      <c r="CJ71" s="58">
        <v>1323.318</v>
      </c>
      <c r="CK71" s="58">
        <v>1215.1469999999999</v>
      </c>
      <c r="CL71" s="58">
        <v>1755.4849999999999</v>
      </c>
      <c r="CM71" s="58">
        <v>1092.931</v>
      </c>
      <c r="CN71" s="58">
        <v>662.55399999999997</v>
      </c>
      <c r="CO71" s="58">
        <v>782.97900000000004</v>
      </c>
      <c r="CP71" s="58">
        <v>230.387</v>
      </c>
      <c r="CQ71" s="58">
        <v>552.59299999999996</v>
      </c>
      <c r="CR71" s="58">
        <v>365.67500000000001</v>
      </c>
      <c r="CS71" s="58">
        <v>181.249</v>
      </c>
      <c r="CT71" s="58">
        <v>184.42599999999999</v>
      </c>
      <c r="CU71" s="58">
        <v>61.908000000000001</v>
      </c>
      <c r="CV71" s="58">
        <v>35.237000000000002</v>
      </c>
      <c r="CW71" s="58">
        <v>26.672000000000001</v>
      </c>
      <c r="CX71" s="58">
        <v>28.620999999999999</v>
      </c>
      <c r="CY71" s="58">
        <v>22.707000000000001</v>
      </c>
      <c r="CZ71" s="58">
        <v>5.9139999999999997</v>
      </c>
      <c r="DA71" s="58">
        <v>15.439</v>
      </c>
      <c r="DB71" s="58">
        <v>11.78</v>
      </c>
      <c r="DC71" s="58">
        <v>3.6589999999999998</v>
      </c>
      <c r="DD71" s="58">
        <v>13.182</v>
      </c>
      <c r="DE71" s="58">
        <v>10.927</v>
      </c>
      <c r="DF71" s="58">
        <v>2.254</v>
      </c>
      <c r="DG71" s="58">
        <v>33.287999999999997</v>
      </c>
      <c r="DH71" s="58">
        <v>12.529</v>
      </c>
      <c r="DI71" s="58">
        <v>20.757999999999999</v>
      </c>
      <c r="DJ71" s="58">
        <v>328.82499999999999</v>
      </c>
      <c r="DK71" s="58">
        <v>159.245</v>
      </c>
      <c r="DL71" s="58">
        <v>169.58</v>
      </c>
      <c r="DM71" s="58">
        <v>115.73099999999999</v>
      </c>
      <c r="DN71" s="58">
        <v>82.251000000000005</v>
      </c>
      <c r="DO71" s="58">
        <v>33.481000000000002</v>
      </c>
      <c r="DP71" s="58">
        <v>213.09399999999999</v>
      </c>
      <c r="DQ71" s="58">
        <v>76.994</v>
      </c>
      <c r="DR71" s="58">
        <v>136.09899999999999</v>
      </c>
      <c r="DS71" s="58">
        <v>138.58799999999999</v>
      </c>
      <c r="DT71" s="58">
        <v>100.029</v>
      </c>
      <c r="DU71" s="58">
        <v>38.558999999999997</v>
      </c>
      <c r="DV71" s="58">
        <v>227.08699999999999</v>
      </c>
      <c r="DW71" s="58">
        <v>81.22</v>
      </c>
      <c r="DX71" s="58">
        <v>145.86699999999999</v>
      </c>
      <c r="DY71" s="58">
        <v>228.53299999999999</v>
      </c>
      <c r="DZ71" s="58">
        <v>88.774000000000001</v>
      </c>
      <c r="EA71" s="58">
        <v>139.75899999999999</v>
      </c>
      <c r="EB71" s="58">
        <v>852.779</v>
      </c>
      <c r="EC71" s="58">
        <v>441.37599999999998</v>
      </c>
      <c r="ED71" s="58">
        <v>411.40300000000002</v>
      </c>
      <c r="EE71" s="58">
        <v>550.00599999999997</v>
      </c>
      <c r="EF71" s="58">
        <v>352.48500000000001</v>
      </c>
      <c r="EG71" s="58">
        <v>197.52099999999999</v>
      </c>
      <c r="EH71" s="58">
        <v>302.77199999999999</v>
      </c>
      <c r="EI71" s="58">
        <v>88.89</v>
      </c>
      <c r="EJ71" s="58">
        <v>213.88200000000001</v>
      </c>
      <c r="EK71" s="58">
        <v>130.76300000000001</v>
      </c>
      <c r="EL71" s="58">
        <v>65.471000000000004</v>
      </c>
      <c r="EM71" s="58">
        <v>65.292000000000002</v>
      </c>
      <c r="EN71" s="58">
        <v>33.578000000000003</v>
      </c>
      <c r="EO71" s="58">
        <v>16.805</v>
      </c>
      <c r="EP71" s="58">
        <v>16.773</v>
      </c>
      <c r="EQ71" s="58">
        <v>11.867000000000001</v>
      </c>
      <c r="ER71" s="58">
        <v>7.7309999999999999</v>
      </c>
      <c r="ES71" s="58">
        <v>4.1360000000000001</v>
      </c>
      <c r="ET71" s="58">
        <v>7.0220000000000002</v>
      </c>
      <c r="EU71" s="58">
        <v>4.1390000000000002</v>
      </c>
      <c r="EV71" s="58">
        <v>2.883</v>
      </c>
      <c r="EW71" s="58">
        <v>4.8449999999999998</v>
      </c>
      <c r="EX71" s="58">
        <v>3.5920000000000001</v>
      </c>
      <c r="EY71" s="58">
        <v>1.2529999999999999</v>
      </c>
      <c r="EZ71" s="58">
        <v>21.710999999999999</v>
      </c>
      <c r="FA71" s="58">
        <v>9.0739999999999998</v>
      </c>
      <c r="FB71" s="58">
        <v>12.637</v>
      </c>
      <c r="FC71" s="58">
        <v>113.089</v>
      </c>
      <c r="FD71" s="58">
        <v>56.539000000000001</v>
      </c>
      <c r="FE71" s="58">
        <v>56.55</v>
      </c>
      <c r="FF71" s="58">
        <v>33.302</v>
      </c>
      <c r="FG71" s="58">
        <v>22.542000000000002</v>
      </c>
      <c r="FH71" s="58">
        <v>10.759</v>
      </c>
      <c r="FI71" s="58">
        <v>79.787000000000006</v>
      </c>
      <c r="FJ71" s="58">
        <v>33.996000000000002</v>
      </c>
      <c r="FK71" s="58">
        <v>45.790999999999997</v>
      </c>
      <c r="FL71" s="58">
        <v>42.45</v>
      </c>
      <c r="FM71" s="58">
        <v>28.934000000000001</v>
      </c>
      <c r="FN71" s="58">
        <v>13.516</v>
      </c>
      <c r="FO71" s="58">
        <v>88.313000000000002</v>
      </c>
      <c r="FP71" s="58">
        <v>36.536999999999999</v>
      </c>
      <c r="FQ71" s="58">
        <v>51.776000000000003</v>
      </c>
      <c r="FR71" s="58">
        <v>86.808999999999997</v>
      </c>
      <c r="FS71" s="58">
        <v>38.136000000000003</v>
      </c>
      <c r="FT71" s="58">
        <v>48.673999999999999</v>
      </c>
      <c r="FU71" s="58">
        <v>1360.25</v>
      </c>
      <c r="FV71" s="58">
        <v>729.952</v>
      </c>
      <c r="FW71" s="58">
        <v>630.298</v>
      </c>
      <c r="FX71" s="58">
        <v>927.66800000000001</v>
      </c>
      <c r="FY71" s="58">
        <v>604.47400000000005</v>
      </c>
      <c r="FZ71" s="58">
        <v>323.19400000000002</v>
      </c>
      <c r="GA71" s="58">
        <v>432.58199999999999</v>
      </c>
      <c r="GB71" s="58">
        <v>125.47799999999999</v>
      </c>
      <c r="GC71" s="58">
        <v>307.10399999999998</v>
      </c>
      <c r="GD71" s="58">
        <v>220.971</v>
      </c>
      <c r="GE71" s="58">
        <v>114.551</v>
      </c>
      <c r="GF71" s="58">
        <v>106.42</v>
      </c>
      <c r="GG71" s="58">
        <v>43.612000000000002</v>
      </c>
      <c r="GH71" s="58">
        <v>25.207999999999998</v>
      </c>
      <c r="GI71" s="58">
        <v>18.404</v>
      </c>
      <c r="GJ71" s="58">
        <v>17.925000000000001</v>
      </c>
      <c r="GK71" s="58">
        <v>13.516999999999999</v>
      </c>
      <c r="GL71" s="58">
        <v>4.407</v>
      </c>
      <c r="GM71" s="58">
        <v>10.666</v>
      </c>
      <c r="GN71" s="58">
        <v>7.899</v>
      </c>
      <c r="GO71" s="58">
        <v>2.7679999999999998</v>
      </c>
      <c r="GP71" s="58">
        <v>7.258</v>
      </c>
      <c r="GQ71" s="58">
        <v>5.6189999999999998</v>
      </c>
      <c r="GR71" s="58">
        <v>1.64</v>
      </c>
      <c r="GS71" s="58">
        <v>25.687000000000001</v>
      </c>
      <c r="GT71" s="58">
        <v>11.691000000000001</v>
      </c>
      <c r="GU71" s="58">
        <v>13.997</v>
      </c>
      <c r="GV71" s="58">
        <v>198.60599999999999</v>
      </c>
      <c r="GW71" s="58">
        <v>101.848</v>
      </c>
      <c r="GX71" s="58">
        <v>96.757999999999996</v>
      </c>
      <c r="GY71" s="58">
        <v>74.069999999999993</v>
      </c>
      <c r="GZ71" s="58">
        <v>58.615000000000002</v>
      </c>
      <c r="HA71" s="58">
        <v>15.455</v>
      </c>
      <c r="HB71" s="58">
        <v>124.536</v>
      </c>
      <c r="HC71" s="58">
        <v>43.232999999999997</v>
      </c>
      <c r="HD71" s="58">
        <v>81.302999999999997</v>
      </c>
      <c r="HE71" s="58">
        <v>86.3</v>
      </c>
      <c r="HF71" s="58">
        <v>67.427000000000007</v>
      </c>
      <c r="HG71" s="58">
        <v>18.873000000000001</v>
      </c>
      <c r="HH71" s="58">
        <v>134.67099999999999</v>
      </c>
      <c r="HI71" s="58">
        <v>47.124000000000002</v>
      </c>
      <c r="HJ71" s="58">
        <v>87.546999999999997</v>
      </c>
      <c r="HK71" s="58">
        <v>135.202</v>
      </c>
      <c r="HL71" s="58">
        <v>51.131999999999998</v>
      </c>
      <c r="HM71" s="58">
        <v>84.070999999999998</v>
      </c>
      <c r="HN71" s="58">
        <v>247.66300000000001</v>
      </c>
      <c r="HO71" s="58">
        <v>129.28399999999999</v>
      </c>
      <c r="HP71" s="58">
        <v>118.379</v>
      </c>
      <c r="HQ71" s="58">
        <v>153.15</v>
      </c>
      <c r="HR71" s="58">
        <v>96.878</v>
      </c>
      <c r="HS71" s="58">
        <v>56.271999999999998</v>
      </c>
      <c r="HT71" s="58">
        <v>94.513000000000005</v>
      </c>
      <c r="HU71" s="58">
        <v>32.405999999999999</v>
      </c>
      <c r="HV71" s="58">
        <v>62.106999999999999</v>
      </c>
      <c r="HW71" s="58">
        <v>39.311</v>
      </c>
      <c r="HX71" s="58">
        <v>18.234000000000002</v>
      </c>
      <c r="HY71" s="58">
        <v>21.077000000000002</v>
      </c>
      <c r="HZ71" s="58">
        <v>7.9880000000000004</v>
      </c>
      <c r="IA71" s="58">
        <v>4.8540000000000001</v>
      </c>
      <c r="IB71" s="58">
        <v>3.1349999999999998</v>
      </c>
      <c r="IC71" s="58">
        <v>2.536</v>
      </c>
      <c r="ID71" s="58">
        <v>2.1080000000000001</v>
      </c>
      <c r="IE71" s="58">
        <v>0.42799999999999999</v>
      </c>
      <c r="IF71" s="58">
        <v>0.85199999999999998</v>
      </c>
      <c r="IG71" s="58">
        <v>0.66200000000000003</v>
      </c>
      <c r="IH71" s="58">
        <v>0.19</v>
      </c>
      <c r="II71" s="58">
        <v>1.6839999999999999</v>
      </c>
      <c r="IJ71" s="58">
        <v>1.446</v>
      </c>
      <c r="IK71" s="58">
        <v>0.23799999999999999</v>
      </c>
      <c r="IL71" s="58">
        <v>5.452</v>
      </c>
      <c r="IM71" s="58">
        <v>2.7450000000000001</v>
      </c>
      <c r="IN71" s="58">
        <v>2.7069999999999999</v>
      </c>
      <c r="IO71" s="58">
        <v>35.72</v>
      </c>
      <c r="IP71" s="58">
        <v>15.757999999999999</v>
      </c>
      <c r="IQ71" s="58">
        <v>19.963000000000001</v>
      </c>
    </row>
    <row r="72" spans="1:251">
      <c r="A72" s="5">
        <v>43678</v>
      </c>
      <c r="B72" s="58">
        <v>1080.1969999999999</v>
      </c>
      <c r="C72" s="58">
        <v>1272.5940000000001</v>
      </c>
      <c r="D72" s="58">
        <v>434.15</v>
      </c>
      <c r="E72" s="58">
        <v>838.44399999999996</v>
      </c>
      <c r="F72" s="58">
        <v>604.91800000000001</v>
      </c>
      <c r="G72" s="58">
        <v>342.98</v>
      </c>
      <c r="H72" s="58">
        <v>261.93799999999999</v>
      </c>
      <c r="I72" s="58">
        <v>115.816</v>
      </c>
      <c r="J72" s="58">
        <v>72.902000000000001</v>
      </c>
      <c r="K72" s="58">
        <v>42.914000000000001</v>
      </c>
      <c r="L72" s="58">
        <v>47.561</v>
      </c>
      <c r="M72" s="58">
        <v>34.82</v>
      </c>
      <c r="N72" s="58">
        <v>12.74</v>
      </c>
      <c r="O72" s="58">
        <v>27.689</v>
      </c>
      <c r="P72" s="58">
        <v>20.234999999999999</v>
      </c>
      <c r="Q72" s="58">
        <v>7.4539999999999997</v>
      </c>
      <c r="R72" s="58">
        <v>19.872</v>
      </c>
      <c r="S72" s="58">
        <v>14.586</v>
      </c>
      <c r="T72" s="58">
        <v>5.2859999999999996</v>
      </c>
      <c r="U72" s="58">
        <v>68.254999999999995</v>
      </c>
      <c r="V72" s="58">
        <v>38.081000000000003</v>
      </c>
      <c r="W72" s="58">
        <v>30.173999999999999</v>
      </c>
      <c r="X72" s="58">
        <v>543.49699999999996</v>
      </c>
      <c r="Y72" s="58">
        <v>304.61200000000002</v>
      </c>
      <c r="Z72" s="58">
        <v>238.88499999999999</v>
      </c>
      <c r="AA72" s="58">
        <v>221.99600000000001</v>
      </c>
      <c r="AB72" s="58">
        <v>163.703</v>
      </c>
      <c r="AC72" s="58">
        <v>58.292000000000002</v>
      </c>
      <c r="AD72" s="58">
        <v>321.50099999999998</v>
      </c>
      <c r="AE72" s="58">
        <v>140.90799999999999</v>
      </c>
      <c r="AF72" s="58">
        <v>180.59299999999999</v>
      </c>
      <c r="AG72" s="58">
        <v>253.85</v>
      </c>
      <c r="AH72" s="58">
        <v>187.791</v>
      </c>
      <c r="AI72" s="58">
        <v>66.058999999999997</v>
      </c>
      <c r="AJ72" s="58">
        <v>351.06700000000001</v>
      </c>
      <c r="AK72" s="58">
        <v>155.18899999999999</v>
      </c>
      <c r="AL72" s="58">
        <v>195.87899999999999</v>
      </c>
      <c r="AM72" s="58">
        <v>349.18900000000002</v>
      </c>
      <c r="AN72" s="58">
        <v>161.143</v>
      </c>
      <c r="AO72" s="58">
        <v>188.047</v>
      </c>
      <c r="AP72" s="58">
        <v>3392.098</v>
      </c>
      <c r="AQ72" s="58">
        <v>1790.873</v>
      </c>
      <c r="AR72" s="58">
        <v>1601.2239999999999</v>
      </c>
      <c r="AS72" s="58">
        <v>2272.2939999999999</v>
      </c>
      <c r="AT72" s="58">
        <v>1432.16</v>
      </c>
      <c r="AU72" s="58">
        <v>840.13400000000001</v>
      </c>
      <c r="AV72" s="58">
        <v>1119.8040000000001</v>
      </c>
      <c r="AW72" s="58">
        <v>358.71300000000002</v>
      </c>
      <c r="AX72" s="58">
        <v>761.09100000000001</v>
      </c>
      <c r="AY72" s="58">
        <v>512.80899999999997</v>
      </c>
      <c r="AZ72" s="58">
        <v>274.47300000000001</v>
      </c>
      <c r="BA72" s="58">
        <v>238.33600000000001</v>
      </c>
      <c r="BB72" s="58">
        <v>101.575</v>
      </c>
      <c r="BC72" s="58">
        <v>61.073999999999998</v>
      </c>
      <c r="BD72" s="58">
        <v>40.502000000000002</v>
      </c>
      <c r="BE72" s="58">
        <v>40.844999999999999</v>
      </c>
      <c r="BF72" s="58">
        <v>29.798999999999999</v>
      </c>
      <c r="BG72" s="58">
        <v>11.045999999999999</v>
      </c>
      <c r="BH72" s="58">
        <v>19.773</v>
      </c>
      <c r="BI72" s="58">
        <v>14.956</v>
      </c>
      <c r="BJ72" s="58">
        <v>4.8170000000000002</v>
      </c>
      <c r="BK72" s="58">
        <v>21.071999999999999</v>
      </c>
      <c r="BL72" s="58">
        <v>14.843</v>
      </c>
      <c r="BM72" s="58">
        <v>6.2290000000000001</v>
      </c>
      <c r="BN72" s="58">
        <v>60.73</v>
      </c>
      <c r="BO72" s="58">
        <v>31.274999999999999</v>
      </c>
      <c r="BP72" s="58">
        <v>29.454999999999998</v>
      </c>
      <c r="BQ72" s="58">
        <v>451.65</v>
      </c>
      <c r="BR72" s="58">
        <v>238.49299999999999</v>
      </c>
      <c r="BS72" s="58">
        <v>213.15700000000001</v>
      </c>
      <c r="BT72" s="58">
        <v>177.36600000000001</v>
      </c>
      <c r="BU72" s="58">
        <v>128.50399999999999</v>
      </c>
      <c r="BV72" s="58">
        <v>48.862000000000002</v>
      </c>
      <c r="BW72" s="58">
        <v>274.28500000000003</v>
      </c>
      <c r="BX72" s="58">
        <v>109.989</v>
      </c>
      <c r="BY72" s="58">
        <v>164.29499999999999</v>
      </c>
      <c r="BZ72" s="58">
        <v>209.59399999999999</v>
      </c>
      <c r="CA72" s="58">
        <v>150.953</v>
      </c>
      <c r="CB72" s="58">
        <v>58.640999999999998</v>
      </c>
      <c r="CC72" s="58">
        <v>303.21499999999997</v>
      </c>
      <c r="CD72" s="58">
        <v>123.52</v>
      </c>
      <c r="CE72" s="58">
        <v>179.69499999999999</v>
      </c>
      <c r="CF72" s="58">
        <v>294.05799999999999</v>
      </c>
      <c r="CG72" s="58">
        <v>124.94499999999999</v>
      </c>
      <c r="CH72" s="58">
        <v>169.11199999999999</v>
      </c>
      <c r="CI72" s="58">
        <v>2522.5970000000002</v>
      </c>
      <c r="CJ72" s="58">
        <v>1309.9190000000001</v>
      </c>
      <c r="CK72" s="58">
        <v>1212.6790000000001</v>
      </c>
      <c r="CL72" s="58">
        <v>1747.873</v>
      </c>
      <c r="CM72" s="58">
        <v>1085.3689999999999</v>
      </c>
      <c r="CN72" s="58">
        <v>662.50300000000004</v>
      </c>
      <c r="CO72" s="58">
        <v>774.72500000000002</v>
      </c>
      <c r="CP72" s="58">
        <v>224.54900000000001</v>
      </c>
      <c r="CQ72" s="58">
        <v>550.17499999999995</v>
      </c>
      <c r="CR72" s="58">
        <v>358.87200000000001</v>
      </c>
      <c r="CS72" s="58">
        <v>185.01599999999999</v>
      </c>
      <c r="CT72" s="58">
        <v>173.85499999999999</v>
      </c>
      <c r="CU72" s="58">
        <v>72.319999999999993</v>
      </c>
      <c r="CV72" s="58">
        <v>43.182000000000002</v>
      </c>
      <c r="CW72" s="58">
        <v>29.138999999999999</v>
      </c>
      <c r="CX72" s="58">
        <v>34.378</v>
      </c>
      <c r="CY72" s="58">
        <v>29.497</v>
      </c>
      <c r="CZ72" s="58">
        <v>4.8810000000000002</v>
      </c>
      <c r="DA72" s="58">
        <v>17.806999999999999</v>
      </c>
      <c r="DB72" s="58">
        <v>13.878</v>
      </c>
      <c r="DC72" s="58">
        <v>3.9289999999999998</v>
      </c>
      <c r="DD72" s="58">
        <v>16.571000000000002</v>
      </c>
      <c r="DE72" s="58">
        <v>15.619</v>
      </c>
      <c r="DF72" s="58">
        <v>0.95199999999999996</v>
      </c>
      <c r="DG72" s="58">
        <v>37.942</v>
      </c>
      <c r="DH72" s="58">
        <v>13.683999999999999</v>
      </c>
      <c r="DI72" s="58">
        <v>24.257999999999999</v>
      </c>
      <c r="DJ72" s="58">
        <v>319.30700000000002</v>
      </c>
      <c r="DK72" s="58">
        <v>157.08199999999999</v>
      </c>
      <c r="DL72" s="58">
        <v>162.22399999999999</v>
      </c>
      <c r="DM72" s="58">
        <v>115.997</v>
      </c>
      <c r="DN72" s="58">
        <v>89.468999999999994</v>
      </c>
      <c r="DO72" s="58">
        <v>26.527999999999999</v>
      </c>
      <c r="DP72" s="58">
        <v>203.31</v>
      </c>
      <c r="DQ72" s="58">
        <v>67.613</v>
      </c>
      <c r="DR72" s="58">
        <v>135.696</v>
      </c>
      <c r="DS72" s="58">
        <v>140.631</v>
      </c>
      <c r="DT72" s="58">
        <v>110.547</v>
      </c>
      <c r="DU72" s="58">
        <v>30.084</v>
      </c>
      <c r="DV72" s="58">
        <v>218.24100000000001</v>
      </c>
      <c r="DW72" s="58">
        <v>74.468999999999994</v>
      </c>
      <c r="DX72" s="58">
        <v>143.77199999999999</v>
      </c>
      <c r="DY72" s="58">
        <v>221.11699999999999</v>
      </c>
      <c r="DZ72" s="58">
        <v>81.491</v>
      </c>
      <c r="EA72" s="58">
        <v>139.625</v>
      </c>
      <c r="EB72" s="58">
        <v>849.46699999999998</v>
      </c>
      <c r="EC72" s="58">
        <v>437.09500000000003</v>
      </c>
      <c r="ED72" s="58">
        <v>412.37200000000001</v>
      </c>
      <c r="EE72" s="58">
        <v>550.13599999999997</v>
      </c>
      <c r="EF72" s="58">
        <v>350.55200000000002</v>
      </c>
      <c r="EG72" s="58">
        <v>199.584</v>
      </c>
      <c r="EH72" s="58">
        <v>299.33199999999999</v>
      </c>
      <c r="EI72" s="58">
        <v>86.543000000000006</v>
      </c>
      <c r="EJ72" s="58">
        <v>212.78800000000001</v>
      </c>
      <c r="EK72" s="58">
        <v>125.886</v>
      </c>
      <c r="EL72" s="58">
        <v>64.082999999999998</v>
      </c>
      <c r="EM72" s="58">
        <v>61.802999999999997</v>
      </c>
      <c r="EN72" s="58">
        <v>26.265999999999998</v>
      </c>
      <c r="EO72" s="58">
        <v>14.275</v>
      </c>
      <c r="EP72" s="58">
        <v>11.991</v>
      </c>
      <c r="EQ72" s="58">
        <v>9.827</v>
      </c>
      <c r="ER72" s="58">
        <v>7.806</v>
      </c>
      <c r="ES72" s="58">
        <v>2.02</v>
      </c>
      <c r="ET72" s="58">
        <v>4.0359999999999996</v>
      </c>
      <c r="EU72" s="58">
        <v>3.2890000000000001</v>
      </c>
      <c r="EV72" s="58">
        <v>0.747</v>
      </c>
      <c r="EW72" s="58">
        <v>5.79</v>
      </c>
      <c r="EX72" s="58">
        <v>4.5170000000000003</v>
      </c>
      <c r="EY72" s="58">
        <v>1.2729999999999999</v>
      </c>
      <c r="EZ72" s="58">
        <v>16.439</v>
      </c>
      <c r="FA72" s="58">
        <v>6.4690000000000003</v>
      </c>
      <c r="FB72" s="58">
        <v>9.9700000000000006</v>
      </c>
      <c r="FC72" s="58">
        <v>111.489</v>
      </c>
      <c r="FD72" s="58">
        <v>55.811</v>
      </c>
      <c r="FE72" s="58">
        <v>55.677999999999997</v>
      </c>
      <c r="FF72" s="58">
        <v>33.47</v>
      </c>
      <c r="FG72" s="58">
        <v>22.782</v>
      </c>
      <c r="FH72" s="58">
        <v>10.688000000000001</v>
      </c>
      <c r="FI72" s="58">
        <v>78.02</v>
      </c>
      <c r="FJ72" s="58">
        <v>33.03</v>
      </c>
      <c r="FK72" s="58">
        <v>44.99</v>
      </c>
      <c r="FL72" s="58">
        <v>41.182000000000002</v>
      </c>
      <c r="FM72" s="58">
        <v>29.219000000000001</v>
      </c>
      <c r="FN72" s="58">
        <v>11.962999999999999</v>
      </c>
      <c r="FO72" s="58">
        <v>84.703999999999994</v>
      </c>
      <c r="FP72" s="58">
        <v>34.863999999999997</v>
      </c>
      <c r="FQ72" s="58">
        <v>49.84</v>
      </c>
      <c r="FR72" s="58">
        <v>82.055999999999997</v>
      </c>
      <c r="FS72" s="58">
        <v>36.319000000000003</v>
      </c>
      <c r="FT72" s="58">
        <v>45.737000000000002</v>
      </c>
      <c r="FU72" s="58">
        <v>1356.569</v>
      </c>
      <c r="FV72" s="58">
        <v>731.53599999999994</v>
      </c>
      <c r="FW72" s="58">
        <v>625.03300000000002</v>
      </c>
      <c r="FX72" s="58">
        <v>908.11300000000006</v>
      </c>
      <c r="FY72" s="58">
        <v>597.62800000000004</v>
      </c>
      <c r="FZ72" s="58">
        <v>310.48500000000001</v>
      </c>
      <c r="GA72" s="58">
        <v>448.45600000000002</v>
      </c>
      <c r="GB72" s="58">
        <v>133.90799999999999</v>
      </c>
      <c r="GC72" s="58">
        <v>314.54899999999998</v>
      </c>
      <c r="GD72" s="58">
        <v>212.93299999999999</v>
      </c>
      <c r="GE72" s="58">
        <v>112.902</v>
      </c>
      <c r="GF72" s="58">
        <v>100.03100000000001</v>
      </c>
      <c r="GG72" s="58">
        <v>47.853999999999999</v>
      </c>
      <c r="GH72" s="58">
        <v>28.965</v>
      </c>
      <c r="GI72" s="58">
        <v>18.888999999999999</v>
      </c>
      <c r="GJ72" s="58">
        <v>20.603000000000002</v>
      </c>
      <c r="GK72" s="58">
        <v>15.715999999999999</v>
      </c>
      <c r="GL72" s="58">
        <v>4.8869999999999996</v>
      </c>
      <c r="GM72" s="58">
        <v>13.989000000000001</v>
      </c>
      <c r="GN72" s="58">
        <v>10.615</v>
      </c>
      <c r="GO72" s="58">
        <v>3.3740000000000001</v>
      </c>
      <c r="GP72" s="58">
        <v>6.6139999999999999</v>
      </c>
      <c r="GQ72" s="58">
        <v>5.1020000000000003</v>
      </c>
      <c r="GR72" s="58">
        <v>1.5129999999999999</v>
      </c>
      <c r="GS72" s="58">
        <v>27.251000000000001</v>
      </c>
      <c r="GT72" s="58">
        <v>13.247999999999999</v>
      </c>
      <c r="GU72" s="58">
        <v>14.002000000000001</v>
      </c>
      <c r="GV72" s="58">
        <v>190.22</v>
      </c>
      <c r="GW72" s="58">
        <v>99.906000000000006</v>
      </c>
      <c r="GX72" s="58">
        <v>90.314999999999998</v>
      </c>
      <c r="GY72" s="58">
        <v>69.08</v>
      </c>
      <c r="GZ72" s="58">
        <v>54.167000000000002</v>
      </c>
      <c r="HA72" s="58">
        <v>14.914</v>
      </c>
      <c r="HB72" s="58">
        <v>121.14</v>
      </c>
      <c r="HC72" s="58">
        <v>45.738999999999997</v>
      </c>
      <c r="HD72" s="58">
        <v>75.400999999999996</v>
      </c>
      <c r="HE72" s="58">
        <v>81.263000000000005</v>
      </c>
      <c r="HF72" s="58">
        <v>63.085999999999999</v>
      </c>
      <c r="HG72" s="58">
        <v>18.177</v>
      </c>
      <c r="HH72" s="58">
        <v>131.66999999999999</v>
      </c>
      <c r="HI72" s="58">
        <v>49.816000000000003</v>
      </c>
      <c r="HJ72" s="58">
        <v>81.853999999999999</v>
      </c>
      <c r="HK72" s="58">
        <v>135.12899999999999</v>
      </c>
      <c r="HL72" s="58">
        <v>56.353999999999999</v>
      </c>
      <c r="HM72" s="58">
        <v>78.775000000000006</v>
      </c>
      <c r="HN72" s="58">
        <v>247.245</v>
      </c>
      <c r="HO72" s="58">
        <v>128.19999999999999</v>
      </c>
      <c r="HP72" s="58">
        <v>119.045</v>
      </c>
      <c r="HQ72" s="58">
        <v>149.233</v>
      </c>
      <c r="HR72" s="58">
        <v>95.606999999999999</v>
      </c>
      <c r="HS72" s="58">
        <v>53.625999999999998</v>
      </c>
      <c r="HT72" s="58">
        <v>98.012</v>
      </c>
      <c r="HU72" s="58">
        <v>32.593000000000004</v>
      </c>
      <c r="HV72" s="58">
        <v>65.418999999999997</v>
      </c>
      <c r="HW72" s="58">
        <v>42.741</v>
      </c>
      <c r="HX72" s="58">
        <v>20.114000000000001</v>
      </c>
      <c r="HY72" s="58">
        <v>22.628</v>
      </c>
      <c r="HZ72" s="58">
        <v>9.125</v>
      </c>
      <c r="IA72" s="58">
        <v>4.6980000000000004</v>
      </c>
      <c r="IB72" s="58">
        <v>4.4279999999999999</v>
      </c>
      <c r="IC72" s="58">
        <v>1.534</v>
      </c>
      <c r="ID72" s="58">
        <v>1.107</v>
      </c>
      <c r="IE72" s="58">
        <v>0.42699999999999999</v>
      </c>
      <c r="IF72" s="58">
        <v>0.98299999999999998</v>
      </c>
      <c r="IG72" s="58">
        <v>0.55600000000000005</v>
      </c>
      <c r="IH72" s="58">
        <v>0.42699999999999999</v>
      </c>
      <c r="II72" s="58">
        <v>0.55000000000000004</v>
      </c>
      <c r="IJ72" s="58">
        <v>0.55000000000000004</v>
      </c>
      <c r="IK72" s="58">
        <v>0</v>
      </c>
      <c r="IL72" s="58">
        <v>7.5910000000000002</v>
      </c>
      <c r="IM72" s="58">
        <v>3.5910000000000002</v>
      </c>
      <c r="IN72" s="58">
        <v>4</v>
      </c>
      <c r="IO72" s="58">
        <v>38.819000000000003</v>
      </c>
      <c r="IP72" s="58">
        <v>18.099</v>
      </c>
      <c r="IQ72" s="58">
        <v>20.72</v>
      </c>
    </row>
    <row r="73" spans="1:251">
      <c r="A73" s="5">
        <v>43709</v>
      </c>
      <c r="B73" s="58">
        <v>1095.0619999999999</v>
      </c>
      <c r="C73" s="58">
        <v>1248.876</v>
      </c>
      <c r="D73" s="58">
        <v>413.70600000000002</v>
      </c>
      <c r="E73" s="58">
        <v>835.16899999999998</v>
      </c>
      <c r="F73" s="58">
        <v>595.78800000000001</v>
      </c>
      <c r="G73" s="58">
        <v>330.70699999999999</v>
      </c>
      <c r="H73" s="58">
        <v>265.08100000000002</v>
      </c>
      <c r="I73" s="58">
        <v>119.654</v>
      </c>
      <c r="J73" s="58">
        <v>68.465000000000003</v>
      </c>
      <c r="K73" s="58">
        <v>51.19</v>
      </c>
      <c r="L73" s="58">
        <v>51.654000000000003</v>
      </c>
      <c r="M73" s="58">
        <v>37.646999999999998</v>
      </c>
      <c r="N73" s="58">
        <v>14.007999999999999</v>
      </c>
      <c r="O73" s="58">
        <v>31.466000000000001</v>
      </c>
      <c r="P73" s="58">
        <v>23.074999999999999</v>
      </c>
      <c r="Q73" s="58">
        <v>8.3919999999999995</v>
      </c>
      <c r="R73" s="58">
        <v>20.187999999999999</v>
      </c>
      <c r="S73" s="58">
        <v>14.571999999999999</v>
      </c>
      <c r="T73" s="58">
        <v>5.6159999999999997</v>
      </c>
      <c r="U73" s="58">
        <v>68</v>
      </c>
      <c r="V73" s="58">
        <v>30.818000000000001</v>
      </c>
      <c r="W73" s="58">
        <v>37.182000000000002</v>
      </c>
      <c r="X73" s="58">
        <v>517.49199999999996</v>
      </c>
      <c r="Y73" s="58">
        <v>289.79000000000002</v>
      </c>
      <c r="Z73" s="58">
        <v>227.702</v>
      </c>
      <c r="AA73" s="58">
        <v>218.917</v>
      </c>
      <c r="AB73" s="58">
        <v>157.07900000000001</v>
      </c>
      <c r="AC73" s="58">
        <v>61.838000000000001</v>
      </c>
      <c r="AD73" s="58">
        <v>298.57499999999999</v>
      </c>
      <c r="AE73" s="58">
        <v>132.71100000000001</v>
      </c>
      <c r="AF73" s="58">
        <v>165.864</v>
      </c>
      <c r="AG73" s="58">
        <v>261.57</v>
      </c>
      <c r="AH73" s="58">
        <v>185.72399999999999</v>
      </c>
      <c r="AI73" s="58">
        <v>75.846000000000004</v>
      </c>
      <c r="AJ73" s="58">
        <v>334.21699999999998</v>
      </c>
      <c r="AK73" s="58">
        <v>144.983</v>
      </c>
      <c r="AL73" s="58">
        <v>189.23500000000001</v>
      </c>
      <c r="AM73" s="58">
        <v>330.041</v>
      </c>
      <c r="AN73" s="58">
        <v>155.786</v>
      </c>
      <c r="AO73" s="58">
        <v>174.256</v>
      </c>
      <c r="AP73" s="58">
        <v>3411.355</v>
      </c>
      <c r="AQ73" s="58">
        <v>1805.4449999999999</v>
      </c>
      <c r="AR73" s="58">
        <v>1605.91</v>
      </c>
      <c r="AS73" s="58">
        <v>2287.3159999999998</v>
      </c>
      <c r="AT73" s="58">
        <v>1444.683</v>
      </c>
      <c r="AU73" s="58">
        <v>842.63300000000004</v>
      </c>
      <c r="AV73" s="58">
        <v>1124.038</v>
      </c>
      <c r="AW73" s="58">
        <v>360.762</v>
      </c>
      <c r="AX73" s="58">
        <v>763.27700000000004</v>
      </c>
      <c r="AY73" s="58">
        <v>473.43200000000002</v>
      </c>
      <c r="AZ73" s="58">
        <v>262.07</v>
      </c>
      <c r="BA73" s="58">
        <v>211.36099999999999</v>
      </c>
      <c r="BB73" s="58">
        <v>91.331000000000003</v>
      </c>
      <c r="BC73" s="58">
        <v>58.168999999999997</v>
      </c>
      <c r="BD73" s="58">
        <v>33.161999999999999</v>
      </c>
      <c r="BE73" s="58">
        <v>36.710999999999999</v>
      </c>
      <c r="BF73" s="58">
        <v>28.35</v>
      </c>
      <c r="BG73" s="58">
        <v>8.3610000000000007</v>
      </c>
      <c r="BH73" s="58">
        <v>12.973000000000001</v>
      </c>
      <c r="BI73" s="58">
        <v>10.577</v>
      </c>
      <c r="BJ73" s="58">
        <v>2.3959999999999999</v>
      </c>
      <c r="BK73" s="58">
        <v>23.738</v>
      </c>
      <c r="BL73" s="58">
        <v>17.773</v>
      </c>
      <c r="BM73" s="58">
        <v>5.9649999999999999</v>
      </c>
      <c r="BN73" s="58">
        <v>54.62</v>
      </c>
      <c r="BO73" s="58">
        <v>29.818999999999999</v>
      </c>
      <c r="BP73" s="58">
        <v>24.800999999999998</v>
      </c>
      <c r="BQ73" s="58">
        <v>419.30900000000003</v>
      </c>
      <c r="BR73" s="58">
        <v>225.83</v>
      </c>
      <c r="BS73" s="58">
        <v>193.47900000000001</v>
      </c>
      <c r="BT73" s="58">
        <v>158.50399999999999</v>
      </c>
      <c r="BU73" s="58">
        <v>114.973</v>
      </c>
      <c r="BV73" s="58">
        <v>43.530999999999999</v>
      </c>
      <c r="BW73" s="58">
        <v>260.80599999999998</v>
      </c>
      <c r="BX73" s="58">
        <v>110.858</v>
      </c>
      <c r="BY73" s="58">
        <v>149.94800000000001</v>
      </c>
      <c r="BZ73" s="58">
        <v>189.255</v>
      </c>
      <c r="CA73" s="58">
        <v>138.88800000000001</v>
      </c>
      <c r="CB73" s="58">
        <v>50.366999999999997</v>
      </c>
      <c r="CC73" s="58">
        <v>284.17700000000002</v>
      </c>
      <c r="CD73" s="58">
        <v>123.182</v>
      </c>
      <c r="CE73" s="58">
        <v>160.995</v>
      </c>
      <c r="CF73" s="58">
        <v>273.779</v>
      </c>
      <c r="CG73" s="58">
        <v>121.435</v>
      </c>
      <c r="CH73" s="58">
        <v>152.34399999999999</v>
      </c>
      <c r="CI73" s="58">
        <v>2552.5279999999998</v>
      </c>
      <c r="CJ73" s="58">
        <v>1319.191</v>
      </c>
      <c r="CK73" s="58">
        <v>1233.337</v>
      </c>
      <c r="CL73" s="58">
        <v>1741.7809999999999</v>
      </c>
      <c r="CM73" s="58">
        <v>1076.684</v>
      </c>
      <c r="CN73" s="58">
        <v>665.09699999999998</v>
      </c>
      <c r="CO73" s="58">
        <v>810.74699999999996</v>
      </c>
      <c r="CP73" s="58">
        <v>242.50700000000001</v>
      </c>
      <c r="CQ73" s="58">
        <v>568.24</v>
      </c>
      <c r="CR73" s="58">
        <v>378.07900000000001</v>
      </c>
      <c r="CS73" s="58">
        <v>189.06899999999999</v>
      </c>
      <c r="CT73" s="58">
        <v>189.01</v>
      </c>
      <c r="CU73" s="58">
        <v>69.512</v>
      </c>
      <c r="CV73" s="58">
        <v>44.314999999999998</v>
      </c>
      <c r="CW73" s="58">
        <v>25.196000000000002</v>
      </c>
      <c r="CX73" s="58">
        <v>29.872</v>
      </c>
      <c r="CY73" s="58">
        <v>26.896999999999998</v>
      </c>
      <c r="CZ73" s="58">
        <v>2.9750000000000001</v>
      </c>
      <c r="DA73" s="58">
        <v>12.553000000000001</v>
      </c>
      <c r="DB73" s="58">
        <v>10.519</v>
      </c>
      <c r="DC73" s="58">
        <v>2.0339999999999998</v>
      </c>
      <c r="DD73" s="58">
        <v>17.318999999999999</v>
      </c>
      <c r="DE73" s="58">
        <v>16.378</v>
      </c>
      <c r="DF73" s="58">
        <v>0.94099999999999995</v>
      </c>
      <c r="DG73" s="58">
        <v>39.64</v>
      </c>
      <c r="DH73" s="58">
        <v>17.419</v>
      </c>
      <c r="DI73" s="58">
        <v>22.221</v>
      </c>
      <c r="DJ73" s="58">
        <v>329.565</v>
      </c>
      <c r="DK73" s="58">
        <v>157.22800000000001</v>
      </c>
      <c r="DL73" s="58">
        <v>172.33799999999999</v>
      </c>
      <c r="DM73" s="58">
        <v>121.285</v>
      </c>
      <c r="DN73" s="58">
        <v>83.266999999999996</v>
      </c>
      <c r="DO73" s="58">
        <v>38.018999999999998</v>
      </c>
      <c r="DP73" s="58">
        <v>208.28</v>
      </c>
      <c r="DQ73" s="58">
        <v>73.960999999999999</v>
      </c>
      <c r="DR73" s="58">
        <v>134.31899999999999</v>
      </c>
      <c r="DS73" s="58">
        <v>147.209</v>
      </c>
      <c r="DT73" s="58">
        <v>106.58799999999999</v>
      </c>
      <c r="DU73" s="58">
        <v>40.621000000000002</v>
      </c>
      <c r="DV73" s="58">
        <v>230.87100000000001</v>
      </c>
      <c r="DW73" s="58">
        <v>82.480999999999995</v>
      </c>
      <c r="DX73" s="58">
        <v>148.38900000000001</v>
      </c>
      <c r="DY73" s="58">
        <v>220.833</v>
      </c>
      <c r="DZ73" s="58">
        <v>84.48</v>
      </c>
      <c r="EA73" s="58">
        <v>136.35300000000001</v>
      </c>
      <c r="EB73" s="58">
        <v>853.48500000000001</v>
      </c>
      <c r="EC73" s="58">
        <v>440.24400000000003</v>
      </c>
      <c r="ED73" s="58">
        <v>413.24099999999999</v>
      </c>
      <c r="EE73" s="58">
        <v>550.44200000000001</v>
      </c>
      <c r="EF73" s="58">
        <v>347.59899999999999</v>
      </c>
      <c r="EG73" s="58">
        <v>202.84299999999999</v>
      </c>
      <c r="EH73" s="58">
        <v>303.04300000000001</v>
      </c>
      <c r="EI73" s="58">
        <v>92.644999999999996</v>
      </c>
      <c r="EJ73" s="58">
        <v>210.398</v>
      </c>
      <c r="EK73" s="58">
        <v>126.68</v>
      </c>
      <c r="EL73" s="58">
        <v>63.204000000000001</v>
      </c>
      <c r="EM73" s="58">
        <v>63.476999999999997</v>
      </c>
      <c r="EN73" s="58">
        <v>22.106000000000002</v>
      </c>
      <c r="EO73" s="58">
        <v>13.356</v>
      </c>
      <c r="EP73" s="58">
        <v>8.7490000000000006</v>
      </c>
      <c r="EQ73" s="58">
        <v>8.4760000000000009</v>
      </c>
      <c r="ER73" s="58">
        <v>7.02</v>
      </c>
      <c r="ES73" s="58">
        <v>1.456</v>
      </c>
      <c r="ET73" s="58">
        <v>4.0940000000000003</v>
      </c>
      <c r="EU73" s="58">
        <v>2.9289999999999998</v>
      </c>
      <c r="EV73" s="58">
        <v>1.1639999999999999</v>
      </c>
      <c r="EW73" s="58">
        <v>4.3819999999999997</v>
      </c>
      <c r="EX73" s="58">
        <v>4.0910000000000002</v>
      </c>
      <c r="EY73" s="58">
        <v>0.29099999999999998</v>
      </c>
      <c r="EZ73" s="58">
        <v>13.63</v>
      </c>
      <c r="FA73" s="58">
        <v>6.3360000000000003</v>
      </c>
      <c r="FB73" s="58">
        <v>7.2939999999999996</v>
      </c>
      <c r="FC73" s="58">
        <v>113.042</v>
      </c>
      <c r="FD73" s="58">
        <v>54.119</v>
      </c>
      <c r="FE73" s="58">
        <v>58.923000000000002</v>
      </c>
      <c r="FF73" s="58">
        <v>33.219000000000001</v>
      </c>
      <c r="FG73" s="58">
        <v>21.132000000000001</v>
      </c>
      <c r="FH73" s="58">
        <v>12.087</v>
      </c>
      <c r="FI73" s="58">
        <v>79.822999999999993</v>
      </c>
      <c r="FJ73" s="58">
        <v>32.987000000000002</v>
      </c>
      <c r="FK73" s="58">
        <v>46.835999999999999</v>
      </c>
      <c r="FL73" s="58">
        <v>40.286000000000001</v>
      </c>
      <c r="FM73" s="58">
        <v>27.190999999999999</v>
      </c>
      <c r="FN73" s="58">
        <v>13.095000000000001</v>
      </c>
      <c r="FO73" s="58">
        <v>86.394999999999996</v>
      </c>
      <c r="FP73" s="58">
        <v>36.012999999999998</v>
      </c>
      <c r="FQ73" s="58">
        <v>50.381999999999998</v>
      </c>
      <c r="FR73" s="58">
        <v>83.917000000000002</v>
      </c>
      <c r="FS73" s="58">
        <v>35.915999999999997</v>
      </c>
      <c r="FT73" s="58">
        <v>48</v>
      </c>
      <c r="FU73" s="58">
        <v>1353.991</v>
      </c>
      <c r="FV73" s="58">
        <v>723.73199999999997</v>
      </c>
      <c r="FW73" s="58">
        <v>630.25900000000001</v>
      </c>
      <c r="FX73" s="58">
        <v>915.87800000000004</v>
      </c>
      <c r="FY73" s="58">
        <v>597.80499999999995</v>
      </c>
      <c r="FZ73" s="58">
        <v>318.07299999999998</v>
      </c>
      <c r="GA73" s="58">
        <v>438.113</v>
      </c>
      <c r="GB73" s="58">
        <v>125.92700000000001</v>
      </c>
      <c r="GC73" s="58">
        <v>312.18599999999998</v>
      </c>
      <c r="GD73" s="58">
        <v>216.14099999999999</v>
      </c>
      <c r="GE73" s="58">
        <v>111.152</v>
      </c>
      <c r="GF73" s="58">
        <v>104.989</v>
      </c>
      <c r="GG73" s="58">
        <v>39.692</v>
      </c>
      <c r="GH73" s="58">
        <v>24.202999999999999</v>
      </c>
      <c r="GI73" s="58">
        <v>15.489000000000001</v>
      </c>
      <c r="GJ73" s="58">
        <v>16.027000000000001</v>
      </c>
      <c r="GK73" s="58">
        <v>12.6</v>
      </c>
      <c r="GL73" s="58">
        <v>3.4260000000000002</v>
      </c>
      <c r="GM73" s="58">
        <v>8.7690000000000001</v>
      </c>
      <c r="GN73" s="58">
        <v>6.3789999999999996</v>
      </c>
      <c r="GO73" s="58">
        <v>2.3889999999999998</v>
      </c>
      <c r="GP73" s="58">
        <v>7.258</v>
      </c>
      <c r="GQ73" s="58">
        <v>6.2210000000000001</v>
      </c>
      <c r="GR73" s="58">
        <v>1.0369999999999999</v>
      </c>
      <c r="GS73" s="58">
        <v>23.664999999999999</v>
      </c>
      <c r="GT73" s="58">
        <v>11.603</v>
      </c>
      <c r="GU73" s="58">
        <v>12.063000000000001</v>
      </c>
      <c r="GV73" s="58">
        <v>193.51400000000001</v>
      </c>
      <c r="GW73" s="58">
        <v>96.724999999999994</v>
      </c>
      <c r="GX73" s="58">
        <v>96.787999999999997</v>
      </c>
      <c r="GY73" s="58">
        <v>73.212000000000003</v>
      </c>
      <c r="GZ73" s="58">
        <v>53.207999999999998</v>
      </c>
      <c r="HA73" s="58">
        <v>20.004000000000001</v>
      </c>
      <c r="HB73" s="58">
        <v>120.30200000000001</v>
      </c>
      <c r="HC73" s="58">
        <v>43.517000000000003</v>
      </c>
      <c r="HD73" s="58">
        <v>76.784999999999997</v>
      </c>
      <c r="HE73" s="58">
        <v>85.176000000000002</v>
      </c>
      <c r="HF73" s="58">
        <v>62.613</v>
      </c>
      <c r="HG73" s="58">
        <v>22.562999999999999</v>
      </c>
      <c r="HH73" s="58">
        <v>130.965</v>
      </c>
      <c r="HI73" s="58">
        <v>48.537999999999997</v>
      </c>
      <c r="HJ73" s="58">
        <v>82.426000000000002</v>
      </c>
      <c r="HK73" s="58">
        <v>129.071</v>
      </c>
      <c r="HL73" s="58">
        <v>49.896000000000001</v>
      </c>
      <c r="HM73" s="58">
        <v>79.174000000000007</v>
      </c>
      <c r="HN73" s="58">
        <v>250.21</v>
      </c>
      <c r="HO73" s="58">
        <v>129.50700000000001</v>
      </c>
      <c r="HP73" s="58">
        <v>120.703</v>
      </c>
      <c r="HQ73" s="58">
        <v>153.64699999999999</v>
      </c>
      <c r="HR73" s="58">
        <v>99.408000000000001</v>
      </c>
      <c r="HS73" s="58">
        <v>54.238999999999997</v>
      </c>
      <c r="HT73" s="58">
        <v>96.563000000000002</v>
      </c>
      <c r="HU73" s="58">
        <v>30.099</v>
      </c>
      <c r="HV73" s="58">
        <v>66.463999999999999</v>
      </c>
      <c r="HW73" s="58">
        <v>43.02</v>
      </c>
      <c r="HX73" s="58">
        <v>20.942</v>
      </c>
      <c r="HY73" s="58">
        <v>22.077999999999999</v>
      </c>
      <c r="HZ73" s="58">
        <v>8.8450000000000006</v>
      </c>
      <c r="IA73" s="58">
        <v>5.0389999999999997</v>
      </c>
      <c r="IB73" s="58">
        <v>3.8069999999999999</v>
      </c>
      <c r="IC73" s="58">
        <v>2.1890000000000001</v>
      </c>
      <c r="ID73" s="58">
        <v>1.8879999999999999</v>
      </c>
      <c r="IE73" s="58">
        <v>0.3</v>
      </c>
      <c r="IF73" s="58">
        <v>1.4750000000000001</v>
      </c>
      <c r="IG73" s="58">
        <v>1.2629999999999999</v>
      </c>
      <c r="IH73" s="58">
        <v>0.21199999999999999</v>
      </c>
      <c r="II73" s="58">
        <v>0.71399999999999997</v>
      </c>
      <c r="IJ73" s="58">
        <v>0.626</v>
      </c>
      <c r="IK73" s="58">
        <v>8.7999999999999995E-2</v>
      </c>
      <c r="IL73" s="58">
        <v>6.657</v>
      </c>
      <c r="IM73" s="58">
        <v>3.15</v>
      </c>
      <c r="IN73" s="58">
        <v>3.5059999999999998</v>
      </c>
      <c r="IO73" s="58">
        <v>38.801000000000002</v>
      </c>
      <c r="IP73" s="58">
        <v>18.335000000000001</v>
      </c>
      <c r="IQ73" s="58">
        <v>20.466000000000001</v>
      </c>
    </row>
    <row r="74" spans="1:251">
      <c r="A74" s="5">
        <v>43739</v>
      </c>
      <c r="B74" s="58">
        <v>1097.2829999999999</v>
      </c>
      <c r="C74" s="58">
        <v>1241.6120000000001</v>
      </c>
      <c r="D74" s="58">
        <v>414.71499999999997</v>
      </c>
      <c r="E74" s="58">
        <v>826.89700000000005</v>
      </c>
      <c r="F74" s="58">
        <v>566.44299999999998</v>
      </c>
      <c r="G74" s="58">
        <v>314.16500000000002</v>
      </c>
      <c r="H74" s="58">
        <v>252.27699999999999</v>
      </c>
      <c r="I74" s="58">
        <v>112.087</v>
      </c>
      <c r="J74" s="58">
        <v>67.323999999999998</v>
      </c>
      <c r="K74" s="58">
        <v>44.762999999999998</v>
      </c>
      <c r="L74" s="58">
        <v>38.189</v>
      </c>
      <c r="M74" s="58">
        <v>31.146000000000001</v>
      </c>
      <c r="N74" s="58">
        <v>7.0419999999999998</v>
      </c>
      <c r="O74" s="58">
        <v>26.466999999999999</v>
      </c>
      <c r="P74" s="58">
        <v>21.818999999999999</v>
      </c>
      <c r="Q74" s="58">
        <v>4.6479999999999997</v>
      </c>
      <c r="R74" s="58">
        <v>11.722</v>
      </c>
      <c r="S74" s="58">
        <v>9.327</v>
      </c>
      <c r="T74" s="58">
        <v>2.395</v>
      </c>
      <c r="U74" s="58">
        <v>73.897999999999996</v>
      </c>
      <c r="V74" s="58">
        <v>36.177999999999997</v>
      </c>
      <c r="W74" s="58">
        <v>37.72</v>
      </c>
      <c r="X74" s="58">
        <v>501.99</v>
      </c>
      <c r="Y74" s="58">
        <v>276.82400000000001</v>
      </c>
      <c r="Z74" s="58">
        <v>225.16499999999999</v>
      </c>
      <c r="AA74" s="58">
        <v>205.03800000000001</v>
      </c>
      <c r="AB74" s="58">
        <v>150.71600000000001</v>
      </c>
      <c r="AC74" s="58">
        <v>54.322000000000003</v>
      </c>
      <c r="AD74" s="58">
        <v>296.95100000000002</v>
      </c>
      <c r="AE74" s="58">
        <v>126.108</v>
      </c>
      <c r="AF74" s="58">
        <v>170.84299999999999</v>
      </c>
      <c r="AG74" s="58">
        <v>234.863</v>
      </c>
      <c r="AH74" s="58">
        <v>174.09299999999999</v>
      </c>
      <c r="AI74" s="58">
        <v>60.77</v>
      </c>
      <c r="AJ74" s="58">
        <v>331.58</v>
      </c>
      <c r="AK74" s="58">
        <v>140.07300000000001</v>
      </c>
      <c r="AL74" s="58">
        <v>191.50700000000001</v>
      </c>
      <c r="AM74" s="58">
        <v>323.41800000000001</v>
      </c>
      <c r="AN74" s="58">
        <v>147.92699999999999</v>
      </c>
      <c r="AO74" s="58">
        <v>175.49100000000001</v>
      </c>
      <c r="AP74" s="58">
        <v>3422.3829999999998</v>
      </c>
      <c r="AQ74" s="58">
        <v>1803.873</v>
      </c>
      <c r="AR74" s="58">
        <v>1618.51</v>
      </c>
      <c r="AS74" s="58">
        <v>2299.9589999999998</v>
      </c>
      <c r="AT74" s="58">
        <v>1460.454</v>
      </c>
      <c r="AU74" s="58">
        <v>839.505</v>
      </c>
      <c r="AV74" s="58">
        <v>1122.424</v>
      </c>
      <c r="AW74" s="58">
        <v>343.41899999999998</v>
      </c>
      <c r="AX74" s="58">
        <v>779.005</v>
      </c>
      <c r="AY74" s="58">
        <v>496.08800000000002</v>
      </c>
      <c r="AZ74" s="58">
        <v>255.84200000000001</v>
      </c>
      <c r="BA74" s="58">
        <v>240.24600000000001</v>
      </c>
      <c r="BB74" s="58">
        <v>91.078000000000003</v>
      </c>
      <c r="BC74" s="58">
        <v>50.994999999999997</v>
      </c>
      <c r="BD74" s="58">
        <v>40.082999999999998</v>
      </c>
      <c r="BE74" s="58">
        <v>35.728000000000002</v>
      </c>
      <c r="BF74" s="58">
        <v>27.018999999999998</v>
      </c>
      <c r="BG74" s="58">
        <v>8.7100000000000009</v>
      </c>
      <c r="BH74" s="58">
        <v>21.13</v>
      </c>
      <c r="BI74" s="58">
        <v>15.419</v>
      </c>
      <c r="BJ74" s="58">
        <v>5.7110000000000003</v>
      </c>
      <c r="BK74" s="58">
        <v>14.598000000000001</v>
      </c>
      <c r="BL74" s="58">
        <v>11.599</v>
      </c>
      <c r="BM74" s="58">
        <v>2.9990000000000001</v>
      </c>
      <c r="BN74" s="58">
        <v>55.348999999999997</v>
      </c>
      <c r="BO74" s="58">
        <v>23.975999999999999</v>
      </c>
      <c r="BP74" s="58">
        <v>31.373999999999999</v>
      </c>
      <c r="BQ74" s="58">
        <v>443.85599999999999</v>
      </c>
      <c r="BR74" s="58">
        <v>226.55199999999999</v>
      </c>
      <c r="BS74" s="58">
        <v>217.304</v>
      </c>
      <c r="BT74" s="58">
        <v>176.62</v>
      </c>
      <c r="BU74" s="58">
        <v>128.94800000000001</v>
      </c>
      <c r="BV74" s="58">
        <v>47.673000000000002</v>
      </c>
      <c r="BW74" s="58">
        <v>267.23599999999999</v>
      </c>
      <c r="BX74" s="58">
        <v>97.603999999999999</v>
      </c>
      <c r="BY74" s="58">
        <v>169.63200000000001</v>
      </c>
      <c r="BZ74" s="58">
        <v>199.405</v>
      </c>
      <c r="CA74" s="58">
        <v>147.35400000000001</v>
      </c>
      <c r="CB74" s="58">
        <v>52.051000000000002</v>
      </c>
      <c r="CC74" s="58">
        <v>296.68299999999999</v>
      </c>
      <c r="CD74" s="58">
        <v>108.488</v>
      </c>
      <c r="CE74" s="58">
        <v>188.19499999999999</v>
      </c>
      <c r="CF74" s="58">
        <v>288.36599999999999</v>
      </c>
      <c r="CG74" s="58">
        <v>113.023</v>
      </c>
      <c r="CH74" s="58">
        <v>175.34299999999999</v>
      </c>
      <c r="CI74" s="58">
        <v>2545.3200000000002</v>
      </c>
      <c r="CJ74" s="58">
        <v>1312.096</v>
      </c>
      <c r="CK74" s="58">
        <v>1233.2239999999999</v>
      </c>
      <c r="CL74" s="58">
        <v>1745.394</v>
      </c>
      <c r="CM74" s="58">
        <v>1080.712</v>
      </c>
      <c r="CN74" s="58">
        <v>664.68200000000002</v>
      </c>
      <c r="CO74" s="58">
        <v>799.92600000000004</v>
      </c>
      <c r="CP74" s="58">
        <v>231.38399999999999</v>
      </c>
      <c r="CQ74" s="58">
        <v>568.54200000000003</v>
      </c>
      <c r="CR74" s="58">
        <v>369.21100000000001</v>
      </c>
      <c r="CS74" s="58">
        <v>181.51</v>
      </c>
      <c r="CT74" s="58">
        <v>187.70099999999999</v>
      </c>
      <c r="CU74" s="58">
        <v>67.075999999999993</v>
      </c>
      <c r="CV74" s="58">
        <v>34.917000000000002</v>
      </c>
      <c r="CW74" s="58">
        <v>32.159999999999997</v>
      </c>
      <c r="CX74" s="58">
        <v>25.440999999999999</v>
      </c>
      <c r="CY74" s="58">
        <v>20.117999999999999</v>
      </c>
      <c r="CZ74" s="58">
        <v>5.3230000000000004</v>
      </c>
      <c r="DA74" s="58">
        <v>16.939</v>
      </c>
      <c r="DB74" s="58">
        <v>14.356999999999999</v>
      </c>
      <c r="DC74" s="58">
        <v>2.5819999999999999</v>
      </c>
      <c r="DD74" s="58">
        <v>8.5020000000000007</v>
      </c>
      <c r="DE74" s="58">
        <v>5.7610000000000001</v>
      </c>
      <c r="DF74" s="58">
        <v>2.7410000000000001</v>
      </c>
      <c r="DG74" s="58">
        <v>41.634999999999998</v>
      </c>
      <c r="DH74" s="58">
        <v>14.798</v>
      </c>
      <c r="DI74" s="58">
        <v>26.837</v>
      </c>
      <c r="DJ74" s="58">
        <v>333.26600000000002</v>
      </c>
      <c r="DK74" s="58">
        <v>160.613</v>
      </c>
      <c r="DL74" s="58">
        <v>172.65299999999999</v>
      </c>
      <c r="DM74" s="58">
        <v>127.474</v>
      </c>
      <c r="DN74" s="58">
        <v>91.41</v>
      </c>
      <c r="DO74" s="58">
        <v>36.064</v>
      </c>
      <c r="DP74" s="58">
        <v>205.791</v>
      </c>
      <c r="DQ74" s="58">
        <v>69.203000000000003</v>
      </c>
      <c r="DR74" s="58">
        <v>136.58799999999999</v>
      </c>
      <c r="DS74" s="58">
        <v>144.30199999999999</v>
      </c>
      <c r="DT74" s="58">
        <v>104.843</v>
      </c>
      <c r="DU74" s="58">
        <v>39.457999999999998</v>
      </c>
      <c r="DV74" s="58">
        <v>224.90899999999999</v>
      </c>
      <c r="DW74" s="58">
        <v>76.665999999999997</v>
      </c>
      <c r="DX74" s="58">
        <v>148.24299999999999</v>
      </c>
      <c r="DY74" s="58">
        <v>222.73</v>
      </c>
      <c r="DZ74" s="58">
        <v>83.56</v>
      </c>
      <c r="EA74" s="58">
        <v>139.16999999999999</v>
      </c>
      <c r="EB74" s="58">
        <v>843.99900000000002</v>
      </c>
      <c r="EC74" s="58">
        <v>438.62400000000002</v>
      </c>
      <c r="ED74" s="58">
        <v>405.37599999999998</v>
      </c>
      <c r="EE74" s="58">
        <v>543.99300000000005</v>
      </c>
      <c r="EF74" s="58">
        <v>349.67899999999997</v>
      </c>
      <c r="EG74" s="58">
        <v>194.31299999999999</v>
      </c>
      <c r="EH74" s="58">
        <v>300.00599999999997</v>
      </c>
      <c r="EI74" s="58">
        <v>88.944000000000003</v>
      </c>
      <c r="EJ74" s="58">
        <v>211.06200000000001</v>
      </c>
      <c r="EK74" s="58">
        <v>131.66499999999999</v>
      </c>
      <c r="EL74" s="58">
        <v>63.604999999999997</v>
      </c>
      <c r="EM74" s="58">
        <v>68.06</v>
      </c>
      <c r="EN74" s="58">
        <v>25.169</v>
      </c>
      <c r="EO74" s="58">
        <v>13.72</v>
      </c>
      <c r="EP74" s="58">
        <v>11.45</v>
      </c>
      <c r="EQ74" s="58">
        <v>8.2520000000000007</v>
      </c>
      <c r="ER74" s="58">
        <v>5.399</v>
      </c>
      <c r="ES74" s="58">
        <v>2.8530000000000002</v>
      </c>
      <c r="ET74" s="58">
        <v>4.7069999999999999</v>
      </c>
      <c r="EU74" s="58">
        <v>2.6480000000000001</v>
      </c>
      <c r="EV74" s="58">
        <v>2.06</v>
      </c>
      <c r="EW74" s="58">
        <v>3.5449999999999999</v>
      </c>
      <c r="EX74" s="58">
        <v>2.7519999999999998</v>
      </c>
      <c r="EY74" s="58">
        <v>0.79300000000000004</v>
      </c>
      <c r="EZ74" s="58">
        <v>16.917000000000002</v>
      </c>
      <c r="FA74" s="58">
        <v>8.32</v>
      </c>
      <c r="FB74" s="58">
        <v>8.5969999999999995</v>
      </c>
      <c r="FC74" s="58">
        <v>117.23699999999999</v>
      </c>
      <c r="FD74" s="58">
        <v>55.566000000000003</v>
      </c>
      <c r="FE74" s="58">
        <v>61.670999999999999</v>
      </c>
      <c r="FF74" s="58">
        <v>37.442999999999998</v>
      </c>
      <c r="FG74" s="58">
        <v>25.218</v>
      </c>
      <c r="FH74" s="58">
        <v>12.226000000000001</v>
      </c>
      <c r="FI74" s="58">
        <v>79.793999999999997</v>
      </c>
      <c r="FJ74" s="58">
        <v>30.347999999999999</v>
      </c>
      <c r="FK74" s="58">
        <v>49.445999999999998</v>
      </c>
      <c r="FL74" s="58">
        <v>43.905000000000001</v>
      </c>
      <c r="FM74" s="58">
        <v>29.806999999999999</v>
      </c>
      <c r="FN74" s="58">
        <v>14.098000000000001</v>
      </c>
      <c r="FO74" s="58">
        <v>87.760999999999996</v>
      </c>
      <c r="FP74" s="58">
        <v>33.798000000000002</v>
      </c>
      <c r="FQ74" s="58">
        <v>53.962000000000003</v>
      </c>
      <c r="FR74" s="58">
        <v>84.501000000000005</v>
      </c>
      <c r="FS74" s="58">
        <v>32.996000000000002</v>
      </c>
      <c r="FT74" s="58">
        <v>51.506</v>
      </c>
      <c r="FU74" s="58">
        <v>1363.3679999999999</v>
      </c>
      <c r="FV74" s="58">
        <v>735.80700000000002</v>
      </c>
      <c r="FW74" s="58">
        <v>627.56100000000004</v>
      </c>
      <c r="FX74" s="58">
        <v>925.09900000000005</v>
      </c>
      <c r="FY74" s="58">
        <v>601.78099999999995</v>
      </c>
      <c r="FZ74" s="58">
        <v>323.31700000000001</v>
      </c>
      <c r="GA74" s="58">
        <v>438.27</v>
      </c>
      <c r="GB74" s="58">
        <v>134.02600000000001</v>
      </c>
      <c r="GC74" s="58">
        <v>304.24400000000003</v>
      </c>
      <c r="GD74" s="58">
        <v>235.92400000000001</v>
      </c>
      <c r="GE74" s="58">
        <v>125.121</v>
      </c>
      <c r="GF74" s="58">
        <v>110.803</v>
      </c>
      <c r="GG74" s="58">
        <v>37.079000000000001</v>
      </c>
      <c r="GH74" s="58">
        <v>21.437000000000001</v>
      </c>
      <c r="GI74" s="58">
        <v>15.641999999999999</v>
      </c>
      <c r="GJ74" s="58">
        <v>15.99</v>
      </c>
      <c r="GK74" s="58">
        <v>12.965999999999999</v>
      </c>
      <c r="GL74" s="58">
        <v>3.0249999999999999</v>
      </c>
      <c r="GM74" s="58">
        <v>9.6210000000000004</v>
      </c>
      <c r="GN74" s="58">
        <v>7.3570000000000002</v>
      </c>
      <c r="GO74" s="58">
        <v>2.2639999999999998</v>
      </c>
      <c r="GP74" s="58">
        <v>6.3689999999999998</v>
      </c>
      <c r="GQ74" s="58">
        <v>5.609</v>
      </c>
      <c r="GR74" s="58">
        <v>0.76</v>
      </c>
      <c r="GS74" s="58">
        <v>21.088999999999999</v>
      </c>
      <c r="GT74" s="58">
        <v>8.4719999999999995</v>
      </c>
      <c r="GU74" s="58">
        <v>12.617000000000001</v>
      </c>
      <c r="GV74" s="58">
        <v>214.31700000000001</v>
      </c>
      <c r="GW74" s="58">
        <v>113.07599999999999</v>
      </c>
      <c r="GX74" s="58">
        <v>101.241</v>
      </c>
      <c r="GY74" s="58">
        <v>88.352000000000004</v>
      </c>
      <c r="GZ74" s="58">
        <v>64.307000000000002</v>
      </c>
      <c r="HA74" s="58">
        <v>24.045000000000002</v>
      </c>
      <c r="HB74" s="58">
        <v>125.965</v>
      </c>
      <c r="HC74" s="58">
        <v>48.768999999999998</v>
      </c>
      <c r="HD74" s="58">
        <v>77.195999999999998</v>
      </c>
      <c r="HE74" s="58">
        <v>99.462000000000003</v>
      </c>
      <c r="HF74" s="58">
        <v>73.168999999999997</v>
      </c>
      <c r="HG74" s="58">
        <v>26.292000000000002</v>
      </c>
      <c r="HH74" s="58">
        <v>136.46299999999999</v>
      </c>
      <c r="HI74" s="58">
        <v>51.951999999999998</v>
      </c>
      <c r="HJ74" s="58">
        <v>84.510999999999996</v>
      </c>
      <c r="HK74" s="58">
        <v>135.58600000000001</v>
      </c>
      <c r="HL74" s="58">
        <v>56.125999999999998</v>
      </c>
      <c r="HM74" s="58">
        <v>79.459999999999994</v>
      </c>
      <c r="HN74" s="58">
        <v>251.51400000000001</v>
      </c>
      <c r="HO74" s="58">
        <v>131.624</v>
      </c>
      <c r="HP74" s="58">
        <v>119.89</v>
      </c>
      <c r="HQ74" s="58">
        <v>154.166</v>
      </c>
      <c r="HR74" s="58">
        <v>98.174000000000007</v>
      </c>
      <c r="HS74" s="58">
        <v>55.991999999999997</v>
      </c>
      <c r="HT74" s="58">
        <v>97.346999999999994</v>
      </c>
      <c r="HU74" s="58">
        <v>33.450000000000003</v>
      </c>
      <c r="HV74" s="58">
        <v>63.898000000000003</v>
      </c>
      <c r="HW74" s="58">
        <v>42.070999999999998</v>
      </c>
      <c r="HX74" s="58">
        <v>19.931000000000001</v>
      </c>
      <c r="HY74" s="58">
        <v>22.14</v>
      </c>
      <c r="HZ74" s="58">
        <v>6.0469999999999997</v>
      </c>
      <c r="IA74" s="58">
        <v>3.238</v>
      </c>
      <c r="IB74" s="58">
        <v>2.8079999999999998</v>
      </c>
      <c r="IC74" s="58">
        <v>1.9870000000000001</v>
      </c>
      <c r="ID74" s="58">
        <v>1.9870000000000001</v>
      </c>
      <c r="IE74" s="58">
        <v>0</v>
      </c>
      <c r="IF74" s="58">
        <v>1.32</v>
      </c>
      <c r="IG74" s="58">
        <v>1.32</v>
      </c>
      <c r="IH74" s="58">
        <v>0</v>
      </c>
      <c r="II74" s="58">
        <v>0.66600000000000004</v>
      </c>
      <c r="IJ74" s="58">
        <v>0.66600000000000004</v>
      </c>
      <c r="IK74" s="58">
        <v>0</v>
      </c>
      <c r="IL74" s="58">
        <v>4.0599999999999996</v>
      </c>
      <c r="IM74" s="58">
        <v>1.252</v>
      </c>
      <c r="IN74" s="58">
        <v>2.8079999999999998</v>
      </c>
      <c r="IO74" s="58">
        <v>38.588999999999999</v>
      </c>
      <c r="IP74" s="58">
        <v>17.276</v>
      </c>
      <c r="IQ74" s="58">
        <v>21.312999999999999</v>
      </c>
    </row>
    <row r="75" spans="1:251">
      <c r="A75" s="5">
        <v>43770</v>
      </c>
      <c r="B75" s="58">
        <v>1103.8440000000001</v>
      </c>
      <c r="C75" s="58">
        <v>1233.579</v>
      </c>
      <c r="D75" s="58">
        <v>402.82600000000002</v>
      </c>
      <c r="E75" s="58">
        <v>830.75300000000004</v>
      </c>
      <c r="F75" s="58">
        <v>589.32899999999995</v>
      </c>
      <c r="G75" s="58">
        <v>335.75299999999999</v>
      </c>
      <c r="H75" s="58">
        <v>253.57599999999999</v>
      </c>
      <c r="I75" s="58">
        <v>108.396</v>
      </c>
      <c r="J75" s="58">
        <v>67.528999999999996</v>
      </c>
      <c r="K75" s="58">
        <v>40.866999999999997</v>
      </c>
      <c r="L75" s="58">
        <v>52.329000000000001</v>
      </c>
      <c r="M75" s="58">
        <v>42.95</v>
      </c>
      <c r="N75" s="58">
        <v>9.3789999999999996</v>
      </c>
      <c r="O75" s="58">
        <v>37.444000000000003</v>
      </c>
      <c r="P75" s="58">
        <v>30.975999999999999</v>
      </c>
      <c r="Q75" s="58">
        <v>6.4690000000000003</v>
      </c>
      <c r="R75" s="58">
        <v>14.884</v>
      </c>
      <c r="S75" s="58">
        <v>11.974</v>
      </c>
      <c r="T75" s="58">
        <v>2.91</v>
      </c>
      <c r="U75" s="58">
        <v>56.067</v>
      </c>
      <c r="V75" s="58">
        <v>24.58</v>
      </c>
      <c r="W75" s="58">
        <v>31.488</v>
      </c>
      <c r="X75" s="58">
        <v>524.14200000000005</v>
      </c>
      <c r="Y75" s="58">
        <v>293.20100000000002</v>
      </c>
      <c r="Z75" s="58">
        <v>230.941</v>
      </c>
      <c r="AA75" s="58">
        <v>224.208</v>
      </c>
      <c r="AB75" s="58">
        <v>166.35900000000001</v>
      </c>
      <c r="AC75" s="58">
        <v>57.848999999999997</v>
      </c>
      <c r="AD75" s="58">
        <v>299.93400000000003</v>
      </c>
      <c r="AE75" s="58">
        <v>126.842</v>
      </c>
      <c r="AF75" s="58">
        <v>173.09200000000001</v>
      </c>
      <c r="AG75" s="58">
        <v>260.21699999999998</v>
      </c>
      <c r="AH75" s="58">
        <v>195.423</v>
      </c>
      <c r="AI75" s="58">
        <v>64.793999999999997</v>
      </c>
      <c r="AJ75" s="58">
        <v>329.11200000000002</v>
      </c>
      <c r="AK75" s="58">
        <v>140.33000000000001</v>
      </c>
      <c r="AL75" s="58">
        <v>188.78200000000001</v>
      </c>
      <c r="AM75" s="58">
        <v>337.37900000000002</v>
      </c>
      <c r="AN75" s="58">
        <v>157.81800000000001</v>
      </c>
      <c r="AO75" s="58">
        <v>179.56100000000001</v>
      </c>
      <c r="AP75" s="58">
        <v>3451.4349999999999</v>
      </c>
      <c r="AQ75" s="58">
        <v>1820.1980000000001</v>
      </c>
      <c r="AR75" s="58">
        <v>1631.2370000000001</v>
      </c>
      <c r="AS75" s="58">
        <v>2311.2190000000001</v>
      </c>
      <c r="AT75" s="58">
        <v>1462.3330000000001</v>
      </c>
      <c r="AU75" s="58">
        <v>848.88599999999997</v>
      </c>
      <c r="AV75" s="58">
        <v>1140.2170000000001</v>
      </c>
      <c r="AW75" s="58">
        <v>357.86500000000001</v>
      </c>
      <c r="AX75" s="58">
        <v>782.351</v>
      </c>
      <c r="AY75" s="58">
        <v>510.13400000000001</v>
      </c>
      <c r="AZ75" s="58">
        <v>269.24299999999999</v>
      </c>
      <c r="BA75" s="58">
        <v>240.89099999999999</v>
      </c>
      <c r="BB75" s="58">
        <v>84.861999999999995</v>
      </c>
      <c r="BC75" s="58">
        <v>51.113</v>
      </c>
      <c r="BD75" s="58">
        <v>33.749000000000002</v>
      </c>
      <c r="BE75" s="58">
        <v>29.835999999999999</v>
      </c>
      <c r="BF75" s="58">
        <v>23.817</v>
      </c>
      <c r="BG75" s="58">
        <v>6.0190000000000001</v>
      </c>
      <c r="BH75" s="58">
        <v>16.920999999999999</v>
      </c>
      <c r="BI75" s="58">
        <v>12.601000000000001</v>
      </c>
      <c r="BJ75" s="58">
        <v>4.32</v>
      </c>
      <c r="BK75" s="58">
        <v>12.914999999999999</v>
      </c>
      <c r="BL75" s="58">
        <v>11.215999999999999</v>
      </c>
      <c r="BM75" s="58">
        <v>1.6990000000000001</v>
      </c>
      <c r="BN75" s="58">
        <v>55.026000000000003</v>
      </c>
      <c r="BO75" s="58">
        <v>27.295999999999999</v>
      </c>
      <c r="BP75" s="58">
        <v>27.73</v>
      </c>
      <c r="BQ75" s="58">
        <v>467.673</v>
      </c>
      <c r="BR75" s="58">
        <v>241.01</v>
      </c>
      <c r="BS75" s="58">
        <v>226.66399999999999</v>
      </c>
      <c r="BT75" s="58">
        <v>169.887</v>
      </c>
      <c r="BU75" s="58">
        <v>128.01</v>
      </c>
      <c r="BV75" s="58">
        <v>41.877000000000002</v>
      </c>
      <c r="BW75" s="58">
        <v>297.78699999999998</v>
      </c>
      <c r="BX75" s="58">
        <v>113</v>
      </c>
      <c r="BY75" s="58">
        <v>184.78700000000001</v>
      </c>
      <c r="BZ75" s="58">
        <v>189.733</v>
      </c>
      <c r="CA75" s="58">
        <v>144.27500000000001</v>
      </c>
      <c r="CB75" s="58">
        <v>45.457999999999998</v>
      </c>
      <c r="CC75" s="58">
        <v>320.40100000000001</v>
      </c>
      <c r="CD75" s="58">
        <v>124.968</v>
      </c>
      <c r="CE75" s="58">
        <v>195.43299999999999</v>
      </c>
      <c r="CF75" s="58">
        <v>314.70800000000003</v>
      </c>
      <c r="CG75" s="58">
        <v>125.601</v>
      </c>
      <c r="CH75" s="58">
        <v>189.107</v>
      </c>
      <c r="CI75" s="58">
        <v>2570.4760000000001</v>
      </c>
      <c r="CJ75" s="58">
        <v>1332.615</v>
      </c>
      <c r="CK75" s="58">
        <v>1237.8610000000001</v>
      </c>
      <c r="CL75" s="58">
        <v>1761.8979999999999</v>
      </c>
      <c r="CM75" s="58">
        <v>1090.7280000000001</v>
      </c>
      <c r="CN75" s="58">
        <v>671.17</v>
      </c>
      <c r="CO75" s="58">
        <v>808.57899999999995</v>
      </c>
      <c r="CP75" s="58">
        <v>241.887</v>
      </c>
      <c r="CQ75" s="58">
        <v>566.69100000000003</v>
      </c>
      <c r="CR75" s="58">
        <v>365.16500000000002</v>
      </c>
      <c r="CS75" s="58">
        <v>196.899</v>
      </c>
      <c r="CT75" s="58">
        <v>168.26499999999999</v>
      </c>
      <c r="CU75" s="58">
        <v>59.844999999999999</v>
      </c>
      <c r="CV75" s="58">
        <v>33.808</v>
      </c>
      <c r="CW75" s="58">
        <v>26.036000000000001</v>
      </c>
      <c r="CX75" s="58">
        <v>23.216999999999999</v>
      </c>
      <c r="CY75" s="58">
        <v>19</v>
      </c>
      <c r="CZ75" s="58">
        <v>4.2169999999999996</v>
      </c>
      <c r="DA75" s="58">
        <v>14.401999999999999</v>
      </c>
      <c r="DB75" s="58">
        <v>12.509</v>
      </c>
      <c r="DC75" s="58">
        <v>1.893</v>
      </c>
      <c r="DD75" s="58">
        <v>8.8149999999999995</v>
      </c>
      <c r="DE75" s="58">
        <v>6.4909999999999997</v>
      </c>
      <c r="DF75" s="58">
        <v>2.3239999999999998</v>
      </c>
      <c r="DG75" s="58">
        <v>36.628</v>
      </c>
      <c r="DH75" s="58">
        <v>14.808</v>
      </c>
      <c r="DI75" s="58">
        <v>21.82</v>
      </c>
      <c r="DJ75" s="58">
        <v>328.04300000000001</v>
      </c>
      <c r="DK75" s="58">
        <v>175.82</v>
      </c>
      <c r="DL75" s="58">
        <v>152.22300000000001</v>
      </c>
      <c r="DM75" s="58">
        <v>123.976</v>
      </c>
      <c r="DN75" s="58">
        <v>96.370999999999995</v>
      </c>
      <c r="DO75" s="58">
        <v>27.605</v>
      </c>
      <c r="DP75" s="58">
        <v>204.06700000000001</v>
      </c>
      <c r="DQ75" s="58">
        <v>79.448999999999998</v>
      </c>
      <c r="DR75" s="58">
        <v>124.61799999999999</v>
      </c>
      <c r="DS75" s="58">
        <v>142.05600000000001</v>
      </c>
      <c r="DT75" s="58">
        <v>110.639</v>
      </c>
      <c r="DU75" s="58">
        <v>31.417000000000002</v>
      </c>
      <c r="DV75" s="58">
        <v>223.108</v>
      </c>
      <c r="DW75" s="58">
        <v>86.26</v>
      </c>
      <c r="DX75" s="58">
        <v>136.84800000000001</v>
      </c>
      <c r="DY75" s="58">
        <v>218.46899999999999</v>
      </c>
      <c r="DZ75" s="58">
        <v>91.957999999999998</v>
      </c>
      <c r="EA75" s="58">
        <v>126.511</v>
      </c>
      <c r="EB75" s="58">
        <v>852.26199999999994</v>
      </c>
      <c r="EC75" s="58">
        <v>438.44499999999999</v>
      </c>
      <c r="ED75" s="58">
        <v>413.81700000000001</v>
      </c>
      <c r="EE75" s="58">
        <v>547.75400000000002</v>
      </c>
      <c r="EF75" s="58">
        <v>346.14600000000002</v>
      </c>
      <c r="EG75" s="58">
        <v>201.608</v>
      </c>
      <c r="EH75" s="58">
        <v>304.50799999999998</v>
      </c>
      <c r="EI75" s="58">
        <v>92.3</v>
      </c>
      <c r="EJ75" s="58">
        <v>212.209</v>
      </c>
      <c r="EK75" s="58">
        <v>121.62</v>
      </c>
      <c r="EL75" s="58">
        <v>56.753</v>
      </c>
      <c r="EM75" s="58">
        <v>64.866</v>
      </c>
      <c r="EN75" s="58">
        <v>24.486000000000001</v>
      </c>
      <c r="EO75" s="58">
        <v>13.327999999999999</v>
      </c>
      <c r="EP75" s="58">
        <v>11.157999999999999</v>
      </c>
      <c r="EQ75" s="58">
        <v>7.3620000000000001</v>
      </c>
      <c r="ER75" s="58">
        <v>5.7149999999999999</v>
      </c>
      <c r="ES75" s="58">
        <v>1.647</v>
      </c>
      <c r="ET75" s="58">
        <v>3.7090000000000001</v>
      </c>
      <c r="EU75" s="58">
        <v>2.2679999999999998</v>
      </c>
      <c r="EV75" s="58">
        <v>1.4410000000000001</v>
      </c>
      <c r="EW75" s="58">
        <v>3.653</v>
      </c>
      <c r="EX75" s="58">
        <v>3.4470000000000001</v>
      </c>
      <c r="EY75" s="58">
        <v>0.20599999999999999</v>
      </c>
      <c r="EZ75" s="58">
        <v>17.123000000000001</v>
      </c>
      <c r="FA75" s="58">
        <v>7.6130000000000004</v>
      </c>
      <c r="FB75" s="58">
        <v>9.5109999999999992</v>
      </c>
      <c r="FC75" s="58">
        <v>109.59099999999999</v>
      </c>
      <c r="FD75" s="58">
        <v>49.911999999999999</v>
      </c>
      <c r="FE75" s="58">
        <v>59.679000000000002</v>
      </c>
      <c r="FF75" s="58">
        <v>30.276</v>
      </c>
      <c r="FG75" s="58">
        <v>19.84</v>
      </c>
      <c r="FH75" s="58">
        <v>10.435</v>
      </c>
      <c r="FI75" s="58">
        <v>79.314999999999998</v>
      </c>
      <c r="FJ75" s="58">
        <v>30.071999999999999</v>
      </c>
      <c r="FK75" s="58">
        <v>49.243000000000002</v>
      </c>
      <c r="FL75" s="58">
        <v>35.664000000000001</v>
      </c>
      <c r="FM75" s="58">
        <v>24.302</v>
      </c>
      <c r="FN75" s="58">
        <v>11.361000000000001</v>
      </c>
      <c r="FO75" s="58">
        <v>85.956000000000003</v>
      </c>
      <c r="FP75" s="58">
        <v>32.451000000000001</v>
      </c>
      <c r="FQ75" s="58">
        <v>53.505000000000003</v>
      </c>
      <c r="FR75" s="58">
        <v>83.024000000000001</v>
      </c>
      <c r="FS75" s="58">
        <v>32.340000000000003</v>
      </c>
      <c r="FT75" s="58">
        <v>50.683999999999997</v>
      </c>
      <c r="FU75" s="58">
        <v>1370.6320000000001</v>
      </c>
      <c r="FV75" s="58">
        <v>735.75800000000004</v>
      </c>
      <c r="FW75" s="58">
        <v>634.87400000000002</v>
      </c>
      <c r="FX75" s="58">
        <v>931.48099999999999</v>
      </c>
      <c r="FY75" s="58">
        <v>601.75599999999997</v>
      </c>
      <c r="FZ75" s="58">
        <v>329.72500000000002</v>
      </c>
      <c r="GA75" s="58">
        <v>439.15100000000001</v>
      </c>
      <c r="GB75" s="58">
        <v>134.00200000000001</v>
      </c>
      <c r="GC75" s="58">
        <v>305.149</v>
      </c>
      <c r="GD75" s="58">
        <v>217.53200000000001</v>
      </c>
      <c r="GE75" s="58">
        <v>115.806</v>
      </c>
      <c r="GF75" s="58">
        <v>101.726</v>
      </c>
      <c r="GG75" s="58">
        <v>39.316000000000003</v>
      </c>
      <c r="GH75" s="58">
        <v>20.885000000000002</v>
      </c>
      <c r="GI75" s="58">
        <v>18.431999999999999</v>
      </c>
      <c r="GJ75" s="58">
        <v>15.923</v>
      </c>
      <c r="GK75" s="58">
        <v>11.298</v>
      </c>
      <c r="GL75" s="58">
        <v>4.625</v>
      </c>
      <c r="GM75" s="58">
        <v>8.7639999999999993</v>
      </c>
      <c r="GN75" s="58">
        <v>5.8609999999999998</v>
      </c>
      <c r="GO75" s="58">
        <v>2.903</v>
      </c>
      <c r="GP75" s="58">
        <v>7.1589999999999998</v>
      </c>
      <c r="GQ75" s="58">
        <v>5.4370000000000003</v>
      </c>
      <c r="GR75" s="58">
        <v>1.722</v>
      </c>
      <c r="GS75" s="58">
        <v>23.393000000000001</v>
      </c>
      <c r="GT75" s="58">
        <v>9.5860000000000003</v>
      </c>
      <c r="GU75" s="58">
        <v>13.805999999999999</v>
      </c>
      <c r="GV75" s="58">
        <v>193.791</v>
      </c>
      <c r="GW75" s="58">
        <v>101.595</v>
      </c>
      <c r="GX75" s="58">
        <v>92.195999999999998</v>
      </c>
      <c r="GY75" s="58">
        <v>76.463999999999999</v>
      </c>
      <c r="GZ75" s="58">
        <v>55.841999999999999</v>
      </c>
      <c r="HA75" s="58">
        <v>20.622</v>
      </c>
      <c r="HB75" s="58">
        <v>117.327</v>
      </c>
      <c r="HC75" s="58">
        <v>45.753</v>
      </c>
      <c r="HD75" s="58">
        <v>71.573999999999998</v>
      </c>
      <c r="HE75" s="58">
        <v>87.177000000000007</v>
      </c>
      <c r="HF75" s="58">
        <v>64.513000000000005</v>
      </c>
      <c r="HG75" s="58">
        <v>22.664000000000001</v>
      </c>
      <c r="HH75" s="58">
        <v>130.35499999999999</v>
      </c>
      <c r="HI75" s="58">
        <v>51.292999999999999</v>
      </c>
      <c r="HJ75" s="58">
        <v>79.061999999999998</v>
      </c>
      <c r="HK75" s="58">
        <v>126.09099999999999</v>
      </c>
      <c r="HL75" s="58">
        <v>51.615000000000002</v>
      </c>
      <c r="HM75" s="58">
        <v>74.477000000000004</v>
      </c>
      <c r="HN75" s="58">
        <v>255.68299999999999</v>
      </c>
      <c r="HO75" s="58">
        <v>134.30699999999999</v>
      </c>
      <c r="HP75" s="58">
        <v>121.376</v>
      </c>
      <c r="HQ75" s="58">
        <v>160.232</v>
      </c>
      <c r="HR75" s="58">
        <v>103.161</v>
      </c>
      <c r="HS75" s="58">
        <v>57.070999999999998</v>
      </c>
      <c r="HT75" s="58">
        <v>95.450999999999993</v>
      </c>
      <c r="HU75" s="58">
        <v>31.146000000000001</v>
      </c>
      <c r="HV75" s="58">
        <v>64.305000000000007</v>
      </c>
      <c r="HW75" s="58">
        <v>43.072000000000003</v>
      </c>
      <c r="HX75" s="58">
        <v>21.190999999999999</v>
      </c>
      <c r="HY75" s="58">
        <v>21.881</v>
      </c>
      <c r="HZ75" s="58">
        <v>6.73</v>
      </c>
      <c r="IA75" s="58">
        <v>4.0049999999999999</v>
      </c>
      <c r="IB75" s="58">
        <v>2.7250000000000001</v>
      </c>
      <c r="IC75" s="58">
        <v>2.246</v>
      </c>
      <c r="ID75" s="58">
        <v>1.839</v>
      </c>
      <c r="IE75" s="58">
        <v>0.40799999999999997</v>
      </c>
      <c r="IF75" s="58">
        <v>1.593</v>
      </c>
      <c r="IG75" s="58">
        <v>1.1859999999999999</v>
      </c>
      <c r="IH75" s="58">
        <v>0.40799999999999997</v>
      </c>
      <c r="II75" s="58">
        <v>0.65300000000000002</v>
      </c>
      <c r="IJ75" s="58">
        <v>0.65300000000000002</v>
      </c>
      <c r="IK75" s="58">
        <v>0</v>
      </c>
      <c r="IL75" s="58">
        <v>4.484</v>
      </c>
      <c r="IM75" s="58">
        <v>2.1659999999999999</v>
      </c>
      <c r="IN75" s="58">
        <v>2.3170000000000002</v>
      </c>
      <c r="IO75" s="58">
        <v>39.43</v>
      </c>
      <c r="IP75" s="58">
        <v>19.013000000000002</v>
      </c>
      <c r="IQ75" s="58">
        <v>20.417000000000002</v>
      </c>
    </row>
    <row r="76" spans="1:251">
      <c r="A76" s="5">
        <v>43800</v>
      </c>
      <c r="B76" s="58">
        <v>1129.81</v>
      </c>
      <c r="C76" s="58">
        <v>1248.0260000000001</v>
      </c>
      <c r="D76" s="58">
        <v>416.17</v>
      </c>
      <c r="E76" s="58">
        <v>831.85500000000002</v>
      </c>
      <c r="F76" s="58">
        <v>624.45100000000002</v>
      </c>
      <c r="G76" s="58">
        <v>328.30099999999999</v>
      </c>
      <c r="H76" s="58">
        <v>296.14999999999998</v>
      </c>
      <c r="I76" s="58">
        <v>109.34399999999999</v>
      </c>
      <c r="J76" s="58">
        <v>58.432000000000002</v>
      </c>
      <c r="K76" s="58">
        <v>50.911000000000001</v>
      </c>
      <c r="L76" s="58">
        <v>46.488</v>
      </c>
      <c r="M76" s="58">
        <v>32.908000000000001</v>
      </c>
      <c r="N76" s="58">
        <v>13.58</v>
      </c>
      <c r="O76" s="58">
        <v>26.928999999999998</v>
      </c>
      <c r="P76" s="58">
        <v>17.670000000000002</v>
      </c>
      <c r="Q76" s="58">
        <v>9.2590000000000003</v>
      </c>
      <c r="R76" s="58">
        <v>19.559999999999999</v>
      </c>
      <c r="S76" s="58">
        <v>15.238</v>
      </c>
      <c r="T76" s="58">
        <v>4.3209999999999997</v>
      </c>
      <c r="U76" s="58">
        <v>62.854999999999997</v>
      </c>
      <c r="V76" s="58">
        <v>25.524000000000001</v>
      </c>
      <c r="W76" s="58">
        <v>37.331000000000003</v>
      </c>
      <c r="X76" s="58">
        <v>559.58500000000004</v>
      </c>
      <c r="Y76" s="58">
        <v>294.46499999999997</v>
      </c>
      <c r="Z76" s="58">
        <v>265.12</v>
      </c>
      <c r="AA76" s="58">
        <v>226.98099999999999</v>
      </c>
      <c r="AB76" s="58">
        <v>161.35300000000001</v>
      </c>
      <c r="AC76" s="58">
        <v>65.628</v>
      </c>
      <c r="AD76" s="58">
        <v>332.60399999999998</v>
      </c>
      <c r="AE76" s="58">
        <v>133.11199999999999</v>
      </c>
      <c r="AF76" s="58">
        <v>199.49199999999999</v>
      </c>
      <c r="AG76" s="58">
        <v>259.16399999999999</v>
      </c>
      <c r="AH76" s="58">
        <v>184.39599999999999</v>
      </c>
      <c r="AI76" s="58">
        <v>74.766999999999996</v>
      </c>
      <c r="AJ76" s="58">
        <v>365.28800000000001</v>
      </c>
      <c r="AK76" s="58">
        <v>143.905</v>
      </c>
      <c r="AL76" s="58">
        <v>221.38300000000001</v>
      </c>
      <c r="AM76" s="58">
        <v>359.53300000000002</v>
      </c>
      <c r="AN76" s="58">
        <v>150.78200000000001</v>
      </c>
      <c r="AO76" s="58">
        <v>208.751</v>
      </c>
      <c r="AP76" s="58">
        <v>3489.4740000000002</v>
      </c>
      <c r="AQ76" s="58">
        <v>1838.2850000000001</v>
      </c>
      <c r="AR76" s="58">
        <v>1651.1890000000001</v>
      </c>
      <c r="AS76" s="58">
        <v>2355.5</v>
      </c>
      <c r="AT76" s="58">
        <v>1464.481</v>
      </c>
      <c r="AU76" s="58">
        <v>891.01900000000001</v>
      </c>
      <c r="AV76" s="58">
        <v>1133.9739999999999</v>
      </c>
      <c r="AW76" s="58">
        <v>373.80399999999997</v>
      </c>
      <c r="AX76" s="58">
        <v>760.17</v>
      </c>
      <c r="AY76" s="58">
        <v>520.71</v>
      </c>
      <c r="AZ76" s="58">
        <v>283.62900000000002</v>
      </c>
      <c r="BA76" s="58">
        <v>237.08</v>
      </c>
      <c r="BB76" s="58">
        <v>79.620999999999995</v>
      </c>
      <c r="BC76" s="58">
        <v>45.524999999999999</v>
      </c>
      <c r="BD76" s="58">
        <v>34.095999999999997</v>
      </c>
      <c r="BE76" s="58">
        <v>28.193000000000001</v>
      </c>
      <c r="BF76" s="58">
        <v>21.457000000000001</v>
      </c>
      <c r="BG76" s="58">
        <v>6.7359999999999998</v>
      </c>
      <c r="BH76" s="58">
        <v>15.393000000000001</v>
      </c>
      <c r="BI76" s="58">
        <v>11.178000000000001</v>
      </c>
      <c r="BJ76" s="58">
        <v>4.2149999999999999</v>
      </c>
      <c r="BK76" s="58">
        <v>12.8</v>
      </c>
      <c r="BL76" s="58">
        <v>10.279</v>
      </c>
      <c r="BM76" s="58">
        <v>2.5209999999999999</v>
      </c>
      <c r="BN76" s="58">
        <v>51.427999999999997</v>
      </c>
      <c r="BO76" s="58">
        <v>24.068000000000001</v>
      </c>
      <c r="BP76" s="58">
        <v>27.36</v>
      </c>
      <c r="BQ76" s="58">
        <v>482.73899999999998</v>
      </c>
      <c r="BR76" s="58">
        <v>263.42200000000003</v>
      </c>
      <c r="BS76" s="58">
        <v>219.31700000000001</v>
      </c>
      <c r="BT76" s="58">
        <v>179.15100000000001</v>
      </c>
      <c r="BU76" s="58">
        <v>136.148</v>
      </c>
      <c r="BV76" s="58">
        <v>43.003</v>
      </c>
      <c r="BW76" s="58">
        <v>303.58800000000002</v>
      </c>
      <c r="BX76" s="58">
        <v>127.274</v>
      </c>
      <c r="BY76" s="58">
        <v>176.315</v>
      </c>
      <c r="BZ76" s="58">
        <v>196.66200000000001</v>
      </c>
      <c r="CA76" s="58">
        <v>147.422</v>
      </c>
      <c r="CB76" s="58">
        <v>49.24</v>
      </c>
      <c r="CC76" s="58">
        <v>324.04700000000003</v>
      </c>
      <c r="CD76" s="58">
        <v>136.20699999999999</v>
      </c>
      <c r="CE76" s="58">
        <v>187.84</v>
      </c>
      <c r="CF76" s="58">
        <v>318.98200000000003</v>
      </c>
      <c r="CG76" s="58">
        <v>138.452</v>
      </c>
      <c r="CH76" s="58">
        <v>180.53</v>
      </c>
      <c r="CI76" s="58">
        <v>2576.2130000000002</v>
      </c>
      <c r="CJ76" s="58">
        <v>1333.38</v>
      </c>
      <c r="CK76" s="58">
        <v>1242.8340000000001</v>
      </c>
      <c r="CL76" s="58">
        <v>1782.5709999999999</v>
      </c>
      <c r="CM76" s="58">
        <v>1093.2059999999999</v>
      </c>
      <c r="CN76" s="58">
        <v>689.36500000000001</v>
      </c>
      <c r="CO76" s="58">
        <v>793.64300000000003</v>
      </c>
      <c r="CP76" s="58">
        <v>240.17400000000001</v>
      </c>
      <c r="CQ76" s="58">
        <v>553.46900000000005</v>
      </c>
      <c r="CR76" s="58">
        <v>388.01</v>
      </c>
      <c r="CS76" s="58">
        <v>195.20400000000001</v>
      </c>
      <c r="CT76" s="58">
        <v>192.80600000000001</v>
      </c>
      <c r="CU76" s="58">
        <v>75.927999999999997</v>
      </c>
      <c r="CV76" s="58">
        <v>43.113999999999997</v>
      </c>
      <c r="CW76" s="58">
        <v>32.813000000000002</v>
      </c>
      <c r="CX76" s="58">
        <v>33.116</v>
      </c>
      <c r="CY76" s="58">
        <v>26.8</v>
      </c>
      <c r="CZ76" s="58">
        <v>6.3159999999999998</v>
      </c>
      <c r="DA76" s="58">
        <v>18.404</v>
      </c>
      <c r="DB76" s="58">
        <v>14.4</v>
      </c>
      <c r="DC76" s="58">
        <v>4.0030000000000001</v>
      </c>
      <c r="DD76" s="58">
        <v>14.712999999999999</v>
      </c>
      <c r="DE76" s="58">
        <v>12.4</v>
      </c>
      <c r="DF76" s="58">
        <v>2.3130000000000002</v>
      </c>
      <c r="DG76" s="58">
        <v>42.811999999999998</v>
      </c>
      <c r="DH76" s="58">
        <v>16.315000000000001</v>
      </c>
      <c r="DI76" s="58">
        <v>26.497</v>
      </c>
      <c r="DJ76" s="58">
        <v>341.36399999999998</v>
      </c>
      <c r="DK76" s="58">
        <v>169.61099999999999</v>
      </c>
      <c r="DL76" s="58">
        <v>171.75299999999999</v>
      </c>
      <c r="DM76" s="58">
        <v>122.428</v>
      </c>
      <c r="DN76" s="58">
        <v>87.063000000000002</v>
      </c>
      <c r="DO76" s="58">
        <v>35.365000000000002</v>
      </c>
      <c r="DP76" s="58">
        <v>218.93600000000001</v>
      </c>
      <c r="DQ76" s="58">
        <v>82.548000000000002</v>
      </c>
      <c r="DR76" s="58">
        <v>136.38800000000001</v>
      </c>
      <c r="DS76" s="58">
        <v>147.28299999999999</v>
      </c>
      <c r="DT76" s="58">
        <v>106.095</v>
      </c>
      <c r="DU76" s="58">
        <v>41.188000000000002</v>
      </c>
      <c r="DV76" s="58">
        <v>240.727</v>
      </c>
      <c r="DW76" s="58">
        <v>89.108999999999995</v>
      </c>
      <c r="DX76" s="58">
        <v>151.61799999999999</v>
      </c>
      <c r="DY76" s="58">
        <v>237.34</v>
      </c>
      <c r="DZ76" s="58">
        <v>96.947999999999993</v>
      </c>
      <c r="EA76" s="58">
        <v>140.392</v>
      </c>
      <c r="EB76" s="58">
        <v>853.96900000000005</v>
      </c>
      <c r="EC76" s="58">
        <v>436.05099999999999</v>
      </c>
      <c r="ED76" s="58">
        <v>417.91800000000001</v>
      </c>
      <c r="EE76" s="58">
        <v>553.73199999999997</v>
      </c>
      <c r="EF76" s="58">
        <v>348.32400000000001</v>
      </c>
      <c r="EG76" s="58">
        <v>205.40899999999999</v>
      </c>
      <c r="EH76" s="58">
        <v>300.23599999999999</v>
      </c>
      <c r="EI76" s="58">
        <v>87.727999999999994</v>
      </c>
      <c r="EJ76" s="58">
        <v>212.50899999999999</v>
      </c>
      <c r="EK76" s="58">
        <v>130.52199999999999</v>
      </c>
      <c r="EL76" s="58">
        <v>62.075000000000003</v>
      </c>
      <c r="EM76" s="58">
        <v>68.445999999999998</v>
      </c>
      <c r="EN76" s="58">
        <v>24.853000000000002</v>
      </c>
      <c r="EO76" s="58">
        <v>11.335000000000001</v>
      </c>
      <c r="EP76" s="58">
        <v>13.518000000000001</v>
      </c>
      <c r="EQ76" s="58">
        <v>8.2929999999999993</v>
      </c>
      <c r="ER76" s="58">
        <v>5.3570000000000002</v>
      </c>
      <c r="ES76" s="58">
        <v>2.9359999999999999</v>
      </c>
      <c r="ET76" s="58">
        <v>5.194</v>
      </c>
      <c r="EU76" s="58">
        <v>2.9409999999999998</v>
      </c>
      <c r="EV76" s="58">
        <v>2.2530000000000001</v>
      </c>
      <c r="EW76" s="58">
        <v>3.0990000000000002</v>
      </c>
      <c r="EX76" s="58">
        <v>2.4159999999999999</v>
      </c>
      <c r="EY76" s="58">
        <v>0.68400000000000005</v>
      </c>
      <c r="EZ76" s="58">
        <v>16.559999999999999</v>
      </c>
      <c r="FA76" s="58">
        <v>5.9779999999999998</v>
      </c>
      <c r="FB76" s="58">
        <v>10.582000000000001</v>
      </c>
      <c r="FC76" s="58">
        <v>116.932</v>
      </c>
      <c r="FD76" s="58">
        <v>55.216999999999999</v>
      </c>
      <c r="FE76" s="58">
        <v>61.715000000000003</v>
      </c>
      <c r="FF76" s="58">
        <v>35.926000000000002</v>
      </c>
      <c r="FG76" s="58">
        <v>24.917999999999999</v>
      </c>
      <c r="FH76" s="58">
        <v>11.007</v>
      </c>
      <c r="FI76" s="58">
        <v>81.006</v>
      </c>
      <c r="FJ76" s="58">
        <v>30.298999999999999</v>
      </c>
      <c r="FK76" s="58">
        <v>50.707000000000001</v>
      </c>
      <c r="FL76" s="58">
        <v>42.402000000000001</v>
      </c>
      <c r="FM76" s="58">
        <v>29.245000000000001</v>
      </c>
      <c r="FN76" s="58">
        <v>13.157999999999999</v>
      </c>
      <c r="FO76" s="58">
        <v>88.119</v>
      </c>
      <c r="FP76" s="58">
        <v>32.831000000000003</v>
      </c>
      <c r="FQ76" s="58">
        <v>55.289000000000001</v>
      </c>
      <c r="FR76" s="58">
        <v>86.2</v>
      </c>
      <c r="FS76" s="58">
        <v>33.24</v>
      </c>
      <c r="FT76" s="58">
        <v>52.96</v>
      </c>
      <c r="FU76" s="58">
        <v>1371.5830000000001</v>
      </c>
      <c r="FV76" s="58">
        <v>738.72199999999998</v>
      </c>
      <c r="FW76" s="58">
        <v>632.86099999999999</v>
      </c>
      <c r="FX76" s="58">
        <v>932.66899999999998</v>
      </c>
      <c r="FY76" s="58">
        <v>604.46900000000005</v>
      </c>
      <c r="FZ76" s="58">
        <v>328.20100000000002</v>
      </c>
      <c r="GA76" s="58">
        <v>438.91399999999999</v>
      </c>
      <c r="GB76" s="58">
        <v>134.25299999999999</v>
      </c>
      <c r="GC76" s="58">
        <v>304.66000000000003</v>
      </c>
      <c r="GD76" s="58">
        <v>228.78800000000001</v>
      </c>
      <c r="GE76" s="58">
        <v>122.663</v>
      </c>
      <c r="GF76" s="58">
        <v>106.125</v>
      </c>
      <c r="GG76" s="58">
        <v>41.915999999999997</v>
      </c>
      <c r="GH76" s="58">
        <v>23.890999999999998</v>
      </c>
      <c r="GI76" s="58">
        <v>18.024999999999999</v>
      </c>
      <c r="GJ76" s="58">
        <v>16.326000000000001</v>
      </c>
      <c r="GK76" s="58">
        <v>13.983000000000001</v>
      </c>
      <c r="GL76" s="58">
        <v>2.343</v>
      </c>
      <c r="GM76" s="58">
        <v>9.7330000000000005</v>
      </c>
      <c r="GN76" s="58">
        <v>7.7130000000000001</v>
      </c>
      <c r="GO76" s="58">
        <v>2.02</v>
      </c>
      <c r="GP76" s="58">
        <v>6.593</v>
      </c>
      <c r="GQ76" s="58">
        <v>6.27</v>
      </c>
      <c r="GR76" s="58">
        <v>0.32300000000000001</v>
      </c>
      <c r="GS76" s="58">
        <v>25.59</v>
      </c>
      <c r="GT76" s="58">
        <v>9.9079999999999995</v>
      </c>
      <c r="GU76" s="58">
        <v>15.682</v>
      </c>
      <c r="GV76" s="58">
        <v>207.345</v>
      </c>
      <c r="GW76" s="58">
        <v>111.2</v>
      </c>
      <c r="GX76" s="58">
        <v>96.146000000000001</v>
      </c>
      <c r="GY76" s="58">
        <v>80.198999999999998</v>
      </c>
      <c r="GZ76" s="58">
        <v>57.543999999999997</v>
      </c>
      <c r="HA76" s="58">
        <v>22.655000000000001</v>
      </c>
      <c r="HB76" s="58">
        <v>127.14700000000001</v>
      </c>
      <c r="HC76" s="58">
        <v>53.655999999999999</v>
      </c>
      <c r="HD76" s="58">
        <v>73.491</v>
      </c>
      <c r="HE76" s="58">
        <v>90.744</v>
      </c>
      <c r="HF76" s="58">
        <v>66.150000000000006</v>
      </c>
      <c r="HG76" s="58">
        <v>24.594000000000001</v>
      </c>
      <c r="HH76" s="58">
        <v>138.04499999999999</v>
      </c>
      <c r="HI76" s="58">
        <v>56.512999999999998</v>
      </c>
      <c r="HJ76" s="58">
        <v>81.531000000000006</v>
      </c>
      <c r="HK76" s="58">
        <v>136.87899999999999</v>
      </c>
      <c r="HL76" s="58">
        <v>61.369</v>
      </c>
      <c r="HM76" s="58">
        <v>75.510000000000005</v>
      </c>
      <c r="HN76" s="58">
        <v>259.69499999999999</v>
      </c>
      <c r="HO76" s="58">
        <v>135.803</v>
      </c>
      <c r="HP76" s="58">
        <v>123.892</v>
      </c>
      <c r="HQ76" s="58">
        <v>161.02699999999999</v>
      </c>
      <c r="HR76" s="58">
        <v>103.1</v>
      </c>
      <c r="HS76" s="58">
        <v>57.927</v>
      </c>
      <c r="HT76" s="58">
        <v>98.668000000000006</v>
      </c>
      <c r="HU76" s="58">
        <v>32.703000000000003</v>
      </c>
      <c r="HV76" s="58">
        <v>65.965000000000003</v>
      </c>
      <c r="HW76" s="58">
        <v>43.348999999999997</v>
      </c>
      <c r="HX76" s="58">
        <v>21.004000000000001</v>
      </c>
      <c r="HY76" s="58">
        <v>22.344999999999999</v>
      </c>
      <c r="HZ76" s="58">
        <v>6.9089999999999998</v>
      </c>
      <c r="IA76" s="58">
        <v>3.6320000000000001</v>
      </c>
      <c r="IB76" s="58">
        <v>3.2770000000000001</v>
      </c>
      <c r="IC76" s="58">
        <v>1.7689999999999999</v>
      </c>
      <c r="ID76" s="58">
        <v>1.2210000000000001</v>
      </c>
      <c r="IE76" s="58">
        <v>0.54700000000000004</v>
      </c>
      <c r="IF76" s="58">
        <v>1.032</v>
      </c>
      <c r="IG76" s="58">
        <v>0.60399999999999998</v>
      </c>
      <c r="IH76" s="58">
        <v>0.42799999999999999</v>
      </c>
      <c r="II76" s="58">
        <v>0.73699999999999999</v>
      </c>
      <c r="IJ76" s="58">
        <v>0.61699999999999999</v>
      </c>
      <c r="IK76" s="58">
        <v>0.11899999999999999</v>
      </c>
      <c r="IL76" s="58">
        <v>5.14</v>
      </c>
      <c r="IM76" s="58">
        <v>2.411</v>
      </c>
      <c r="IN76" s="58">
        <v>2.7290000000000001</v>
      </c>
      <c r="IO76" s="58">
        <v>39.860999999999997</v>
      </c>
      <c r="IP76" s="58">
        <v>19.213999999999999</v>
      </c>
      <c r="IQ76" s="58">
        <v>20.648</v>
      </c>
    </row>
    <row r="77" spans="1:251">
      <c r="A77" s="5">
        <v>43831</v>
      </c>
      <c r="B77" s="58">
        <v>1125.107</v>
      </c>
      <c r="C77" s="58">
        <v>1186.874</v>
      </c>
      <c r="D77" s="58">
        <v>391.73700000000002</v>
      </c>
      <c r="E77" s="58">
        <v>795.13699999999994</v>
      </c>
      <c r="F77" s="58">
        <v>649.16999999999996</v>
      </c>
      <c r="G77" s="58">
        <v>351.601</v>
      </c>
      <c r="H77" s="58">
        <v>297.56900000000002</v>
      </c>
      <c r="I77" s="58">
        <v>134.59299999999999</v>
      </c>
      <c r="J77" s="58">
        <v>76.649000000000001</v>
      </c>
      <c r="K77" s="58">
        <v>57.944000000000003</v>
      </c>
      <c r="L77" s="58">
        <v>61.26</v>
      </c>
      <c r="M77" s="58">
        <v>46.253999999999998</v>
      </c>
      <c r="N77" s="58">
        <v>15.006</v>
      </c>
      <c r="O77" s="58">
        <v>34.481999999999999</v>
      </c>
      <c r="P77" s="58">
        <v>28.593</v>
      </c>
      <c r="Q77" s="58">
        <v>5.89</v>
      </c>
      <c r="R77" s="58">
        <v>26.777999999999999</v>
      </c>
      <c r="S77" s="58">
        <v>17.661000000000001</v>
      </c>
      <c r="T77" s="58">
        <v>9.1170000000000009</v>
      </c>
      <c r="U77" s="58">
        <v>73.332999999999998</v>
      </c>
      <c r="V77" s="58">
        <v>30.395</v>
      </c>
      <c r="W77" s="58">
        <v>42.936999999999998</v>
      </c>
      <c r="X77" s="58">
        <v>574.63099999999997</v>
      </c>
      <c r="Y77" s="58">
        <v>303.267</v>
      </c>
      <c r="Z77" s="58">
        <v>271.36399999999998</v>
      </c>
      <c r="AA77" s="58">
        <v>232.684</v>
      </c>
      <c r="AB77" s="58">
        <v>172.58799999999999</v>
      </c>
      <c r="AC77" s="58">
        <v>60.094999999999999</v>
      </c>
      <c r="AD77" s="58">
        <v>341.947</v>
      </c>
      <c r="AE77" s="58">
        <v>130.678</v>
      </c>
      <c r="AF77" s="58">
        <v>211.26900000000001</v>
      </c>
      <c r="AG77" s="58">
        <v>279.52800000000002</v>
      </c>
      <c r="AH77" s="58">
        <v>207.72399999999999</v>
      </c>
      <c r="AI77" s="58">
        <v>71.802999999999997</v>
      </c>
      <c r="AJ77" s="58">
        <v>369.642</v>
      </c>
      <c r="AK77" s="58">
        <v>143.876</v>
      </c>
      <c r="AL77" s="58">
        <v>225.76599999999999</v>
      </c>
      <c r="AM77" s="58">
        <v>376.42899999999997</v>
      </c>
      <c r="AN77" s="58">
        <v>159.27099999999999</v>
      </c>
      <c r="AO77" s="58">
        <v>217.15799999999999</v>
      </c>
      <c r="AP77" s="58">
        <v>3415.7959999999998</v>
      </c>
      <c r="AQ77" s="58">
        <v>1809.4079999999999</v>
      </c>
      <c r="AR77" s="58">
        <v>1606.3879999999999</v>
      </c>
      <c r="AS77" s="58">
        <v>2330.69</v>
      </c>
      <c r="AT77" s="58">
        <v>1472.183</v>
      </c>
      <c r="AU77" s="58">
        <v>858.50699999999995</v>
      </c>
      <c r="AV77" s="58">
        <v>1085.106</v>
      </c>
      <c r="AW77" s="58">
        <v>337.22500000000002</v>
      </c>
      <c r="AX77" s="58">
        <v>747.88099999999997</v>
      </c>
      <c r="AY77" s="58">
        <v>539.49199999999996</v>
      </c>
      <c r="AZ77" s="58">
        <v>292.48700000000002</v>
      </c>
      <c r="BA77" s="58">
        <v>247.005</v>
      </c>
      <c r="BB77" s="58">
        <v>130.934</v>
      </c>
      <c r="BC77" s="58">
        <v>83.936000000000007</v>
      </c>
      <c r="BD77" s="58">
        <v>46.997999999999998</v>
      </c>
      <c r="BE77" s="58">
        <v>61.753999999999998</v>
      </c>
      <c r="BF77" s="58">
        <v>46.999000000000002</v>
      </c>
      <c r="BG77" s="58">
        <v>14.756</v>
      </c>
      <c r="BH77" s="58">
        <v>33.131</v>
      </c>
      <c r="BI77" s="58">
        <v>24.763999999999999</v>
      </c>
      <c r="BJ77" s="58">
        <v>8.3670000000000009</v>
      </c>
      <c r="BK77" s="58">
        <v>28.623999999999999</v>
      </c>
      <c r="BL77" s="58">
        <v>22.234999999999999</v>
      </c>
      <c r="BM77" s="58">
        <v>6.3890000000000002</v>
      </c>
      <c r="BN77" s="58">
        <v>69.180000000000007</v>
      </c>
      <c r="BO77" s="58">
        <v>36.938000000000002</v>
      </c>
      <c r="BP77" s="58">
        <v>32.241999999999997</v>
      </c>
      <c r="BQ77" s="58">
        <v>458.77100000000002</v>
      </c>
      <c r="BR77" s="58">
        <v>237.46299999999999</v>
      </c>
      <c r="BS77" s="58">
        <v>221.309</v>
      </c>
      <c r="BT77" s="58">
        <v>174.143</v>
      </c>
      <c r="BU77" s="58">
        <v>129.62700000000001</v>
      </c>
      <c r="BV77" s="58">
        <v>44.515999999999998</v>
      </c>
      <c r="BW77" s="58">
        <v>284.62799999999999</v>
      </c>
      <c r="BX77" s="58">
        <v>107.836</v>
      </c>
      <c r="BY77" s="58">
        <v>176.792</v>
      </c>
      <c r="BZ77" s="58">
        <v>223.04400000000001</v>
      </c>
      <c r="CA77" s="58">
        <v>167.85400000000001</v>
      </c>
      <c r="CB77" s="58">
        <v>55.19</v>
      </c>
      <c r="CC77" s="58">
        <v>316.44799999999998</v>
      </c>
      <c r="CD77" s="58">
        <v>124.633</v>
      </c>
      <c r="CE77" s="58">
        <v>191.815</v>
      </c>
      <c r="CF77" s="58">
        <v>317.75900000000001</v>
      </c>
      <c r="CG77" s="58">
        <v>132.6</v>
      </c>
      <c r="CH77" s="58">
        <v>185.15899999999999</v>
      </c>
      <c r="CI77" s="58">
        <v>2527.1129999999998</v>
      </c>
      <c r="CJ77" s="58">
        <v>1308.7819999999999</v>
      </c>
      <c r="CK77" s="58">
        <v>1218.3309999999999</v>
      </c>
      <c r="CL77" s="58">
        <v>1754.299</v>
      </c>
      <c r="CM77" s="58">
        <v>1074.546</v>
      </c>
      <c r="CN77" s="58">
        <v>679.75300000000004</v>
      </c>
      <c r="CO77" s="58">
        <v>772.81299999999999</v>
      </c>
      <c r="CP77" s="58">
        <v>234.23599999999999</v>
      </c>
      <c r="CQ77" s="58">
        <v>538.57799999999997</v>
      </c>
      <c r="CR77" s="58">
        <v>399.46</v>
      </c>
      <c r="CS77" s="58">
        <v>202.68700000000001</v>
      </c>
      <c r="CT77" s="58">
        <v>196.77199999999999</v>
      </c>
      <c r="CU77" s="58">
        <v>90.091999999999999</v>
      </c>
      <c r="CV77" s="58">
        <v>54.71</v>
      </c>
      <c r="CW77" s="58">
        <v>35.381999999999998</v>
      </c>
      <c r="CX77" s="58">
        <v>39.82</v>
      </c>
      <c r="CY77" s="58">
        <v>31.8</v>
      </c>
      <c r="CZ77" s="58">
        <v>8.02</v>
      </c>
      <c r="DA77" s="58">
        <v>21.916</v>
      </c>
      <c r="DB77" s="58">
        <v>17.027000000000001</v>
      </c>
      <c r="DC77" s="58">
        <v>4.8890000000000002</v>
      </c>
      <c r="DD77" s="58">
        <v>17.904</v>
      </c>
      <c r="DE77" s="58">
        <v>14.772</v>
      </c>
      <c r="DF77" s="58">
        <v>3.1309999999999998</v>
      </c>
      <c r="DG77" s="58">
        <v>50.271999999999998</v>
      </c>
      <c r="DH77" s="58">
        <v>22.91</v>
      </c>
      <c r="DI77" s="58">
        <v>27.361999999999998</v>
      </c>
      <c r="DJ77" s="58">
        <v>350.971</v>
      </c>
      <c r="DK77" s="58">
        <v>170.05799999999999</v>
      </c>
      <c r="DL77" s="58">
        <v>180.91300000000001</v>
      </c>
      <c r="DM77" s="58">
        <v>120.986</v>
      </c>
      <c r="DN77" s="58">
        <v>87.221999999999994</v>
      </c>
      <c r="DO77" s="58">
        <v>33.765000000000001</v>
      </c>
      <c r="DP77" s="58">
        <v>229.98500000000001</v>
      </c>
      <c r="DQ77" s="58">
        <v>82.835999999999999</v>
      </c>
      <c r="DR77" s="58">
        <v>147.149</v>
      </c>
      <c r="DS77" s="58">
        <v>151.61199999999999</v>
      </c>
      <c r="DT77" s="58">
        <v>111.557</v>
      </c>
      <c r="DU77" s="58">
        <v>40.055</v>
      </c>
      <c r="DV77" s="58">
        <v>247.84800000000001</v>
      </c>
      <c r="DW77" s="58">
        <v>91.13</v>
      </c>
      <c r="DX77" s="58">
        <v>156.71700000000001</v>
      </c>
      <c r="DY77" s="58">
        <v>251.90100000000001</v>
      </c>
      <c r="DZ77" s="58">
        <v>99.864000000000004</v>
      </c>
      <c r="EA77" s="58">
        <v>152.03700000000001</v>
      </c>
      <c r="EB77" s="58">
        <v>838.16499999999996</v>
      </c>
      <c r="EC77" s="58">
        <v>438.68799999999999</v>
      </c>
      <c r="ED77" s="58">
        <v>399.47699999999998</v>
      </c>
      <c r="EE77" s="58">
        <v>543.24199999999996</v>
      </c>
      <c r="EF77" s="58">
        <v>347.565</v>
      </c>
      <c r="EG77" s="58">
        <v>195.67699999999999</v>
      </c>
      <c r="EH77" s="58">
        <v>294.92200000000003</v>
      </c>
      <c r="EI77" s="58">
        <v>91.122</v>
      </c>
      <c r="EJ77" s="58">
        <v>203.8</v>
      </c>
      <c r="EK77" s="58">
        <v>142.55600000000001</v>
      </c>
      <c r="EL77" s="58">
        <v>70.040999999999997</v>
      </c>
      <c r="EM77" s="58">
        <v>72.515000000000001</v>
      </c>
      <c r="EN77" s="58">
        <v>31.95</v>
      </c>
      <c r="EO77" s="58">
        <v>14.821</v>
      </c>
      <c r="EP77" s="58">
        <v>17.129000000000001</v>
      </c>
      <c r="EQ77" s="58">
        <v>12.138</v>
      </c>
      <c r="ER77" s="58">
        <v>8.6489999999999991</v>
      </c>
      <c r="ES77" s="58">
        <v>3.49</v>
      </c>
      <c r="ET77" s="58">
        <v>5.4489999999999998</v>
      </c>
      <c r="EU77" s="58">
        <v>3.8809999999999998</v>
      </c>
      <c r="EV77" s="58">
        <v>1.5680000000000001</v>
      </c>
      <c r="EW77" s="58">
        <v>6.6890000000000001</v>
      </c>
      <c r="EX77" s="58">
        <v>4.7679999999999998</v>
      </c>
      <c r="EY77" s="58">
        <v>1.921</v>
      </c>
      <c r="EZ77" s="58">
        <v>19.812000000000001</v>
      </c>
      <c r="FA77" s="58">
        <v>6.1719999999999997</v>
      </c>
      <c r="FB77" s="58">
        <v>13.64</v>
      </c>
      <c r="FC77" s="58">
        <v>125.78700000000001</v>
      </c>
      <c r="FD77" s="58">
        <v>60.277999999999999</v>
      </c>
      <c r="FE77" s="58">
        <v>65.509</v>
      </c>
      <c r="FF77" s="58">
        <v>36.048000000000002</v>
      </c>
      <c r="FG77" s="58">
        <v>26.036000000000001</v>
      </c>
      <c r="FH77" s="58">
        <v>10.012</v>
      </c>
      <c r="FI77" s="58">
        <v>89.739000000000004</v>
      </c>
      <c r="FJ77" s="58">
        <v>34.241999999999997</v>
      </c>
      <c r="FK77" s="58">
        <v>55.497</v>
      </c>
      <c r="FL77" s="58">
        <v>45.898000000000003</v>
      </c>
      <c r="FM77" s="58">
        <v>33.228000000000002</v>
      </c>
      <c r="FN77" s="58">
        <v>12.669</v>
      </c>
      <c r="FO77" s="58">
        <v>96.658000000000001</v>
      </c>
      <c r="FP77" s="58">
        <v>36.813000000000002</v>
      </c>
      <c r="FQ77" s="58">
        <v>59.845999999999997</v>
      </c>
      <c r="FR77" s="58">
        <v>95.188000000000002</v>
      </c>
      <c r="FS77" s="58">
        <v>38.122999999999998</v>
      </c>
      <c r="FT77" s="58">
        <v>57.064999999999998</v>
      </c>
      <c r="FU77" s="58">
        <v>1355.8920000000001</v>
      </c>
      <c r="FV77" s="58">
        <v>727.52300000000002</v>
      </c>
      <c r="FW77" s="58">
        <v>628.36900000000003</v>
      </c>
      <c r="FX77" s="58">
        <v>920.57600000000002</v>
      </c>
      <c r="FY77" s="58">
        <v>600.81700000000001</v>
      </c>
      <c r="FZ77" s="58">
        <v>319.75900000000001</v>
      </c>
      <c r="GA77" s="58">
        <v>435.31599999999997</v>
      </c>
      <c r="GB77" s="58">
        <v>126.706</v>
      </c>
      <c r="GC77" s="58">
        <v>308.60899999999998</v>
      </c>
      <c r="GD77" s="58">
        <v>229.10300000000001</v>
      </c>
      <c r="GE77" s="58">
        <v>121.28100000000001</v>
      </c>
      <c r="GF77" s="58">
        <v>107.822</v>
      </c>
      <c r="GG77" s="58">
        <v>44.021000000000001</v>
      </c>
      <c r="GH77" s="58">
        <v>24.798999999999999</v>
      </c>
      <c r="GI77" s="58">
        <v>19.222000000000001</v>
      </c>
      <c r="GJ77" s="58">
        <v>17.462</v>
      </c>
      <c r="GK77" s="58">
        <v>13.895</v>
      </c>
      <c r="GL77" s="58">
        <v>3.5670000000000002</v>
      </c>
      <c r="GM77" s="58">
        <v>9.6010000000000009</v>
      </c>
      <c r="GN77" s="58">
        <v>8.1170000000000009</v>
      </c>
      <c r="GO77" s="58">
        <v>1.4850000000000001</v>
      </c>
      <c r="GP77" s="58">
        <v>7.8609999999999998</v>
      </c>
      <c r="GQ77" s="58">
        <v>5.7789999999999999</v>
      </c>
      <c r="GR77" s="58">
        <v>2.0819999999999999</v>
      </c>
      <c r="GS77" s="58">
        <v>26.559000000000001</v>
      </c>
      <c r="GT77" s="58">
        <v>10.903</v>
      </c>
      <c r="GU77" s="58">
        <v>15.654999999999999</v>
      </c>
      <c r="GV77" s="58">
        <v>205.161</v>
      </c>
      <c r="GW77" s="58">
        <v>105.95699999999999</v>
      </c>
      <c r="GX77" s="58">
        <v>99.203999999999994</v>
      </c>
      <c r="GY77" s="58">
        <v>80.975999999999999</v>
      </c>
      <c r="GZ77" s="58">
        <v>58.212000000000003</v>
      </c>
      <c r="HA77" s="58">
        <v>22.763999999999999</v>
      </c>
      <c r="HB77" s="58">
        <v>124.185</v>
      </c>
      <c r="HC77" s="58">
        <v>47.744</v>
      </c>
      <c r="HD77" s="58">
        <v>76.44</v>
      </c>
      <c r="HE77" s="58">
        <v>93.84</v>
      </c>
      <c r="HF77" s="58">
        <v>69.105000000000004</v>
      </c>
      <c r="HG77" s="58">
        <v>24.734000000000002</v>
      </c>
      <c r="HH77" s="58">
        <v>135.26300000000001</v>
      </c>
      <c r="HI77" s="58">
        <v>52.176000000000002</v>
      </c>
      <c r="HJ77" s="58">
        <v>83.087999999999994</v>
      </c>
      <c r="HK77" s="58">
        <v>133.786</v>
      </c>
      <c r="HL77" s="58">
        <v>55.860999999999997</v>
      </c>
      <c r="HM77" s="58">
        <v>77.924999999999997</v>
      </c>
      <c r="HN77" s="58">
        <v>255.489</v>
      </c>
      <c r="HO77" s="58">
        <v>134.25700000000001</v>
      </c>
      <c r="HP77" s="58">
        <v>121.233</v>
      </c>
      <c r="HQ77" s="58">
        <v>157.934</v>
      </c>
      <c r="HR77" s="58">
        <v>100.95699999999999</v>
      </c>
      <c r="HS77" s="58">
        <v>56.976999999999997</v>
      </c>
      <c r="HT77" s="58">
        <v>97.555000000000007</v>
      </c>
      <c r="HU77" s="58">
        <v>33.299999999999997</v>
      </c>
      <c r="HV77" s="58">
        <v>64.254999999999995</v>
      </c>
      <c r="HW77" s="58">
        <v>43.162999999999997</v>
      </c>
      <c r="HX77" s="58">
        <v>20.766999999999999</v>
      </c>
      <c r="HY77" s="58">
        <v>22.396000000000001</v>
      </c>
      <c r="HZ77" s="58">
        <v>7.88</v>
      </c>
      <c r="IA77" s="58">
        <v>3.323</v>
      </c>
      <c r="IB77" s="58">
        <v>4.5570000000000004</v>
      </c>
      <c r="IC77" s="58">
        <v>1.4510000000000001</v>
      </c>
      <c r="ID77" s="58">
        <v>1.0369999999999999</v>
      </c>
      <c r="IE77" s="58">
        <v>0.41399999999999998</v>
      </c>
      <c r="IF77" s="58">
        <v>0.80300000000000005</v>
      </c>
      <c r="IG77" s="58">
        <v>0.58699999999999997</v>
      </c>
      <c r="IH77" s="58">
        <v>0.216</v>
      </c>
      <c r="II77" s="58">
        <v>0.64900000000000002</v>
      </c>
      <c r="IJ77" s="58">
        <v>0.45</v>
      </c>
      <c r="IK77" s="58">
        <v>0.19800000000000001</v>
      </c>
      <c r="IL77" s="58">
        <v>6.4290000000000003</v>
      </c>
      <c r="IM77" s="58">
        <v>2.286</v>
      </c>
      <c r="IN77" s="58">
        <v>4.1429999999999998</v>
      </c>
      <c r="IO77" s="58">
        <v>39.572000000000003</v>
      </c>
      <c r="IP77" s="58">
        <v>19.181000000000001</v>
      </c>
      <c r="IQ77" s="58">
        <v>20.39</v>
      </c>
    </row>
    <row r="78" spans="1:251">
      <c r="A78" s="5">
        <v>43862</v>
      </c>
      <c r="B78" s="58">
        <v>1126.297</v>
      </c>
      <c r="C78" s="58">
        <v>1207.048</v>
      </c>
      <c r="D78" s="58">
        <v>397.20499999999998</v>
      </c>
      <c r="E78" s="58">
        <v>809.84299999999996</v>
      </c>
      <c r="F78" s="58">
        <v>624.54100000000005</v>
      </c>
      <c r="G78" s="58">
        <v>338.22699999999998</v>
      </c>
      <c r="H78" s="58">
        <v>286.31400000000002</v>
      </c>
      <c r="I78" s="58">
        <v>128.822</v>
      </c>
      <c r="J78" s="58">
        <v>84.385000000000005</v>
      </c>
      <c r="K78" s="58">
        <v>44.436999999999998</v>
      </c>
      <c r="L78" s="58">
        <v>64.58</v>
      </c>
      <c r="M78" s="58">
        <v>49.395000000000003</v>
      </c>
      <c r="N78" s="58">
        <v>15.185</v>
      </c>
      <c r="O78" s="58">
        <v>36.563000000000002</v>
      </c>
      <c r="P78" s="58">
        <v>28.178000000000001</v>
      </c>
      <c r="Q78" s="58">
        <v>8.3849999999999998</v>
      </c>
      <c r="R78" s="58">
        <v>28.016999999999999</v>
      </c>
      <c r="S78" s="58">
        <v>21.216999999999999</v>
      </c>
      <c r="T78" s="58">
        <v>6.8</v>
      </c>
      <c r="U78" s="58">
        <v>64.242000000000004</v>
      </c>
      <c r="V78" s="58">
        <v>34.991</v>
      </c>
      <c r="W78" s="58">
        <v>29.251999999999999</v>
      </c>
      <c r="X78" s="58">
        <v>542.09900000000005</v>
      </c>
      <c r="Y78" s="58">
        <v>282.50299999999999</v>
      </c>
      <c r="Z78" s="58">
        <v>259.59699999999998</v>
      </c>
      <c r="AA78" s="58">
        <v>215.24799999999999</v>
      </c>
      <c r="AB78" s="58">
        <v>159.24700000000001</v>
      </c>
      <c r="AC78" s="58">
        <v>56.000999999999998</v>
      </c>
      <c r="AD78" s="58">
        <v>326.85199999999998</v>
      </c>
      <c r="AE78" s="58">
        <v>123.256</v>
      </c>
      <c r="AF78" s="58">
        <v>203.596</v>
      </c>
      <c r="AG78" s="58">
        <v>265.02800000000002</v>
      </c>
      <c r="AH78" s="58">
        <v>197.90199999999999</v>
      </c>
      <c r="AI78" s="58">
        <v>67.126000000000005</v>
      </c>
      <c r="AJ78" s="58">
        <v>359.51299999999998</v>
      </c>
      <c r="AK78" s="58">
        <v>140.32499999999999</v>
      </c>
      <c r="AL78" s="58">
        <v>219.18799999999999</v>
      </c>
      <c r="AM78" s="58">
        <v>363.41399999999999</v>
      </c>
      <c r="AN78" s="58">
        <v>151.43299999999999</v>
      </c>
      <c r="AO78" s="58">
        <v>211.98099999999999</v>
      </c>
      <c r="AP78" s="58">
        <v>3456.44</v>
      </c>
      <c r="AQ78" s="58">
        <v>1824.914</v>
      </c>
      <c r="AR78" s="58">
        <v>1631.527</v>
      </c>
      <c r="AS78" s="58">
        <v>2353.0920000000001</v>
      </c>
      <c r="AT78" s="58">
        <v>1485.62</v>
      </c>
      <c r="AU78" s="58">
        <v>867.47199999999998</v>
      </c>
      <c r="AV78" s="58">
        <v>1103.348</v>
      </c>
      <c r="AW78" s="58">
        <v>339.29300000000001</v>
      </c>
      <c r="AX78" s="58">
        <v>764.05499999999995</v>
      </c>
      <c r="AY78" s="58">
        <v>501.55799999999999</v>
      </c>
      <c r="AZ78" s="58">
        <v>269.72000000000003</v>
      </c>
      <c r="BA78" s="58">
        <v>231.83799999999999</v>
      </c>
      <c r="BB78" s="58">
        <v>91.637</v>
      </c>
      <c r="BC78" s="58">
        <v>52.192</v>
      </c>
      <c r="BD78" s="58">
        <v>39.445</v>
      </c>
      <c r="BE78" s="58">
        <v>36.665999999999997</v>
      </c>
      <c r="BF78" s="58">
        <v>28.317</v>
      </c>
      <c r="BG78" s="58">
        <v>8.3490000000000002</v>
      </c>
      <c r="BH78" s="58">
        <v>20.821999999999999</v>
      </c>
      <c r="BI78" s="58">
        <v>16.646999999999998</v>
      </c>
      <c r="BJ78" s="58">
        <v>4.1749999999999998</v>
      </c>
      <c r="BK78" s="58">
        <v>15.843999999999999</v>
      </c>
      <c r="BL78" s="58">
        <v>11.67</v>
      </c>
      <c r="BM78" s="58">
        <v>4.1740000000000004</v>
      </c>
      <c r="BN78" s="58">
        <v>54.972000000000001</v>
      </c>
      <c r="BO78" s="58">
        <v>23.876000000000001</v>
      </c>
      <c r="BP78" s="58">
        <v>31.096</v>
      </c>
      <c r="BQ78" s="58">
        <v>454.34100000000001</v>
      </c>
      <c r="BR78" s="58">
        <v>240.679</v>
      </c>
      <c r="BS78" s="58">
        <v>213.66200000000001</v>
      </c>
      <c r="BT78" s="58">
        <v>181.464</v>
      </c>
      <c r="BU78" s="58">
        <v>138.56</v>
      </c>
      <c r="BV78" s="58">
        <v>42.904000000000003</v>
      </c>
      <c r="BW78" s="58">
        <v>272.87700000000001</v>
      </c>
      <c r="BX78" s="58">
        <v>102.119</v>
      </c>
      <c r="BY78" s="58">
        <v>170.75800000000001</v>
      </c>
      <c r="BZ78" s="58">
        <v>206.798</v>
      </c>
      <c r="CA78" s="58">
        <v>158.48500000000001</v>
      </c>
      <c r="CB78" s="58">
        <v>48.313000000000002</v>
      </c>
      <c r="CC78" s="58">
        <v>294.76</v>
      </c>
      <c r="CD78" s="58">
        <v>111.235</v>
      </c>
      <c r="CE78" s="58">
        <v>183.52500000000001</v>
      </c>
      <c r="CF78" s="58">
        <v>293.69799999999998</v>
      </c>
      <c r="CG78" s="58">
        <v>118.76600000000001</v>
      </c>
      <c r="CH78" s="58">
        <v>174.93299999999999</v>
      </c>
      <c r="CI78" s="58">
        <v>2583.1019999999999</v>
      </c>
      <c r="CJ78" s="58">
        <v>1335.2239999999999</v>
      </c>
      <c r="CK78" s="58">
        <v>1247.8779999999999</v>
      </c>
      <c r="CL78" s="58">
        <v>1767.0609999999999</v>
      </c>
      <c r="CM78" s="58">
        <v>1086.0709999999999</v>
      </c>
      <c r="CN78" s="58">
        <v>680.99099999999999</v>
      </c>
      <c r="CO78" s="58">
        <v>816.04100000000005</v>
      </c>
      <c r="CP78" s="58">
        <v>249.15299999999999</v>
      </c>
      <c r="CQ78" s="58">
        <v>566.88800000000003</v>
      </c>
      <c r="CR78" s="58">
        <v>388.97199999999998</v>
      </c>
      <c r="CS78" s="58">
        <v>190.87100000000001</v>
      </c>
      <c r="CT78" s="58">
        <v>198.101</v>
      </c>
      <c r="CU78" s="58">
        <v>73.105000000000004</v>
      </c>
      <c r="CV78" s="58">
        <v>36.838999999999999</v>
      </c>
      <c r="CW78" s="58">
        <v>36.265999999999998</v>
      </c>
      <c r="CX78" s="58">
        <v>24.042999999999999</v>
      </c>
      <c r="CY78" s="58">
        <v>17.363</v>
      </c>
      <c r="CZ78" s="58">
        <v>6.68</v>
      </c>
      <c r="DA78" s="58">
        <v>14.119</v>
      </c>
      <c r="DB78" s="58">
        <v>10.417999999999999</v>
      </c>
      <c r="DC78" s="58">
        <v>3.7010000000000001</v>
      </c>
      <c r="DD78" s="58">
        <v>9.9239999999999995</v>
      </c>
      <c r="DE78" s="58">
        <v>6.944</v>
      </c>
      <c r="DF78" s="58">
        <v>2.98</v>
      </c>
      <c r="DG78" s="58">
        <v>49.061999999999998</v>
      </c>
      <c r="DH78" s="58">
        <v>19.475999999999999</v>
      </c>
      <c r="DI78" s="58">
        <v>29.585999999999999</v>
      </c>
      <c r="DJ78" s="58">
        <v>346.584</v>
      </c>
      <c r="DK78" s="58">
        <v>171.53800000000001</v>
      </c>
      <c r="DL78" s="58">
        <v>175.047</v>
      </c>
      <c r="DM78" s="58">
        <v>124.732</v>
      </c>
      <c r="DN78" s="58">
        <v>88.631</v>
      </c>
      <c r="DO78" s="58">
        <v>36.1</v>
      </c>
      <c r="DP78" s="58">
        <v>221.85300000000001</v>
      </c>
      <c r="DQ78" s="58">
        <v>82.906000000000006</v>
      </c>
      <c r="DR78" s="58">
        <v>138.946</v>
      </c>
      <c r="DS78" s="58">
        <v>141.22900000000001</v>
      </c>
      <c r="DT78" s="58">
        <v>99.346999999999994</v>
      </c>
      <c r="DU78" s="58">
        <v>41.881999999999998</v>
      </c>
      <c r="DV78" s="58">
        <v>247.74299999999999</v>
      </c>
      <c r="DW78" s="58">
        <v>91.524000000000001</v>
      </c>
      <c r="DX78" s="58">
        <v>156.21899999999999</v>
      </c>
      <c r="DY78" s="58">
        <v>235.97200000000001</v>
      </c>
      <c r="DZ78" s="58">
        <v>93.325000000000003</v>
      </c>
      <c r="EA78" s="58">
        <v>142.64699999999999</v>
      </c>
      <c r="EB78" s="58">
        <v>859.12099999999998</v>
      </c>
      <c r="EC78" s="58">
        <v>442.66300000000001</v>
      </c>
      <c r="ED78" s="58">
        <v>416.45800000000003</v>
      </c>
      <c r="EE78" s="58">
        <v>551.33699999999999</v>
      </c>
      <c r="EF78" s="58">
        <v>351.12900000000002</v>
      </c>
      <c r="EG78" s="58">
        <v>200.209</v>
      </c>
      <c r="EH78" s="58">
        <v>307.78300000000002</v>
      </c>
      <c r="EI78" s="58">
        <v>91.534000000000006</v>
      </c>
      <c r="EJ78" s="58">
        <v>216.249</v>
      </c>
      <c r="EK78" s="58">
        <v>136.06100000000001</v>
      </c>
      <c r="EL78" s="58">
        <v>65.623000000000005</v>
      </c>
      <c r="EM78" s="58">
        <v>70.438000000000002</v>
      </c>
      <c r="EN78" s="58">
        <v>30.891999999999999</v>
      </c>
      <c r="EO78" s="58">
        <v>14.784000000000001</v>
      </c>
      <c r="EP78" s="58">
        <v>16.108000000000001</v>
      </c>
      <c r="EQ78" s="58">
        <v>10.186</v>
      </c>
      <c r="ER78" s="58">
        <v>8.0649999999999995</v>
      </c>
      <c r="ES78" s="58">
        <v>2.121</v>
      </c>
      <c r="ET78" s="58">
        <v>5.3840000000000003</v>
      </c>
      <c r="EU78" s="58">
        <v>4.548</v>
      </c>
      <c r="EV78" s="58">
        <v>0.83599999999999997</v>
      </c>
      <c r="EW78" s="58">
        <v>4.8029999999999999</v>
      </c>
      <c r="EX78" s="58">
        <v>3.5169999999999999</v>
      </c>
      <c r="EY78" s="58">
        <v>1.2849999999999999</v>
      </c>
      <c r="EZ78" s="58">
        <v>20.706</v>
      </c>
      <c r="FA78" s="58">
        <v>6.7190000000000003</v>
      </c>
      <c r="FB78" s="58">
        <v>13.987</v>
      </c>
      <c r="FC78" s="58">
        <v>120.108</v>
      </c>
      <c r="FD78" s="58">
        <v>57.308</v>
      </c>
      <c r="FE78" s="58">
        <v>62.8</v>
      </c>
      <c r="FF78" s="58">
        <v>36.640999999999998</v>
      </c>
      <c r="FG78" s="58">
        <v>24.867000000000001</v>
      </c>
      <c r="FH78" s="58">
        <v>11.773999999999999</v>
      </c>
      <c r="FI78" s="58">
        <v>83.466999999999999</v>
      </c>
      <c r="FJ78" s="58">
        <v>32.441000000000003</v>
      </c>
      <c r="FK78" s="58">
        <v>51.026000000000003</v>
      </c>
      <c r="FL78" s="58">
        <v>43.685000000000002</v>
      </c>
      <c r="FM78" s="58">
        <v>30.888000000000002</v>
      </c>
      <c r="FN78" s="58">
        <v>12.797000000000001</v>
      </c>
      <c r="FO78" s="58">
        <v>92.376000000000005</v>
      </c>
      <c r="FP78" s="58">
        <v>34.734999999999999</v>
      </c>
      <c r="FQ78" s="58">
        <v>57.642000000000003</v>
      </c>
      <c r="FR78" s="58">
        <v>88.850999999999999</v>
      </c>
      <c r="FS78" s="58">
        <v>36.988999999999997</v>
      </c>
      <c r="FT78" s="58">
        <v>51.860999999999997</v>
      </c>
      <c r="FU78" s="58">
        <v>1384.4590000000001</v>
      </c>
      <c r="FV78" s="58">
        <v>745.82899999999995</v>
      </c>
      <c r="FW78" s="58">
        <v>638.63</v>
      </c>
      <c r="FX78" s="58">
        <v>935.99900000000002</v>
      </c>
      <c r="FY78" s="58">
        <v>607.45100000000002</v>
      </c>
      <c r="FZ78" s="58">
        <v>328.548</v>
      </c>
      <c r="GA78" s="58">
        <v>448.46</v>
      </c>
      <c r="GB78" s="58">
        <v>138.37799999999999</v>
      </c>
      <c r="GC78" s="58">
        <v>310.08199999999999</v>
      </c>
      <c r="GD78" s="58">
        <v>213.45400000000001</v>
      </c>
      <c r="GE78" s="58">
        <v>114.164</v>
      </c>
      <c r="GF78" s="58">
        <v>99.29</v>
      </c>
      <c r="GG78" s="58">
        <v>45.500999999999998</v>
      </c>
      <c r="GH78" s="58">
        <v>26.516999999999999</v>
      </c>
      <c r="GI78" s="58">
        <v>18.984000000000002</v>
      </c>
      <c r="GJ78" s="58">
        <v>15.363</v>
      </c>
      <c r="GK78" s="58">
        <v>13.336</v>
      </c>
      <c r="GL78" s="58">
        <v>2.028</v>
      </c>
      <c r="GM78" s="58">
        <v>9.8420000000000005</v>
      </c>
      <c r="GN78" s="58">
        <v>8.6859999999999999</v>
      </c>
      <c r="GO78" s="58">
        <v>1.1559999999999999</v>
      </c>
      <c r="GP78" s="58">
        <v>5.5209999999999999</v>
      </c>
      <c r="GQ78" s="58">
        <v>4.6500000000000004</v>
      </c>
      <c r="GR78" s="58">
        <v>0.872</v>
      </c>
      <c r="GS78" s="58">
        <v>30.138000000000002</v>
      </c>
      <c r="GT78" s="58">
        <v>13.182</v>
      </c>
      <c r="GU78" s="58">
        <v>16.956</v>
      </c>
      <c r="GV78" s="58">
        <v>188.47399999999999</v>
      </c>
      <c r="GW78" s="58">
        <v>100.06399999999999</v>
      </c>
      <c r="GX78" s="58">
        <v>88.41</v>
      </c>
      <c r="GY78" s="58">
        <v>71.456999999999994</v>
      </c>
      <c r="GZ78" s="58">
        <v>52.701999999999998</v>
      </c>
      <c r="HA78" s="58">
        <v>18.754999999999999</v>
      </c>
      <c r="HB78" s="58">
        <v>117.017</v>
      </c>
      <c r="HC78" s="58">
        <v>47.360999999999997</v>
      </c>
      <c r="HD78" s="58">
        <v>69.655000000000001</v>
      </c>
      <c r="HE78" s="58">
        <v>80.994</v>
      </c>
      <c r="HF78" s="58">
        <v>60.210999999999999</v>
      </c>
      <c r="HG78" s="58">
        <v>20.783000000000001</v>
      </c>
      <c r="HH78" s="58">
        <v>132.46100000000001</v>
      </c>
      <c r="HI78" s="58">
        <v>53.953000000000003</v>
      </c>
      <c r="HJ78" s="58">
        <v>78.507999999999996</v>
      </c>
      <c r="HK78" s="58">
        <v>126.85899999999999</v>
      </c>
      <c r="HL78" s="58">
        <v>56.046999999999997</v>
      </c>
      <c r="HM78" s="58">
        <v>70.811000000000007</v>
      </c>
      <c r="HN78" s="58">
        <v>262.34399999999999</v>
      </c>
      <c r="HO78" s="58">
        <v>137.61199999999999</v>
      </c>
      <c r="HP78" s="58">
        <v>124.732</v>
      </c>
      <c r="HQ78" s="58">
        <v>160.85300000000001</v>
      </c>
      <c r="HR78" s="58">
        <v>103.994</v>
      </c>
      <c r="HS78" s="58">
        <v>56.86</v>
      </c>
      <c r="HT78" s="58">
        <v>101.491</v>
      </c>
      <c r="HU78" s="58">
        <v>33.618000000000002</v>
      </c>
      <c r="HV78" s="58">
        <v>67.873000000000005</v>
      </c>
      <c r="HW78" s="58">
        <v>42.796999999999997</v>
      </c>
      <c r="HX78" s="58">
        <v>20.273</v>
      </c>
      <c r="HY78" s="58">
        <v>22.524000000000001</v>
      </c>
      <c r="HZ78" s="58">
        <v>9.3710000000000004</v>
      </c>
      <c r="IA78" s="58">
        <v>5.2850000000000001</v>
      </c>
      <c r="IB78" s="58">
        <v>4.0869999999999997</v>
      </c>
      <c r="IC78" s="58">
        <v>3.3130000000000002</v>
      </c>
      <c r="ID78" s="58">
        <v>2.7160000000000002</v>
      </c>
      <c r="IE78" s="58">
        <v>0.59699999999999998</v>
      </c>
      <c r="IF78" s="58">
        <v>1.823</v>
      </c>
      <c r="IG78" s="58">
        <v>1.4159999999999999</v>
      </c>
      <c r="IH78" s="58">
        <v>0.40600000000000003</v>
      </c>
      <c r="II78" s="58">
        <v>1.49</v>
      </c>
      <c r="IJ78" s="58">
        <v>1.2989999999999999</v>
      </c>
      <c r="IK78" s="58">
        <v>0.191</v>
      </c>
      <c r="IL78" s="58">
        <v>6.0590000000000002</v>
      </c>
      <c r="IM78" s="58">
        <v>2.569</v>
      </c>
      <c r="IN78" s="58">
        <v>3.49</v>
      </c>
      <c r="IO78" s="58">
        <v>37.124000000000002</v>
      </c>
      <c r="IP78" s="58">
        <v>16.981999999999999</v>
      </c>
      <c r="IQ78" s="58">
        <v>20.141999999999999</v>
      </c>
    </row>
    <row r="79" spans="1:251">
      <c r="A79" s="5">
        <v>43891</v>
      </c>
      <c r="B79" s="58">
        <v>1126.365</v>
      </c>
      <c r="C79" s="58">
        <v>1219.847</v>
      </c>
      <c r="D79" s="58">
        <v>398.7</v>
      </c>
      <c r="E79" s="58">
        <v>821.14599999999996</v>
      </c>
      <c r="F79" s="58">
        <v>612.86300000000006</v>
      </c>
      <c r="G79" s="58">
        <v>331.43</v>
      </c>
      <c r="H79" s="58">
        <v>281.43200000000002</v>
      </c>
      <c r="I79" s="58">
        <v>147.60499999999999</v>
      </c>
      <c r="J79" s="58">
        <v>85.799000000000007</v>
      </c>
      <c r="K79" s="58">
        <v>61.807000000000002</v>
      </c>
      <c r="L79" s="58">
        <v>66.7</v>
      </c>
      <c r="M79" s="58">
        <v>47.176000000000002</v>
      </c>
      <c r="N79" s="58">
        <v>19.524999999999999</v>
      </c>
      <c r="O79" s="58">
        <v>39.957000000000001</v>
      </c>
      <c r="P79" s="58">
        <v>28.620999999999999</v>
      </c>
      <c r="Q79" s="58">
        <v>11.337</v>
      </c>
      <c r="R79" s="58">
        <v>26.742999999999999</v>
      </c>
      <c r="S79" s="58">
        <v>18.555</v>
      </c>
      <c r="T79" s="58">
        <v>8.1880000000000006</v>
      </c>
      <c r="U79" s="58">
        <v>80.905000000000001</v>
      </c>
      <c r="V79" s="58">
        <v>38.622999999999998</v>
      </c>
      <c r="W79" s="58">
        <v>42.281999999999996</v>
      </c>
      <c r="X79" s="58">
        <v>524.495</v>
      </c>
      <c r="Y79" s="58">
        <v>280.06700000000001</v>
      </c>
      <c r="Z79" s="58">
        <v>244.428</v>
      </c>
      <c r="AA79" s="58">
        <v>207.91499999999999</v>
      </c>
      <c r="AB79" s="58">
        <v>158.71199999999999</v>
      </c>
      <c r="AC79" s="58">
        <v>49.203000000000003</v>
      </c>
      <c r="AD79" s="58">
        <v>316.58</v>
      </c>
      <c r="AE79" s="58">
        <v>121.35599999999999</v>
      </c>
      <c r="AF79" s="58">
        <v>195.22399999999999</v>
      </c>
      <c r="AG79" s="58">
        <v>259.25400000000002</v>
      </c>
      <c r="AH79" s="58">
        <v>192.803</v>
      </c>
      <c r="AI79" s="58">
        <v>66.450999999999993</v>
      </c>
      <c r="AJ79" s="58">
        <v>353.608</v>
      </c>
      <c r="AK79" s="58">
        <v>138.62799999999999</v>
      </c>
      <c r="AL79" s="58">
        <v>214.98099999999999</v>
      </c>
      <c r="AM79" s="58">
        <v>356.53699999999998</v>
      </c>
      <c r="AN79" s="58">
        <v>149.976</v>
      </c>
      <c r="AO79" s="58">
        <v>206.56100000000001</v>
      </c>
      <c r="AP79" s="58">
        <v>3446.28</v>
      </c>
      <c r="AQ79" s="58">
        <v>1828.393</v>
      </c>
      <c r="AR79" s="58">
        <v>1617.8869999999999</v>
      </c>
      <c r="AS79" s="58">
        <v>2311.3420000000001</v>
      </c>
      <c r="AT79" s="58">
        <v>1469.191</v>
      </c>
      <c r="AU79" s="58">
        <v>842.15099999999995</v>
      </c>
      <c r="AV79" s="58">
        <v>1134.9380000000001</v>
      </c>
      <c r="AW79" s="58">
        <v>359.202</v>
      </c>
      <c r="AX79" s="58">
        <v>775.73599999999999</v>
      </c>
      <c r="AY79" s="58">
        <v>520.23199999999997</v>
      </c>
      <c r="AZ79" s="58">
        <v>281.45</v>
      </c>
      <c r="BA79" s="58">
        <v>238.78200000000001</v>
      </c>
      <c r="BB79" s="58">
        <v>117.54</v>
      </c>
      <c r="BC79" s="58">
        <v>67.893000000000001</v>
      </c>
      <c r="BD79" s="58">
        <v>49.646999999999998</v>
      </c>
      <c r="BE79" s="58">
        <v>35.078000000000003</v>
      </c>
      <c r="BF79" s="58">
        <v>27.687999999999999</v>
      </c>
      <c r="BG79" s="58">
        <v>7.39</v>
      </c>
      <c r="BH79" s="58">
        <v>23.768999999999998</v>
      </c>
      <c r="BI79" s="58">
        <v>17.831</v>
      </c>
      <c r="BJ79" s="58">
        <v>5.9379999999999997</v>
      </c>
      <c r="BK79" s="58">
        <v>11.308</v>
      </c>
      <c r="BL79" s="58">
        <v>9.8559999999999999</v>
      </c>
      <c r="BM79" s="58">
        <v>1.452</v>
      </c>
      <c r="BN79" s="58">
        <v>82.462000000000003</v>
      </c>
      <c r="BO79" s="58">
        <v>40.204999999999998</v>
      </c>
      <c r="BP79" s="58">
        <v>42.256999999999998</v>
      </c>
      <c r="BQ79" s="58">
        <v>463.65600000000001</v>
      </c>
      <c r="BR79" s="58">
        <v>251.96799999999999</v>
      </c>
      <c r="BS79" s="58">
        <v>211.68899999999999</v>
      </c>
      <c r="BT79" s="58">
        <v>190.49299999999999</v>
      </c>
      <c r="BU79" s="58">
        <v>142.375</v>
      </c>
      <c r="BV79" s="58">
        <v>48.116999999999997</v>
      </c>
      <c r="BW79" s="58">
        <v>273.16399999999999</v>
      </c>
      <c r="BX79" s="58">
        <v>109.592</v>
      </c>
      <c r="BY79" s="58">
        <v>163.571</v>
      </c>
      <c r="BZ79" s="58">
        <v>211.08099999999999</v>
      </c>
      <c r="CA79" s="58">
        <v>159.005</v>
      </c>
      <c r="CB79" s="58">
        <v>52.076999999999998</v>
      </c>
      <c r="CC79" s="58">
        <v>309.15100000000001</v>
      </c>
      <c r="CD79" s="58">
        <v>122.44499999999999</v>
      </c>
      <c r="CE79" s="58">
        <v>186.70599999999999</v>
      </c>
      <c r="CF79" s="58">
        <v>296.93299999999999</v>
      </c>
      <c r="CG79" s="58">
        <v>127.42400000000001</v>
      </c>
      <c r="CH79" s="58">
        <v>169.50899999999999</v>
      </c>
      <c r="CI79" s="58">
        <v>2559.8119999999999</v>
      </c>
      <c r="CJ79" s="58">
        <v>1332.846</v>
      </c>
      <c r="CK79" s="58">
        <v>1226.9659999999999</v>
      </c>
      <c r="CL79" s="58">
        <v>1732.3520000000001</v>
      </c>
      <c r="CM79" s="58">
        <v>1072.9770000000001</v>
      </c>
      <c r="CN79" s="58">
        <v>659.375</v>
      </c>
      <c r="CO79" s="58">
        <v>827.45899999999995</v>
      </c>
      <c r="CP79" s="58">
        <v>259.86799999999999</v>
      </c>
      <c r="CQ79" s="58">
        <v>567.59100000000001</v>
      </c>
      <c r="CR79" s="58">
        <v>405.53500000000003</v>
      </c>
      <c r="CS79" s="58">
        <v>209.43299999999999</v>
      </c>
      <c r="CT79" s="58">
        <v>196.102</v>
      </c>
      <c r="CU79" s="58">
        <v>98.569000000000003</v>
      </c>
      <c r="CV79" s="58">
        <v>51.015000000000001</v>
      </c>
      <c r="CW79" s="58">
        <v>47.552999999999997</v>
      </c>
      <c r="CX79" s="58">
        <v>37.284999999999997</v>
      </c>
      <c r="CY79" s="58">
        <v>28.640999999999998</v>
      </c>
      <c r="CZ79" s="58">
        <v>8.6440000000000001</v>
      </c>
      <c r="DA79" s="58">
        <v>21.954999999999998</v>
      </c>
      <c r="DB79" s="58">
        <v>16.649000000000001</v>
      </c>
      <c r="DC79" s="58">
        <v>5.3070000000000004</v>
      </c>
      <c r="DD79" s="58">
        <v>15.33</v>
      </c>
      <c r="DE79" s="58">
        <v>11.992000000000001</v>
      </c>
      <c r="DF79" s="58">
        <v>3.3370000000000002</v>
      </c>
      <c r="DG79" s="58">
        <v>61.283999999999999</v>
      </c>
      <c r="DH79" s="58">
        <v>22.373999999999999</v>
      </c>
      <c r="DI79" s="58">
        <v>38.908999999999999</v>
      </c>
      <c r="DJ79" s="58">
        <v>350.86099999999999</v>
      </c>
      <c r="DK79" s="58">
        <v>178.05199999999999</v>
      </c>
      <c r="DL79" s="58">
        <v>172.809</v>
      </c>
      <c r="DM79" s="58">
        <v>128.61000000000001</v>
      </c>
      <c r="DN79" s="58">
        <v>92.983999999999995</v>
      </c>
      <c r="DO79" s="58">
        <v>35.625999999999998</v>
      </c>
      <c r="DP79" s="58">
        <v>222.251</v>
      </c>
      <c r="DQ79" s="58">
        <v>85.067999999999998</v>
      </c>
      <c r="DR79" s="58">
        <v>137.18299999999999</v>
      </c>
      <c r="DS79" s="58">
        <v>154.80000000000001</v>
      </c>
      <c r="DT79" s="58">
        <v>113.32299999999999</v>
      </c>
      <c r="DU79" s="58">
        <v>41.476999999999997</v>
      </c>
      <c r="DV79" s="58">
        <v>250.73500000000001</v>
      </c>
      <c r="DW79" s="58">
        <v>96.11</v>
      </c>
      <c r="DX79" s="58">
        <v>154.626</v>
      </c>
      <c r="DY79" s="58">
        <v>244.20599999999999</v>
      </c>
      <c r="DZ79" s="58">
        <v>101.717</v>
      </c>
      <c r="EA79" s="58">
        <v>142.49</v>
      </c>
      <c r="EB79" s="58">
        <v>861.60599999999999</v>
      </c>
      <c r="EC79" s="58">
        <v>444.803</v>
      </c>
      <c r="ED79" s="58">
        <v>416.803</v>
      </c>
      <c r="EE79" s="58">
        <v>550.44799999999998</v>
      </c>
      <c r="EF79" s="58">
        <v>349.12900000000002</v>
      </c>
      <c r="EG79" s="58">
        <v>201.31800000000001</v>
      </c>
      <c r="EH79" s="58">
        <v>311.15899999999999</v>
      </c>
      <c r="EI79" s="58">
        <v>95.674000000000007</v>
      </c>
      <c r="EJ79" s="58">
        <v>215.48400000000001</v>
      </c>
      <c r="EK79" s="58">
        <v>140.43700000000001</v>
      </c>
      <c r="EL79" s="58">
        <v>72.100999999999999</v>
      </c>
      <c r="EM79" s="58">
        <v>68.335999999999999</v>
      </c>
      <c r="EN79" s="58">
        <v>32.819000000000003</v>
      </c>
      <c r="EO79" s="58">
        <v>17.709</v>
      </c>
      <c r="EP79" s="58">
        <v>15.11</v>
      </c>
      <c r="EQ79" s="58">
        <v>10.89</v>
      </c>
      <c r="ER79" s="58">
        <v>8.7759999999999998</v>
      </c>
      <c r="ES79" s="58">
        <v>2.113</v>
      </c>
      <c r="ET79" s="58">
        <v>5.82</v>
      </c>
      <c r="EU79" s="58">
        <v>4.79</v>
      </c>
      <c r="EV79" s="58">
        <v>1.03</v>
      </c>
      <c r="EW79" s="58">
        <v>5.07</v>
      </c>
      <c r="EX79" s="58">
        <v>3.9870000000000001</v>
      </c>
      <c r="EY79" s="58">
        <v>1.0840000000000001</v>
      </c>
      <c r="EZ79" s="58">
        <v>21.928999999999998</v>
      </c>
      <c r="FA79" s="58">
        <v>8.9320000000000004</v>
      </c>
      <c r="FB79" s="58">
        <v>12.997</v>
      </c>
      <c r="FC79" s="58">
        <v>124.57899999999999</v>
      </c>
      <c r="FD79" s="58">
        <v>62.872999999999998</v>
      </c>
      <c r="FE79" s="58">
        <v>61.706000000000003</v>
      </c>
      <c r="FF79" s="58">
        <v>38.548000000000002</v>
      </c>
      <c r="FG79" s="58">
        <v>28.158999999999999</v>
      </c>
      <c r="FH79" s="58">
        <v>10.39</v>
      </c>
      <c r="FI79" s="58">
        <v>86.03</v>
      </c>
      <c r="FJ79" s="58">
        <v>34.713999999999999</v>
      </c>
      <c r="FK79" s="58">
        <v>51.316000000000003</v>
      </c>
      <c r="FL79" s="58">
        <v>47.439</v>
      </c>
      <c r="FM79" s="58">
        <v>34.936</v>
      </c>
      <c r="FN79" s="58">
        <v>12.503</v>
      </c>
      <c r="FO79" s="58">
        <v>92.998000000000005</v>
      </c>
      <c r="FP79" s="58">
        <v>37.164999999999999</v>
      </c>
      <c r="FQ79" s="58">
        <v>55.832999999999998</v>
      </c>
      <c r="FR79" s="58">
        <v>91.85</v>
      </c>
      <c r="FS79" s="58">
        <v>39.503999999999998</v>
      </c>
      <c r="FT79" s="58">
        <v>52.345999999999997</v>
      </c>
      <c r="FU79" s="58">
        <v>1374.68</v>
      </c>
      <c r="FV79" s="58">
        <v>742.221</v>
      </c>
      <c r="FW79" s="58">
        <v>632.45899999999995</v>
      </c>
      <c r="FX79" s="58">
        <v>920.24400000000003</v>
      </c>
      <c r="FY79" s="58">
        <v>602.08799999999997</v>
      </c>
      <c r="FZ79" s="58">
        <v>318.15600000000001</v>
      </c>
      <c r="GA79" s="58">
        <v>454.43599999999998</v>
      </c>
      <c r="GB79" s="58">
        <v>140.13300000000001</v>
      </c>
      <c r="GC79" s="58">
        <v>314.303</v>
      </c>
      <c r="GD79" s="58">
        <v>229.43799999999999</v>
      </c>
      <c r="GE79" s="58">
        <v>125.61199999999999</v>
      </c>
      <c r="GF79" s="58">
        <v>103.82599999999999</v>
      </c>
      <c r="GG79" s="58">
        <v>52.167000000000002</v>
      </c>
      <c r="GH79" s="58">
        <v>34.552999999999997</v>
      </c>
      <c r="GI79" s="58">
        <v>17.613</v>
      </c>
      <c r="GJ79" s="58">
        <v>23.521999999999998</v>
      </c>
      <c r="GK79" s="58">
        <v>18.198</v>
      </c>
      <c r="GL79" s="58">
        <v>5.3239999999999998</v>
      </c>
      <c r="GM79" s="58">
        <v>16.439</v>
      </c>
      <c r="GN79" s="58">
        <v>13.003</v>
      </c>
      <c r="GO79" s="58">
        <v>3.4359999999999999</v>
      </c>
      <c r="GP79" s="58">
        <v>7.0830000000000002</v>
      </c>
      <c r="GQ79" s="58">
        <v>5.1950000000000003</v>
      </c>
      <c r="GR79" s="58">
        <v>1.8879999999999999</v>
      </c>
      <c r="GS79" s="58">
        <v>28.645</v>
      </c>
      <c r="GT79" s="58">
        <v>16.356000000000002</v>
      </c>
      <c r="GU79" s="58">
        <v>12.289</v>
      </c>
      <c r="GV79" s="58">
        <v>198.86799999999999</v>
      </c>
      <c r="GW79" s="58">
        <v>105.867</v>
      </c>
      <c r="GX79" s="58">
        <v>93.001000000000005</v>
      </c>
      <c r="GY79" s="58">
        <v>76.638999999999996</v>
      </c>
      <c r="GZ79" s="58">
        <v>55.2</v>
      </c>
      <c r="HA79" s="58">
        <v>21.439</v>
      </c>
      <c r="HB79" s="58">
        <v>122.229</v>
      </c>
      <c r="HC79" s="58">
        <v>50.667000000000002</v>
      </c>
      <c r="HD79" s="58">
        <v>71.561999999999998</v>
      </c>
      <c r="HE79" s="58">
        <v>92.204999999999998</v>
      </c>
      <c r="HF79" s="58">
        <v>66.445999999999998</v>
      </c>
      <c r="HG79" s="58">
        <v>25.759</v>
      </c>
      <c r="HH79" s="58">
        <v>137.23400000000001</v>
      </c>
      <c r="HI79" s="58">
        <v>59.167000000000002</v>
      </c>
      <c r="HJ79" s="58">
        <v>78.066999999999993</v>
      </c>
      <c r="HK79" s="58">
        <v>138.66800000000001</v>
      </c>
      <c r="HL79" s="58">
        <v>63.67</v>
      </c>
      <c r="HM79" s="58">
        <v>74.998000000000005</v>
      </c>
      <c r="HN79" s="58">
        <v>259.19600000000003</v>
      </c>
      <c r="HO79" s="58">
        <v>136.28399999999999</v>
      </c>
      <c r="HP79" s="58">
        <v>122.91200000000001</v>
      </c>
      <c r="HQ79" s="58">
        <v>157.42699999999999</v>
      </c>
      <c r="HR79" s="58">
        <v>100.913</v>
      </c>
      <c r="HS79" s="58">
        <v>56.514000000000003</v>
      </c>
      <c r="HT79" s="58">
        <v>101.76900000000001</v>
      </c>
      <c r="HU79" s="58">
        <v>35.372</v>
      </c>
      <c r="HV79" s="58">
        <v>66.397999999999996</v>
      </c>
      <c r="HW79" s="58">
        <v>46.241</v>
      </c>
      <c r="HX79" s="58">
        <v>24.114999999999998</v>
      </c>
      <c r="HY79" s="58">
        <v>22.126000000000001</v>
      </c>
      <c r="HZ79" s="58">
        <v>10.64</v>
      </c>
      <c r="IA79" s="58">
        <v>6.423</v>
      </c>
      <c r="IB79" s="58">
        <v>4.2160000000000002</v>
      </c>
      <c r="IC79" s="58">
        <v>4.25</v>
      </c>
      <c r="ID79" s="58">
        <v>3.2029999999999998</v>
      </c>
      <c r="IE79" s="58">
        <v>1.0469999999999999</v>
      </c>
      <c r="IF79" s="58">
        <v>1.8979999999999999</v>
      </c>
      <c r="IG79" s="58">
        <v>1.5409999999999999</v>
      </c>
      <c r="IH79" s="58">
        <v>0.35699999999999998</v>
      </c>
      <c r="II79" s="58">
        <v>2.3519999999999999</v>
      </c>
      <c r="IJ79" s="58">
        <v>1.6619999999999999</v>
      </c>
      <c r="IK79" s="58">
        <v>0.69</v>
      </c>
      <c r="IL79" s="58">
        <v>6.3890000000000002</v>
      </c>
      <c r="IM79" s="58">
        <v>3.22</v>
      </c>
      <c r="IN79" s="58">
        <v>3.169</v>
      </c>
      <c r="IO79" s="58">
        <v>41.012999999999998</v>
      </c>
      <c r="IP79" s="58">
        <v>20.914000000000001</v>
      </c>
      <c r="IQ79" s="58">
        <v>20.099</v>
      </c>
    </row>
    <row r="80" spans="1:251">
      <c r="A80" s="5">
        <v>43922</v>
      </c>
      <c r="B80" s="58">
        <v>1058.203</v>
      </c>
      <c r="C80" s="58">
        <v>1122.7360000000001</v>
      </c>
      <c r="D80" s="58">
        <v>352.39499999999998</v>
      </c>
      <c r="E80" s="58">
        <v>770.34100000000001</v>
      </c>
      <c r="F80" s="58">
        <v>951.42700000000002</v>
      </c>
      <c r="G80" s="58">
        <v>498.25900000000001</v>
      </c>
      <c r="H80" s="58">
        <v>453.16800000000001</v>
      </c>
      <c r="I80" s="58">
        <v>566.72299999999996</v>
      </c>
      <c r="J80" s="58">
        <v>284.88600000000002</v>
      </c>
      <c r="K80" s="58">
        <v>281.83699999999999</v>
      </c>
      <c r="L80" s="58">
        <v>293.60500000000002</v>
      </c>
      <c r="M80" s="58">
        <v>185.249</v>
      </c>
      <c r="N80" s="58">
        <v>108.357</v>
      </c>
      <c r="O80" s="58">
        <v>239.85599999999999</v>
      </c>
      <c r="P80" s="58">
        <v>148.30000000000001</v>
      </c>
      <c r="Q80" s="58">
        <v>91.555000000000007</v>
      </c>
      <c r="R80" s="58">
        <v>53.75</v>
      </c>
      <c r="S80" s="58">
        <v>36.948</v>
      </c>
      <c r="T80" s="58">
        <v>16.802</v>
      </c>
      <c r="U80" s="58">
        <v>273.11700000000002</v>
      </c>
      <c r="V80" s="58">
        <v>99.638000000000005</v>
      </c>
      <c r="W80" s="58">
        <v>173.48</v>
      </c>
      <c r="X80" s="58">
        <v>544.70299999999997</v>
      </c>
      <c r="Y80" s="58">
        <v>292.52600000000001</v>
      </c>
      <c r="Z80" s="58">
        <v>252.17699999999999</v>
      </c>
      <c r="AA80" s="58">
        <v>229.191</v>
      </c>
      <c r="AB80" s="58">
        <v>172.04900000000001</v>
      </c>
      <c r="AC80" s="58">
        <v>57.142000000000003</v>
      </c>
      <c r="AD80" s="58">
        <v>315.512</v>
      </c>
      <c r="AE80" s="58">
        <v>120.477</v>
      </c>
      <c r="AF80" s="58">
        <v>195.035</v>
      </c>
      <c r="AG80" s="58">
        <v>473.43299999999999</v>
      </c>
      <c r="AH80" s="58">
        <v>323.65499999999997</v>
      </c>
      <c r="AI80" s="58">
        <v>149.77799999999999</v>
      </c>
      <c r="AJ80" s="58">
        <v>477.99400000000003</v>
      </c>
      <c r="AK80" s="58">
        <v>174.60499999999999</v>
      </c>
      <c r="AL80" s="58">
        <v>303.39</v>
      </c>
      <c r="AM80" s="58">
        <v>555.36800000000005</v>
      </c>
      <c r="AN80" s="58">
        <v>268.77699999999999</v>
      </c>
      <c r="AO80" s="58">
        <v>286.58999999999997</v>
      </c>
      <c r="AP80" s="58">
        <v>3312.68</v>
      </c>
      <c r="AQ80" s="58">
        <v>1764.6690000000001</v>
      </c>
      <c r="AR80" s="58">
        <v>1548.011</v>
      </c>
      <c r="AS80" s="58">
        <v>2274.9690000000001</v>
      </c>
      <c r="AT80" s="58">
        <v>1434.2629999999999</v>
      </c>
      <c r="AU80" s="58">
        <v>840.70600000000002</v>
      </c>
      <c r="AV80" s="58">
        <v>1037.711</v>
      </c>
      <c r="AW80" s="58">
        <v>330.40600000000001</v>
      </c>
      <c r="AX80" s="58">
        <v>707.30399999999997</v>
      </c>
      <c r="AY80" s="58">
        <v>834.35799999999995</v>
      </c>
      <c r="AZ80" s="58">
        <v>445.053</v>
      </c>
      <c r="BA80" s="58">
        <v>389.30599999999998</v>
      </c>
      <c r="BB80" s="58">
        <v>517.803</v>
      </c>
      <c r="BC80" s="58">
        <v>260.32600000000002</v>
      </c>
      <c r="BD80" s="58">
        <v>257.47699999999998</v>
      </c>
      <c r="BE80" s="58">
        <v>267.01900000000001</v>
      </c>
      <c r="BF80" s="58">
        <v>169.434</v>
      </c>
      <c r="BG80" s="58">
        <v>97.584999999999994</v>
      </c>
      <c r="BH80" s="58">
        <v>219.61</v>
      </c>
      <c r="BI80" s="58">
        <v>133.684</v>
      </c>
      <c r="BJ80" s="58">
        <v>85.926000000000002</v>
      </c>
      <c r="BK80" s="58">
        <v>47.408999999999999</v>
      </c>
      <c r="BL80" s="58">
        <v>35.750999999999998</v>
      </c>
      <c r="BM80" s="58">
        <v>11.659000000000001</v>
      </c>
      <c r="BN80" s="58">
        <v>250.78399999999999</v>
      </c>
      <c r="BO80" s="58">
        <v>90.891000000000005</v>
      </c>
      <c r="BP80" s="58">
        <v>159.892</v>
      </c>
      <c r="BQ80" s="58">
        <v>469.77100000000002</v>
      </c>
      <c r="BR80" s="58">
        <v>259.95299999999997</v>
      </c>
      <c r="BS80" s="58">
        <v>209.81800000000001</v>
      </c>
      <c r="BT80" s="58">
        <v>196.49299999999999</v>
      </c>
      <c r="BU80" s="58">
        <v>148.59899999999999</v>
      </c>
      <c r="BV80" s="58">
        <v>47.893999999999998</v>
      </c>
      <c r="BW80" s="58">
        <v>273.27800000000002</v>
      </c>
      <c r="BX80" s="58">
        <v>111.354</v>
      </c>
      <c r="BY80" s="58">
        <v>161.92400000000001</v>
      </c>
      <c r="BZ80" s="58">
        <v>412.96199999999999</v>
      </c>
      <c r="CA80" s="58">
        <v>281.87200000000001</v>
      </c>
      <c r="CB80" s="58">
        <v>131.09</v>
      </c>
      <c r="CC80" s="58">
        <v>421.39699999999999</v>
      </c>
      <c r="CD80" s="58">
        <v>163.18100000000001</v>
      </c>
      <c r="CE80" s="58">
        <v>258.21600000000001</v>
      </c>
      <c r="CF80" s="58">
        <v>492.88799999999998</v>
      </c>
      <c r="CG80" s="58">
        <v>245.03800000000001</v>
      </c>
      <c r="CH80" s="58">
        <v>247.85</v>
      </c>
      <c r="CI80" s="58">
        <v>2425.0569999999998</v>
      </c>
      <c r="CJ80" s="58">
        <v>1271.018</v>
      </c>
      <c r="CK80" s="58">
        <v>1154.039</v>
      </c>
      <c r="CL80" s="58">
        <v>1675.961</v>
      </c>
      <c r="CM80" s="58">
        <v>1038.5940000000001</v>
      </c>
      <c r="CN80" s="58">
        <v>637.36699999999996</v>
      </c>
      <c r="CO80" s="58">
        <v>749.096</v>
      </c>
      <c r="CP80" s="58">
        <v>232.42400000000001</v>
      </c>
      <c r="CQ80" s="58">
        <v>516.67200000000003</v>
      </c>
      <c r="CR80" s="58">
        <v>563.74</v>
      </c>
      <c r="CS80" s="58">
        <v>287.49</v>
      </c>
      <c r="CT80" s="58">
        <v>276.25</v>
      </c>
      <c r="CU80" s="58">
        <v>317.24299999999999</v>
      </c>
      <c r="CV80" s="58">
        <v>150.97499999999999</v>
      </c>
      <c r="CW80" s="58">
        <v>166.268</v>
      </c>
      <c r="CX80" s="58">
        <v>160.49</v>
      </c>
      <c r="CY80" s="58">
        <v>97.515000000000001</v>
      </c>
      <c r="CZ80" s="58">
        <v>62.975000000000001</v>
      </c>
      <c r="DA80" s="58">
        <v>128.23599999999999</v>
      </c>
      <c r="DB80" s="58">
        <v>73.918000000000006</v>
      </c>
      <c r="DC80" s="58">
        <v>54.317999999999998</v>
      </c>
      <c r="DD80" s="58">
        <v>32.253999999999998</v>
      </c>
      <c r="DE80" s="58">
        <v>23.597000000000001</v>
      </c>
      <c r="DF80" s="58">
        <v>8.6560000000000006</v>
      </c>
      <c r="DG80" s="58">
        <v>156.75299999999999</v>
      </c>
      <c r="DH80" s="58">
        <v>53.46</v>
      </c>
      <c r="DI80" s="58">
        <v>103.29300000000001</v>
      </c>
      <c r="DJ80" s="58">
        <v>346.416</v>
      </c>
      <c r="DK80" s="58">
        <v>188.51</v>
      </c>
      <c r="DL80" s="58">
        <v>157.90600000000001</v>
      </c>
      <c r="DM80" s="58">
        <v>134.46299999999999</v>
      </c>
      <c r="DN80" s="58">
        <v>102.96</v>
      </c>
      <c r="DO80" s="58">
        <v>31.503</v>
      </c>
      <c r="DP80" s="58">
        <v>211.953</v>
      </c>
      <c r="DQ80" s="58">
        <v>85.55</v>
      </c>
      <c r="DR80" s="58">
        <v>126.40300000000001</v>
      </c>
      <c r="DS80" s="58">
        <v>260.14499999999998</v>
      </c>
      <c r="DT80" s="58">
        <v>175.13900000000001</v>
      </c>
      <c r="DU80" s="58">
        <v>85.006</v>
      </c>
      <c r="DV80" s="58">
        <v>303.59500000000003</v>
      </c>
      <c r="DW80" s="58">
        <v>112.351</v>
      </c>
      <c r="DX80" s="58">
        <v>191.244</v>
      </c>
      <c r="DY80" s="58">
        <v>340.18900000000002</v>
      </c>
      <c r="DZ80" s="58">
        <v>159.46799999999999</v>
      </c>
      <c r="EA80" s="58">
        <v>180.721</v>
      </c>
      <c r="EB80" s="58">
        <v>825.28</v>
      </c>
      <c r="EC80" s="58">
        <v>421.27600000000001</v>
      </c>
      <c r="ED80" s="58">
        <v>404.00400000000002</v>
      </c>
      <c r="EE80" s="58">
        <v>532.38499999999999</v>
      </c>
      <c r="EF80" s="58">
        <v>332.21100000000001</v>
      </c>
      <c r="EG80" s="58">
        <v>200.173</v>
      </c>
      <c r="EH80" s="58">
        <v>292.89499999999998</v>
      </c>
      <c r="EI80" s="58">
        <v>89.063999999999993</v>
      </c>
      <c r="EJ80" s="58">
        <v>203.83099999999999</v>
      </c>
      <c r="EK80" s="58">
        <v>208.482</v>
      </c>
      <c r="EL80" s="58">
        <v>101.29</v>
      </c>
      <c r="EM80" s="58">
        <v>107.193</v>
      </c>
      <c r="EN80" s="58">
        <v>122.535</v>
      </c>
      <c r="EO80" s="58">
        <v>58.716999999999999</v>
      </c>
      <c r="EP80" s="58">
        <v>63.817999999999998</v>
      </c>
      <c r="EQ80" s="58">
        <v>57.585999999999999</v>
      </c>
      <c r="ER80" s="58">
        <v>36.24</v>
      </c>
      <c r="ES80" s="58">
        <v>21.347000000000001</v>
      </c>
      <c r="ET80" s="58">
        <v>47.381</v>
      </c>
      <c r="EU80" s="58">
        <v>28.454999999999998</v>
      </c>
      <c r="EV80" s="58">
        <v>18.925999999999998</v>
      </c>
      <c r="EW80" s="58">
        <v>10.206</v>
      </c>
      <c r="EX80" s="58">
        <v>7.7850000000000001</v>
      </c>
      <c r="EY80" s="58">
        <v>2.4209999999999998</v>
      </c>
      <c r="EZ80" s="58">
        <v>64.948999999999998</v>
      </c>
      <c r="FA80" s="58">
        <v>22.478000000000002</v>
      </c>
      <c r="FB80" s="58">
        <v>42.470999999999997</v>
      </c>
      <c r="FC80" s="58">
        <v>128.99299999999999</v>
      </c>
      <c r="FD80" s="58">
        <v>65.113</v>
      </c>
      <c r="FE80" s="58">
        <v>63.881</v>
      </c>
      <c r="FF80" s="58">
        <v>41.912999999999997</v>
      </c>
      <c r="FG80" s="58">
        <v>29.114000000000001</v>
      </c>
      <c r="FH80" s="58">
        <v>12.8</v>
      </c>
      <c r="FI80" s="58">
        <v>87.08</v>
      </c>
      <c r="FJ80" s="58">
        <v>35.999000000000002</v>
      </c>
      <c r="FK80" s="58">
        <v>51.081000000000003</v>
      </c>
      <c r="FL80" s="58">
        <v>88.701999999999998</v>
      </c>
      <c r="FM80" s="58">
        <v>56.969000000000001</v>
      </c>
      <c r="FN80" s="58">
        <v>31.734000000000002</v>
      </c>
      <c r="FO80" s="58">
        <v>119.78</v>
      </c>
      <c r="FP80" s="58">
        <v>44.320999999999998</v>
      </c>
      <c r="FQ80" s="58">
        <v>75.459000000000003</v>
      </c>
      <c r="FR80" s="58">
        <v>134.46</v>
      </c>
      <c r="FS80" s="58">
        <v>64.453999999999994</v>
      </c>
      <c r="FT80" s="58">
        <v>70.007000000000005</v>
      </c>
      <c r="FU80" s="58">
        <v>1313.35</v>
      </c>
      <c r="FV80" s="58">
        <v>712.28800000000001</v>
      </c>
      <c r="FW80" s="58">
        <v>601.06200000000001</v>
      </c>
      <c r="FX80" s="58">
        <v>899.26700000000005</v>
      </c>
      <c r="FY80" s="58">
        <v>585.64599999999996</v>
      </c>
      <c r="FZ80" s="58">
        <v>313.62099999999998</v>
      </c>
      <c r="GA80" s="58">
        <v>414.08199999999999</v>
      </c>
      <c r="GB80" s="58">
        <v>126.64100000000001</v>
      </c>
      <c r="GC80" s="58">
        <v>287.44099999999997</v>
      </c>
      <c r="GD80" s="58">
        <v>317.05099999999999</v>
      </c>
      <c r="GE80" s="58">
        <v>176.68600000000001</v>
      </c>
      <c r="GF80" s="58">
        <v>140.36600000000001</v>
      </c>
      <c r="GG80" s="58">
        <v>184.387</v>
      </c>
      <c r="GH80" s="58">
        <v>102.762</v>
      </c>
      <c r="GI80" s="58">
        <v>81.625</v>
      </c>
      <c r="GJ80" s="58">
        <v>90.971000000000004</v>
      </c>
      <c r="GK80" s="58">
        <v>63.505000000000003</v>
      </c>
      <c r="GL80" s="58">
        <v>27.466000000000001</v>
      </c>
      <c r="GM80" s="58">
        <v>77.257999999999996</v>
      </c>
      <c r="GN80" s="58">
        <v>52.423999999999999</v>
      </c>
      <c r="GO80" s="58">
        <v>24.834</v>
      </c>
      <c r="GP80" s="58">
        <v>13.712</v>
      </c>
      <c r="GQ80" s="58">
        <v>11.081</v>
      </c>
      <c r="GR80" s="58">
        <v>2.6320000000000001</v>
      </c>
      <c r="GS80" s="58">
        <v>93.415999999999997</v>
      </c>
      <c r="GT80" s="58">
        <v>39.256999999999998</v>
      </c>
      <c r="GU80" s="58">
        <v>54.158999999999999</v>
      </c>
      <c r="GV80" s="58">
        <v>188.869</v>
      </c>
      <c r="GW80" s="58">
        <v>102.381</v>
      </c>
      <c r="GX80" s="58">
        <v>86.488</v>
      </c>
      <c r="GY80" s="58">
        <v>64.673000000000002</v>
      </c>
      <c r="GZ80" s="58">
        <v>51.987000000000002</v>
      </c>
      <c r="HA80" s="58">
        <v>12.686</v>
      </c>
      <c r="HB80" s="58">
        <v>124.196</v>
      </c>
      <c r="HC80" s="58">
        <v>50.393999999999998</v>
      </c>
      <c r="HD80" s="58">
        <v>73.802000000000007</v>
      </c>
      <c r="HE80" s="58">
        <v>141.37700000000001</v>
      </c>
      <c r="HF80" s="58">
        <v>104.986</v>
      </c>
      <c r="HG80" s="58">
        <v>36.390999999999998</v>
      </c>
      <c r="HH80" s="58">
        <v>175.67400000000001</v>
      </c>
      <c r="HI80" s="58">
        <v>71.7</v>
      </c>
      <c r="HJ80" s="58">
        <v>103.97499999999999</v>
      </c>
      <c r="HK80" s="58">
        <v>201.45500000000001</v>
      </c>
      <c r="HL80" s="58">
        <v>102.818</v>
      </c>
      <c r="HM80" s="58">
        <v>98.637</v>
      </c>
      <c r="HN80" s="58">
        <v>251.51499999999999</v>
      </c>
      <c r="HO80" s="58">
        <v>131.96299999999999</v>
      </c>
      <c r="HP80" s="58">
        <v>119.553</v>
      </c>
      <c r="HQ80" s="58">
        <v>151.91499999999999</v>
      </c>
      <c r="HR80" s="58">
        <v>98.950999999999993</v>
      </c>
      <c r="HS80" s="58">
        <v>52.963000000000001</v>
      </c>
      <c r="HT80" s="58">
        <v>99.600999999999999</v>
      </c>
      <c r="HU80" s="58">
        <v>33.012</v>
      </c>
      <c r="HV80" s="58">
        <v>66.588999999999999</v>
      </c>
      <c r="HW80" s="58">
        <v>63.823</v>
      </c>
      <c r="HX80" s="58">
        <v>31.324999999999999</v>
      </c>
      <c r="HY80" s="58">
        <v>32.499000000000002</v>
      </c>
      <c r="HZ80" s="58">
        <v>37.299999999999997</v>
      </c>
      <c r="IA80" s="58">
        <v>17.869</v>
      </c>
      <c r="IB80" s="58">
        <v>19.431999999999999</v>
      </c>
      <c r="IC80" s="58">
        <v>15.537000000000001</v>
      </c>
      <c r="ID80" s="58">
        <v>9.4670000000000005</v>
      </c>
      <c r="IE80" s="58">
        <v>6.0709999999999997</v>
      </c>
      <c r="IF80" s="58">
        <v>13.157</v>
      </c>
      <c r="IG80" s="58">
        <v>7.4690000000000003</v>
      </c>
      <c r="IH80" s="58">
        <v>5.6879999999999997</v>
      </c>
      <c r="II80" s="58">
        <v>2.38</v>
      </c>
      <c r="IJ80" s="58">
        <v>1.998</v>
      </c>
      <c r="IK80" s="58">
        <v>0.38200000000000001</v>
      </c>
      <c r="IL80" s="58">
        <v>21.763000000000002</v>
      </c>
      <c r="IM80" s="58">
        <v>8.4019999999999992</v>
      </c>
      <c r="IN80" s="58">
        <v>13.361000000000001</v>
      </c>
      <c r="IO80" s="58">
        <v>39.354999999999997</v>
      </c>
      <c r="IP80" s="58">
        <v>20.18</v>
      </c>
      <c r="IQ80" s="58">
        <v>19.175000000000001</v>
      </c>
    </row>
    <row r="81" spans="1:251">
      <c r="A81" s="5">
        <v>43952</v>
      </c>
      <c r="B81" s="58">
        <v>1047.3409999999999</v>
      </c>
      <c r="C81" s="58">
        <v>1111.7460000000001</v>
      </c>
      <c r="D81" s="58">
        <v>358.10199999999998</v>
      </c>
      <c r="E81" s="58">
        <v>753.64400000000001</v>
      </c>
      <c r="F81" s="58">
        <v>895.40200000000004</v>
      </c>
      <c r="G81" s="58">
        <v>500.93900000000002</v>
      </c>
      <c r="H81" s="58">
        <v>394.464</v>
      </c>
      <c r="I81" s="58">
        <v>500.58600000000001</v>
      </c>
      <c r="J81" s="58">
        <v>276.79300000000001</v>
      </c>
      <c r="K81" s="58">
        <v>223.79300000000001</v>
      </c>
      <c r="L81" s="58">
        <v>310.75200000000001</v>
      </c>
      <c r="M81" s="58">
        <v>201.69800000000001</v>
      </c>
      <c r="N81" s="58">
        <v>109.054</v>
      </c>
      <c r="O81" s="58">
        <v>248.26300000000001</v>
      </c>
      <c r="P81" s="58">
        <v>154.316</v>
      </c>
      <c r="Q81" s="58">
        <v>93.947000000000003</v>
      </c>
      <c r="R81" s="58">
        <v>62.488999999999997</v>
      </c>
      <c r="S81" s="58">
        <v>47.381999999999998</v>
      </c>
      <c r="T81" s="58">
        <v>15.106999999999999</v>
      </c>
      <c r="U81" s="58">
        <v>189.834</v>
      </c>
      <c r="V81" s="58">
        <v>75.094999999999999</v>
      </c>
      <c r="W81" s="58">
        <v>114.739</v>
      </c>
      <c r="X81" s="58">
        <v>537.73599999999999</v>
      </c>
      <c r="Y81" s="58">
        <v>304.76400000000001</v>
      </c>
      <c r="Z81" s="58">
        <v>232.97200000000001</v>
      </c>
      <c r="AA81" s="58">
        <v>238.42699999999999</v>
      </c>
      <c r="AB81" s="58">
        <v>169.84700000000001</v>
      </c>
      <c r="AC81" s="58">
        <v>68.58</v>
      </c>
      <c r="AD81" s="58">
        <v>299.30900000000003</v>
      </c>
      <c r="AE81" s="58">
        <v>134.917</v>
      </c>
      <c r="AF81" s="58">
        <v>164.393</v>
      </c>
      <c r="AG81" s="58">
        <v>486.78699999999998</v>
      </c>
      <c r="AH81" s="58">
        <v>331.07299999999998</v>
      </c>
      <c r="AI81" s="58">
        <v>155.71299999999999</v>
      </c>
      <c r="AJ81" s="58">
        <v>408.61599999999999</v>
      </c>
      <c r="AK81" s="58">
        <v>169.86500000000001</v>
      </c>
      <c r="AL81" s="58">
        <v>238.75</v>
      </c>
      <c r="AM81" s="58">
        <v>547.572</v>
      </c>
      <c r="AN81" s="58">
        <v>289.233</v>
      </c>
      <c r="AO81" s="58">
        <v>258.339</v>
      </c>
      <c r="AP81" s="58">
        <v>3259.79</v>
      </c>
      <c r="AQ81" s="58">
        <v>1736.1790000000001</v>
      </c>
      <c r="AR81" s="58">
        <v>1523.6110000000001</v>
      </c>
      <c r="AS81" s="58">
        <v>2261.38</v>
      </c>
      <c r="AT81" s="58">
        <v>1420.845</v>
      </c>
      <c r="AU81" s="58">
        <v>840.53499999999997</v>
      </c>
      <c r="AV81" s="58">
        <v>998.41</v>
      </c>
      <c r="AW81" s="58">
        <v>315.334</v>
      </c>
      <c r="AX81" s="58">
        <v>683.077</v>
      </c>
      <c r="AY81" s="58">
        <v>807.61800000000005</v>
      </c>
      <c r="AZ81" s="58">
        <v>437.05200000000002</v>
      </c>
      <c r="BA81" s="58">
        <v>370.56599999999997</v>
      </c>
      <c r="BB81" s="58">
        <v>468.49599999999998</v>
      </c>
      <c r="BC81" s="58">
        <v>248.86600000000001</v>
      </c>
      <c r="BD81" s="58">
        <v>219.63</v>
      </c>
      <c r="BE81" s="58">
        <v>287.38099999999997</v>
      </c>
      <c r="BF81" s="58">
        <v>181.923</v>
      </c>
      <c r="BG81" s="58">
        <v>105.458</v>
      </c>
      <c r="BH81" s="58">
        <v>231.36199999999999</v>
      </c>
      <c r="BI81" s="58">
        <v>138.84100000000001</v>
      </c>
      <c r="BJ81" s="58">
        <v>92.521000000000001</v>
      </c>
      <c r="BK81" s="58">
        <v>56.018999999999998</v>
      </c>
      <c r="BL81" s="58">
        <v>43.082000000000001</v>
      </c>
      <c r="BM81" s="58">
        <v>12.936999999999999</v>
      </c>
      <c r="BN81" s="58">
        <v>181.11500000000001</v>
      </c>
      <c r="BO81" s="58">
        <v>66.942999999999998</v>
      </c>
      <c r="BP81" s="58">
        <v>114.172</v>
      </c>
      <c r="BQ81" s="58">
        <v>461.27300000000002</v>
      </c>
      <c r="BR81" s="58">
        <v>257.51100000000002</v>
      </c>
      <c r="BS81" s="58">
        <v>203.762</v>
      </c>
      <c r="BT81" s="58">
        <v>199.624</v>
      </c>
      <c r="BU81" s="58">
        <v>146.53899999999999</v>
      </c>
      <c r="BV81" s="58">
        <v>53.085000000000001</v>
      </c>
      <c r="BW81" s="58">
        <v>261.649</v>
      </c>
      <c r="BX81" s="58">
        <v>110.97199999999999</v>
      </c>
      <c r="BY81" s="58">
        <v>150.67699999999999</v>
      </c>
      <c r="BZ81" s="58">
        <v>437.339</v>
      </c>
      <c r="CA81" s="58">
        <v>292.50799999999998</v>
      </c>
      <c r="CB81" s="58">
        <v>144.83099999999999</v>
      </c>
      <c r="CC81" s="58">
        <v>370.279</v>
      </c>
      <c r="CD81" s="58">
        <v>144.54400000000001</v>
      </c>
      <c r="CE81" s="58">
        <v>225.73500000000001</v>
      </c>
      <c r="CF81" s="58">
        <v>493.01100000000002</v>
      </c>
      <c r="CG81" s="58">
        <v>249.81299999999999</v>
      </c>
      <c r="CH81" s="58">
        <v>243.19800000000001</v>
      </c>
      <c r="CI81" s="58">
        <v>2361.8159999999998</v>
      </c>
      <c r="CJ81" s="58">
        <v>1236.8520000000001</v>
      </c>
      <c r="CK81" s="58">
        <v>1124.9649999999999</v>
      </c>
      <c r="CL81" s="58">
        <v>1653.65</v>
      </c>
      <c r="CM81" s="58">
        <v>1027.779</v>
      </c>
      <c r="CN81" s="58">
        <v>625.87199999999996</v>
      </c>
      <c r="CO81" s="58">
        <v>708.16600000000005</v>
      </c>
      <c r="CP81" s="58">
        <v>209.07300000000001</v>
      </c>
      <c r="CQ81" s="58">
        <v>499.09300000000002</v>
      </c>
      <c r="CR81" s="58">
        <v>491.66</v>
      </c>
      <c r="CS81" s="58">
        <v>247.357</v>
      </c>
      <c r="CT81" s="58">
        <v>244.303</v>
      </c>
      <c r="CU81" s="58">
        <v>271.964</v>
      </c>
      <c r="CV81" s="58">
        <v>132.19300000000001</v>
      </c>
      <c r="CW81" s="58">
        <v>139.77099999999999</v>
      </c>
      <c r="CX81" s="58">
        <v>155.83699999999999</v>
      </c>
      <c r="CY81" s="58">
        <v>95.599000000000004</v>
      </c>
      <c r="CZ81" s="58">
        <v>60.238</v>
      </c>
      <c r="DA81" s="58">
        <v>125.786</v>
      </c>
      <c r="DB81" s="58">
        <v>75.269000000000005</v>
      </c>
      <c r="DC81" s="58">
        <v>50.517000000000003</v>
      </c>
      <c r="DD81" s="58">
        <v>30.050999999999998</v>
      </c>
      <c r="DE81" s="58">
        <v>20.331</v>
      </c>
      <c r="DF81" s="58">
        <v>9.7210000000000001</v>
      </c>
      <c r="DG81" s="58">
        <v>116.127</v>
      </c>
      <c r="DH81" s="58">
        <v>36.594000000000001</v>
      </c>
      <c r="DI81" s="58">
        <v>79.534000000000006</v>
      </c>
      <c r="DJ81" s="58">
        <v>287.81900000000002</v>
      </c>
      <c r="DK81" s="58">
        <v>150.32900000000001</v>
      </c>
      <c r="DL81" s="58">
        <v>137.49100000000001</v>
      </c>
      <c r="DM81" s="58">
        <v>105.072</v>
      </c>
      <c r="DN81" s="58">
        <v>83.712000000000003</v>
      </c>
      <c r="DO81" s="58">
        <v>21.36</v>
      </c>
      <c r="DP81" s="58">
        <v>182.74799999999999</v>
      </c>
      <c r="DQ81" s="58">
        <v>66.617000000000004</v>
      </c>
      <c r="DR81" s="58">
        <v>116.131</v>
      </c>
      <c r="DS81" s="58">
        <v>233.11099999999999</v>
      </c>
      <c r="DT81" s="58">
        <v>160.54400000000001</v>
      </c>
      <c r="DU81" s="58">
        <v>72.566999999999993</v>
      </c>
      <c r="DV81" s="58">
        <v>258.54899999999998</v>
      </c>
      <c r="DW81" s="58">
        <v>86.813000000000002</v>
      </c>
      <c r="DX81" s="58">
        <v>171.73599999999999</v>
      </c>
      <c r="DY81" s="58">
        <v>308.53300000000002</v>
      </c>
      <c r="DZ81" s="58">
        <v>141.88499999999999</v>
      </c>
      <c r="EA81" s="58">
        <v>166.648</v>
      </c>
      <c r="EB81" s="58">
        <v>811.88300000000004</v>
      </c>
      <c r="EC81" s="58">
        <v>422.649</v>
      </c>
      <c r="ED81" s="58">
        <v>389.23500000000001</v>
      </c>
      <c r="EE81" s="58">
        <v>530.90499999999997</v>
      </c>
      <c r="EF81" s="58">
        <v>339.988</v>
      </c>
      <c r="EG81" s="58">
        <v>190.916</v>
      </c>
      <c r="EH81" s="58">
        <v>280.97899999999998</v>
      </c>
      <c r="EI81" s="58">
        <v>82.661000000000001</v>
      </c>
      <c r="EJ81" s="58">
        <v>198.31800000000001</v>
      </c>
      <c r="EK81" s="58">
        <v>184.80699999999999</v>
      </c>
      <c r="EL81" s="58">
        <v>92.519000000000005</v>
      </c>
      <c r="EM81" s="58">
        <v>92.289000000000001</v>
      </c>
      <c r="EN81" s="58">
        <v>97.68</v>
      </c>
      <c r="EO81" s="58">
        <v>49.610999999999997</v>
      </c>
      <c r="EP81" s="58">
        <v>48.069000000000003</v>
      </c>
      <c r="EQ81" s="58">
        <v>48.066000000000003</v>
      </c>
      <c r="ER81" s="58">
        <v>32.715000000000003</v>
      </c>
      <c r="ES81" s="58">
        <v>15.351000000000001</v>
      </c>
      <c r="ET81" s="58">
        <v>38.9</v>
      </c>
      <c r="EU81" s="58">
        <v>25.774000000000001</v>
      </c>
      <c r="EV81" s="58">
        <v>13.125999999999999</v>
      </c>
      <c r="EW81" s="58">
        <v>9.1660000000000004</v>
      </c>
      <c r="EX81" s="58">
        <v>6.9409999999999998</v>
      </c>
      <c r="EY81" s="58">
        <v>2.2250000000000001</v>
      </c>
      <c r="EZ81" s="58">
        <v>49.613999999999997</v>
      </c>
      <c r="FA81" s="58">
        <v>16.896000000000001</v>
      </c>
      <c r="FB81" s="58">
        <v>32.718000000000004</v>
      </c>
      <c r="FC81" s="58">
        <v>116.786</v>
      </c>
      <c r="FD81" s="58">
        <v>58.252000000000002</v>
      </c>
      <c r="FE81" s="58">
        <v>58.533999999999999</v>
      </c>
      <c r="FF81" s="58">
        <v>41.707999999999998</v>
      </c>
      <c r="FG81" s="58">
        <v>30.640999999999998</v>
      </c>
      <c r="FH81" s="58">
        <v>11.067</v>
      </c>
      <c r="FI81" s="58">
        <v>75.076999999999998</v>
      </c>
      <c r="FJ81" s="58">
        <v>27.61</v>
      </c>
      <c r="FK81" s="58">
        <v>47.466999999999999</v>
      </c>
      <c r="FL81" s="58">
        <v>80.323999999999998</v>
      </c>
      <c r="FM81" s="58">
        <v>55.744</v>
      </c>
      <c r="FN81" s="58">
        <v>24.58</v>
      </c>
      <c r="FO81" s="58">
        <v>104.483</v>
      </c>
      <c r="FP81" s="58">
        <v>36.774000000000001</v>
      </c>
      <c r="FQ81" s="58">
        <v>67.709000000000003</v>
      </c>
      <c r="FR81" s="58">
        <v>113.977</v>
      </c>
      <c r="FS81" s="58">
        <v>53.384999999999998</v>
      </c>
      <c r="FT81" s="58">
        <v>60.593000000000004</v>
      </c>
      <c r="FU81" s="58">
        <v>1289.1790000000001</v>
      </c>
      <c r="FV81" s="58">
        <v>701.11800000000005</v>
      </c>
      <c r="FW81" s="58">
        <v>588.06100000000004</v>
      </c>
      <c r="FX81" s="58">
        <v>901.90899999999999</v>
      </c>
      <c r="FY81" s="58">
        <v>587.19299999999998</v>
      </c>
      <c r="FZ81" s="58">
        <v>314.71600000000001</v>
      </c>
      <c r="GA81" s="58">
        <v>387.27</v>
      </c>
      <c r="GB81" s="58">
        <v>113.926</v>
      </c>
      <c r="GC81" s="58">
        <v>273.34399999999999</v>
      </c>
      <c r="GD81" s="58">
        <v>293.37400000000002</v>
      </c>
      <c r="GE81" s="58">
        <v>159.107</v>
      </c>
      <c r="GF81" s="58">
        <v>134.268</v>
      </c>
      <c r="GG81" s="58">
        <v>153.89400000000001</v>
      </c>
      <c r="GH81" s="58">
        <v>80.563000000000002</v>
      </c>
      <c r="GI81" s="58">
        <v>73.331999999999994</v>
      </c>
      <c r="GJ81" s="58">
        <v>79.034000000000006</v>
      </c>
      <c r="GK81" s="58">
        <v>49.545000000000002</v>
      </c>
      <c r="GL81" s="58">
        <v>29.489000000000001</v>
      </c>
      <c r="GM81" s="58">
        <v>58.756999999999998</v>
      </c>
      <c r="GN81" s="58">
        <v>33.496000000000002</v>
      </c>
      <c r="GO81" s="58">
        <v>25.260999999999999</v>
      </c>
      <c r="GP81" s="58">
        <v>20.277000000000001</v>
      </c>
      <c r="GQ81" s="58">
        <v>16.048999999999999</v>
      </c>
      <c r="GR81" s="58">
        <v>4.2279999999999998</v>
      </c>
      <c r="GS81" s="58">
        <v>74.86</v>
      </c>
      <c r="GT81" s="58">
        <v>31.016999999999999</v>
      </c>
      <c r="GU81" s="58">
        <v>43.843000000000004</v>
      </c>
      <c r="GV81" s="58">
        <v>183.26499999999999</v>
      </c>
      <c r="GW81" s="58">
        <v>100.776</v>
      </c>
      <c r="GX81" s="58">
        <v>82.489000000000004</v>
      </c>
      <c r="GY81" s="58">
        <v>75.423000000000002</v>
      </c>
      <c r="GZ81" s="58">
        <v>57.798000000000002</v>
      </c>
      <c r="HA81" s="58">
        <v>17.625</v>
      </c>
      <c r="HB81" s="58">
        <v>107.842</v>
      </c>
      <c r="HC81" s="58">
        <v>42.978000000000002</v>
      </c>
      <c r="HD81" s="58">
        <v>64.864000000000004</v>
      </c>
      <c r="HE81" s="58">
        <v>138.35499999999999</v>
      </c>
      <c r="HF81" s="58">
        <v>96.876999999999995</v>
      </c>
      <c r="HG81" s="58">
        <v>41.478000000000002</v>
      </c>
      <c r="HH81" s="58">
        <v>155.01900000000001</v>
      </c>
      <c r="HI81" s="58">
        <v>62.23</v>
      </c>
      <c r="HJ81" s="58">
        <v>92.789000000000001</v>
      </c>
      <c r="HK81" s="58">
        <v>166.59800000000001</v>
      </c>
      <c r="HL81" s="58">
        <v>76.472999999999999</v>
      </c>
      <c r="HM81" s="58">
        <v>90.125</v>
      </c>
      <c r="HN81" s="58">
        <v>241.14699999999999</v>
      </c>
      <c r="HO81" s="58">
        <v>127.395</v>
      </c>
      <c r="HP81" s="58">
        <v>113.751</v>
      </c>
      <c r="HQ81" s="58">
        <v>151.84399999999999</v>
      </c>
      <c r="HR81" s="58">
        <v>99.010999999999996</v>
      </c>
      <c r="HS81" s="58">
        <v>52.832999999999998</v>
      </c>
      <c r="HT81" s="58">
        <v>89.302999999999997</v>
      </c>
      <c r="HU81" s="58">
        <v>28.385000000000002</v>
      </c>
      <c r="HV81" s="58">
        <v>60.917999999999999</v>
      </c>
      <c r="HW81" s="58">
        <v>57.582000000000001</v>
      </c>
      <c r="HX81" s="58">
        <v>29.443000000000001</v>
      </c>
      <c r="HY81" s="58">
        <v>28.138999999999999</v>
      </c>
      <c r="HZ81" s="58">
        <v>31.814</v>
      </c>
      <c r="IA81" s="58">
        <v>16.773</v>
      </c>
      <c r="IB81" s="58">
        <v>15.042</v>
      </c>
      <c r="IC81" s="58">
        <v>14.843</v>
      </c>
      <c r="ID81" s="58">
        <v>9.4149999999999991</v>
      </c>
      <c r="IE81" s="58">
        <v>5.4279999999999999</v>
      </c>
      <c r="IF81" s="58">
        <v>11.898999999999999</v>
      </c>
      <c r="IG81" s="58">
        <v>7.2469999999999999</v>
      </c>
      <c r="IH81" s="58">
        <v>4.6529999999999996</v>
      </c>
      <c r="II81" s="58">
        <v>2.944</v>
      </c>
      <c r="IJ81" s="58">
        <v>2.169</v>
      </c>
      <c r="IK81" s="58">
        <v>0.77500000000000002</v>
      </c>
      <c r="IL81" s="58">
        <v>16.971</v>
      </c>
      <c r="IM81" s="58">
        <v>7.3570000000000002</v>
      </c>
      <c r="IN81" s="58">
        <v>9.6140000000000008</v>
      </c>
      <c r="IO81" s="58">
        <v>35.165999999999997</v>
      </c>
      <c r="IP81" s="58">
        <v>17.899999999999999</v>
      </c>
      <c r="IQ81" s="58">
        <v>17.265999999999998</v>
      </c>
    </row>
    <row r="82" spans="1:251">
      <c r="A82" s="5">
        <v>43983</v>
      </c>
      <c r="B82" s="58">
        <v>1048.886</v>
      </c>
      <c r="C82" s="58">
        <v>1184.452</v>
      </c>
      <c r="D82" s="58">
        <v>383.50200000000001</v>
      </c>
      <c r="E82" s="58">
        <v>800.95</v>
      </c>
      <c r="F82" s="58">
        <v>802.29100000000005</v>
      </c>
      <c r="G82" s="58">
        <v>440.35599999999999</v>
      </c>
      <c r="H82" s="58">
        <v>361.935</v>
      </c>
      <c r="I82" s="58">
        <v>366.875</v>
      </c>
      <c r="J82" s="58">
        <v>210.279</v>
      </c>
      <c r="K82" s="58">
        <v>156.596</v>
      </c>
      <c r="L82" s="58">
        <v>207.56399999999999</v>
      </c>
      <c r="M82" s="58">
        <v>144.54499999999999</v>
      </c>
      <c r="N82" s="58">
        <v>63.018999999999998</v>
      </c>
      <c r="O82" s="58">
        <v>163.554</v>
      </c>
      <c r="P82" s="58">
        <v>108.599</v>
      </c>
      <c r="Q82" s="58">
        <v>54.954999999999998</v>
      </c>
      <c r="R82" s="58">
        <v>44.01</v>
      </c>
      <c r="S82" s="58">
        <v>35.945999999999998</v>
      </c>
      <c r="T82" s="58">
        <v>8.0649999999999995</v>
      </c>
      <c r="U82" s="58">
        <v>159.31</v>
      </c>
      <c r="V82" s="58">
        <v>65.733999999999995</v>
      </c>
      <c r="W82" s="58">
        <v>93.575999999999993</v>
      </c>
      <c r="X82" s="58">
        <v>547.98299999999995</v>
      </c>
      <c r="Y82" s="58">
        <v>292.41699999999997</v>
      </c>
      <c r="Z82" s="58">
        <v>255.56700000000001</v>
      </c>
      <c r="AA82" s="58">
        <v>237.52</v>
      </c>
      <c r="AB82" s="58">
        <v>168.96899999999999</v>
      </c>
      <c r="AC82" s="58">
        <v>68.552000000000007</v>
      </c>
      <c r="AD82" s="58">
        <v>310.46300000000002</v>
      </c>
      <c r="AE82" s="58">
        <v>123.44799999999999</v>
      </c>
      <c r="AF82" s="58">
        <v>187.01499999999999</v>
      </c>
      <c r="AG82" s="58">
        <v>399.30399999999997</v>
      </c>
      <c r="AH82" s="58">
        <v>280.495</v>
      </c>
      <c r="AI82" s="58">
        <v>118.809</v>
      </c>
      <c r="AJ82" s="58">
        <v>402.98700000000002</v>
      </c>
      <c r="AK82" s="58">
        <v>159.86099999999999</v>
      </c>
      <c r="AL82" s="58">
        <v>243.126</v>
      </c>
      <c r="AM82" s="58">
        <v>474.017</v>
      </c>
      <c r="AN82" s="58">
        <v>232.047</v>
      </c>
      <c r="AO82" s="58">
        <v>241.97</v>
      </c>
      <c r="AP82" s="58">
        <v>3279.5140000000001</v>
      </c>
      <c r="AQ82" s="58">
        <v>1751.521</v>
      </c>
      <c r="AR82" s="58">
        <v>1527.9929999999999</v>
      </c>
      <c r="AS82" s="58">
        <v>2233.8249999999998</v>
      </c>
      <c r="AT82" s="58">
        <v>1418.777</v>
      </c>
      <c r="AU82" s="58">
        <v>815.048</v>
      </c>
      <c r="AV82" s="58">
        <v>1045.6890000000001</v>
      </c>
      <c r="AW82" s="58">
        <v>332.74400000000003</v>
      </c>
      <c r="AX82" s="58">
        <v>712.94500000000005</v>
      </c>
      <c r="AY82" s="58">
        <v>738.16700000000003</v>
      </c>
      <c r="AZ82" s="58">
        <v>411.40499999999997</v>
      </c>
      <c r="BA82" s="58">
        <v>326.76100000000002</v>
      </c>
      <c r="BB82" s="58">
        <v>356.71499999999997</v>
      </c>
      <c r="BC82" s="58">
        <v>200.21100000000001</v>
      </c>
      <c r="BD82" s="58">
        <v>156.505</v>
      </c>
      <c r="BE82" s="58">
        <v>195.31700000000001</v>
      </c>
      <c r="BF82" s="58">
        <v>133.809</v>
      </c>
      <c r="BG82" s="58">
        <v>61.508000000000003</v>
      </c>
      <c r="BH82" s="58">
        <v>161.42599999999999</v>
      </c>
      <c r="BI82" s="58">
        <v>107.227</v>
      </c>
      <c r="BJ82" s="58">
        <v>54.2</v>
      </c>
      <c r="BK82" s="58">
        <v>33.890999999999998</v>
      </c>
      <c r="BL82" s="58">
        <v>26.582000000000001</v>
      </c>
      <c r="BM82" s="58">
        <v>7.3090000000000002</v>
      </c>
      <c r="BN82" s="58">
        <v>161.398</v>
      </c>
      <c r="BO82" s="58">
        <v>66.402000000000001</v>
      </c>
      <c r="BP82" s="58">
        <v>94.995999999999995</v>
      </c>
      <c r="BQ82" s="58">
        <v>497.95499999999998</v>
      </c>
      <c r="BR82" s="58">
        <v>281.74700000000001</v>
      </c>
      <c r="BS82" s="58">
        <v>216.208</v>
      </c>
      <c r="BT82" s="58">
        <v>206.667</v>
      </c>
      <c r="BU82" s="58">
        <v>157.429</v>
      </c>
      <c r="BV82" s="58">
        <v>49.238999999999997</v>
      </c>
      <c r="BW82" s="58">
        <v>291.28800000000001</v>
      </c>
      <c r="BX82" s="58">
        <v>124.319</v>
      </c>
      <c r="BY82" s="58">
        <v>166.96899999999999</v>
      </c>
      <c r="BZ82" s="58">
        <v>356.625</v>
      </c>
      <c r="CA82" s="58">
        <v>255.94800000000001</v>
      </c>
      <c r="CB82" s="58">
        <v>100.67700000000001</v>
      </c>
      <c r="CC82" s="58">
        <v>381.54199999999997</v>
      </c>
      <c r="CD82" s="58">
        <v>155.45699999999999</v>
      </c>
      <c r="CE82" s="58">
        <v>226.08500000000001</v>
      </c>
      <c r="CF82" s="58">
        <v>452.714</v>
      </c>
      <c r="CG82" s="58">
        <v>231.54499999999999</v>
      </c>
      <c r="CH82" s="58">
        <v>221.16900000000001</v>
      </c>
      <c r="CI82" s="58">
        <v>2421.6129999999998</v>
      </c>
      <c r="CJ82" s="58">
        <v>1257.1130000000001</v>
      </c>
      <c r="CK82" s="58">
        <v>1164.499</v>
      </c>
      <c r="CL82" s="58">
        <v>1667.4580000000001</v>
      </c>
      <c r="CM82" s="58">
        <v>1025.739</v>
      </c>
      <c r="CN82" s="58">
        <v>641.71900000000005</v>
      </c>
      <c r="CO82" s="58">
        <v>754.15499999999997</v>
      </c>
      <c r="CP82" s="58">
        <v>231.375</v>
      </c>
      <c r="CQ82" s="58">
        <v>522.78</v>
      </c>
      <c r="CR82" s="58">
        <v>465.47399999999999</v>
      </c>
      <c r="CS82" s="58">
        <v>255.244</v>
      </c>
      <c r="CT82" s="58">
        <v>210.23</v>
      </c>
      <c r="CU82" s="58">
        <v>219.69800000000001</v>
      </c>
      <c r="CV82" s="58">
        <v>121.93</v>
      </c>
      <c r="CW82" s="58">
        <v>97.768000000000001</v>
      </c>
      <c r="CX82" s="58">
        <v>119.252</v>
      </c>
      <c r="CY82" s="58">
        <v>76.197999999999993</v>
      </c>
      <c r="CZ82" s="58">
        <v>43.054000000000002</v>
      </c>
      <c r="DA82" s="58">
        <v>90.543000000000006</v>
      </c>
      <c r="DB82" s="58">
        <v>54.844999999999999</v>
      </c>
      <c r="DC82" s="58">
        <v>35.698</v>
      </c>
      <c r="DD82" s="58">
        <v>28.709</v>
      </c>
      <c r="DE82" s="58">
        <v>21.353000000000002</v>
      </c>
      <c r="DF82" s="58">
        <v>7.3570000000000002</v>
      </c>
      <c r="DG82" s="58">
        <v>100.446</v>
      </c>
      <c r="DH82" s="58">
        <v>45.731999999999999</v>
      </c>
      <c r="DI82" s="58">
        <v>54.713999999999999</v>
      </c>
      <c r="DJ82" s="58">
        <v>319.65499999999997</v>
      </c>
      <c r="DK82" s="58">
        <v>174.91499999999999</v>
      </c>
      <c r="DL82" s="58">
        <v>144.74</v>
      </c>
      <c r="DM82" s="58">
        <v>118.238</v>
      </c>
      <c r="DN82" s="58">
        <v>90.135000000000005</v>
      </c>
      <c r="DO82" s="58">
        <v>28.102</v>
      </c>
      <c r="DP82" s="58">
        <v>201.41800000000001</v>
      </c>
      <c r="DQ82" s="58">
        <v>84.78</v>
      </c>
      <c r="DR82" s="58">
        <v>116.63800000000001</v>
      </c>
      <c r="DS82" s="58">
        <v>215.316</v>
      </c>
      <c r="DT82" s="58">
        <v>150.083</v>
      </c>
      <c r="DU82" s="58">
        <v>65.233000000000004</v>
      </c>
      <c r="DV82" s="58">
        <v>250.15799999999999</v>
      </c>
      <c r="DW82" s="58">
        <v>105.161</v>
      </c>
      <c r="DX82" s="58">
        <v>144.99700000000001</v>
      </c>
      <c r="DY82" s="58">
        <v>291.95999999999998</v>
      </c>
      <c r="DZ82" s="58">
        <v>139.625</v>
      </c>
      <c r="EA82" s="58">
        <v>152.33600000000001</v>
      </c>
      <c r="EB82" s="58">
        <v>825.07799999999997</v>
      </c>
      <c r="EC82" s="58">
        <v>429.00200000000001</v>
      </c>
      <c r="ED82" s="58">
        <v>396.07499999999999</v>
      </c>
      <c r="EE82" s="58">
        <v>528.21400000000006</v>
      </c>
      <c r="EF82" s="58">
        <v>334.49099999999999</v>
      </c>
      <c r="EG82" s="58">
        <v>193.72300000000001</v>
      </c>
      <c r="EH82" s="58">
        <v>296.863</v>
      </c>
      <c r="EI82" s="58">
        <v>94.510999999999996</v>
      </c>
      <c r="EJ82" s="58">
        <v>202.352</v>
      </c>
      <c r="EK82" s="58">
        <v>164.96</v>
      </c>
      <c r="EL82" s="58">
        <v>82.712000000000003</v>
      </c>
      <c r="EM82" s="58">
        <v>82.248000000000005</v>
      </c>
      <c r="EN82" s="58">
        <v>68.031000000000006</v>
      </c>
      <c r="EO82" s="58">
        <v>33.408999999999999</v>
      </c>
      <c r="EP82" s="58">
        <v>34.622</v>
      </c>
      <c r="EQ82" s="58">
        <v>31.099</v>
      </c>
      <c r="ER82" s="58">
        <v>21.495999999999999</v>
      </c>
      <c r="ES82" s="58">
        <v>9.6029999999999998</v>
      </c>
      <c r="ET82" s="58">
        <v>25.266999999999999</v>
      </c>
      <c r="EU82" s="58">
        <v>17.390999999999998</v>
      </c>
      <c r="EV82" s="58">
        <v>7.8769999999999998</v>
      </c>
      <c r="EW82" s="58">
        <v>5.8319999999999999</v>
      </c>
      <c r="EX82" s="58">
        <v>4.1050000000000004</v>
      </c>
      <c r="EY82" s="58">
        <v>1.7270000000000001</v>
      </c>
      <c r="EZ82" s="58">
        <v>36.930999999999997</v>
      </c>
      <c r="FA82" s="58">
        <v>11.913</v>
      </c>
      <c r="FB82" s="58">
        <v>25.018000000000001</v>
      </c>
      <c r="FC82" s="58">
        <v>119.65900000000001</v>
      </c>
      <c r="FD82" s="58">
        <v>59.79</v>
      </c>
      <c r="FE82" s="58">
        <v>59.869</v>
      </c>
      <c r="FF82" s="58">
        <v>35.058999999999997</v>
      </c>
      <c r="FG82" s="58">
        <v>25.327999999999999</v>
      </c>
      <c r="FH82" s="58">
        <v>9.7309999999999999</v>
      </c>
      <c r="FI82" s="58">
        <v>84.6</v>
      </c>
      <c r="FJ82" s="58">
        <v>34.462000000000003</v>
      </c>
      <c r="FK82" s="58">
        <v>50.137999999999998</v>
      </c>
      <c r="FL82" s="58">
        <v>61.139000000000003</v>
      </c>
      <c r="FM82" s="58">
        <v>42.75</v>
      </c>
      <c r="FN82" s="58">
        <v>18.388000000000002</v>
      </c>
      <c r="FO82" s="58">
        <v>103.822</v>
      </c>
      <c r="FP82" s="58">
        <v>39.962000000000003</v>
      </c>
      <c r="FQ82" s="58">
        <v>63.86</v>
      </c>
      <c r="FR82" s="58">
        <v>109.867</v>
      </c>
      <c r="FS82" s="58">
        <v>51.853000000000002</v>
      </c>
      <c r="FT82" s="58">
        <v>58.015000000000001</v>
      </c>
      <c r="FU82" s="58">
        <v>1307.211</v>
      </c>
      <c r="FV82" s="58">
        <v>701.41399999999999</v>
      </c>
      <c r="FW82" s="58">
        <v>605.798</v>
      </c>
      <c r="FX82" s="58">
        <v>885.79899999999998</v>
      </c>
      <c r="FY82" s="58">
        <v>573.89200000000005</v>
      </c>
      <c r="FZ82" s="58">
        <v>311.90800000000002</v>
      </c>
      <c r="GA82" s="58">
        <v>421.41199999999998</v>
      </c>
      <c r="GB82" s="58">
        <v>127.52200000000001</v>
      </c>
      <c r="GC82" s="58">
        <v>293.89</v>
      </c>
      <c r="GD82" s="58">
        <v>255.61199999999999</v>
      </c>
      <c r="GE82" s="58">
        <v>128.309</v>
      </c>
      <c r="GF82" s="58">
        <v>127.303</v>
      </c>
      <c r="GG82" s="58">
        <v>99.058000000000007</v>
      </c>
      <c r="GH82" s="58">
        <v>55.033999999999999</v>
      </c>
      <c r="GI82" s="58">
        <v>44.023000000000003</v>
      </c>
      <c r="GJ82" s="58">
        <v>49.131999999999998</v>
      </c>
      <c r="GK82" s="58">
        <v>34.514000000000003</v>
      </c>
      <c r="GL82" s="58">
        <v>14.619</v>
      </c>
      <c r="GM82" s="58">
        <v>38.15</v>
      </c>
      <c r="GN82" s="58">
        <v>26.231999999999999</v>
      </c>
      <c r="GO82" s="58">
        <v>11.917</v>
      </c>
      <c r="GP82" s="58">
        <v>10.983000000000001</v>
      </c>
      <c r="GQ82" s="58">
        <v>8.2810000000000006</v>
      </c>
      <c r="GR82" s="58">
        <v>2.702</v>
      </c>
      <c r="GS82" s="58">
        <v>49.924999999999997</v>
      </c>
      <c r="GT82" s="58">
        <v>20.521000000000001</v>
      </c>
      <c r="GU82" s="58">
        <v>29.405000000000001</v>
      </c>
      <c r="GV82" s="58">
        <v>186.375</v>
      </c>
      <c r="GW82" s="58">
        <v>92.941000000000003</v>
      </c>
      <c r="GX82" s="58">
        <v>93.433999999999997</v>
      </c>
      <c r="GY82" s="58">
        <v>67.414000000000001</v>
      </c>
      <c r="GZ82" s="58">
        <v>50.345999999999997</v>
      </c>
      <c r="HA82" s="58">
        <v>17.068000000000001</v>
      </c>
      <c r="HB82" s="58">
        <v>118.961</v>
      </c>
      <c r="HC82" s="58">
        <v>42.594999999999999</v>
      </c>
      <c r="HD82" s="58">
        <v>76.366</v>
      </c>
      <c r="HE82" s="58">
        <v>106.78700000000001</v>
      </c>
      <c r="HF82" s="58">
        <v>75.742000000000004</v>
      </c>
      <c r="HG82" s="58">
        <v>31.045000000000002</v>
      </c>
      <c r="HH82" s="58">
        <v>148.82599999999999</v>
      </c>
      <c r="HI82" s="58">
        <v>52.567</v>
      </c>
      <c r="HJ82" s="58">
        <v>96.259</v>
      </c>
      <c r="HK82" s="58">
        <v>157.11099999999999</v>
      </c>
      <c r="HL82" s="58">
        <v>68.828000000000003</v>
      </c>
      <c r="HM82" s="58">
        <v>88.283000000000001</v>
      </c>
      <c r="HN82" s="58">
        <v>246.1</v>
      </c>
      <c r="HO82" s="58">
        <v>130.00800000000001</v>
      </c>
      <c r="HP82" s="58">
        <v>116.092</v>
      </c>
      <c r="HQ82" s="58">
        <v>150.72399999999999</v>
      </c>
      <c r="HR82" s="58">
        <v>97.528000000000006</v>
      </c>
      <c r="HS82" s="58">
        <v>53.197000000000003</v>
      </c>
      <c r="HT82" s="58">
        <v>95.376000000000005</v>
      </c>
      <c r="HU82" s="58">
        <v>32.481000000000002</v>
      </c>
      <c r="HV82" s="58">
        <v>62.895000000000003</v>
      </c>
      <c r="HW82" s="58">
        <v>52.695999999999998</v>
      </c>
      <c r="HX82" s="58">
        <v>27.466999999999999</v>
      </c>
      <c r="HY82" s="58">
        <v>25.228000000000002</v>
      </c>
      <c r="HZ82" s="58">
        <v>24.643999999999998</v>
      </c>
      <c r="IA82" s="58">
        <v>12.353</v>
      </c>
      <c r="IB82" s="58">
        <v>12.291</v>
      </c>
      <c r="IC82" s="58">
        <v>10.624000000000001</v>
      </c>
      <c r="ID82" s="58">
        <v>6.4790000000000001</v>
      </c>
      <c r="IE82" s="58">
        <v>4.1459999999999999</v>
      </c>
      <c r="IF82" s="58">
        <v>7.99</v>
      </c>
      <c r="IG82" s="58">
        <v>4.3970000000000002</v>
      </c>
      <c r="IH82" s="58">
        <v>3.5939999999999999</v>
      </c>
      <c r="II82" s="58">
        <v>2.6339999999999999</v>
      </c>
      <c r="IJ82" s="58">
        <v>2.0819999999999999</v>
      </c>
      <c r="IK82" s="58">
        <v>0.55200000000000005</v>
      </c>
      <c r="IL82" s="58">
        <v>14.02</v>
      </c>
      <c r="IM82" s="58">
        <v>5.875</v>
      </c>
      <c r="IN82" s="58">
        <v>8.1449999999999996</v>
      </c>
      <c r="IO82" s="58">
        <v>35.543999999999997</v>
      </c>
      <c r="IP82" s="58">
        <v>19.306000000000001</v>
      </c>
      <c r="IQ82" s="58">
        <v>16.238</v>
      </c>
    </row>
    <row r="83" spans="1:251">
      <c r="A83" s="5">
        <v>44013</v>
      </c>
      <c r="B83" s="58">
        <v>1072.6880000000001</v>
      </c>
      <c r="C83" s="58">
        <v>1196.771</v>
      </c>
      <c r="D83" s="58">
        <v>398.35899999999998</v>
      </c>
      <c r="E83" s="58">
        <v>798.41200000000003</v>
      </c>
      <c r="F83" s="58">
        <v>762.28899999999999</v>
      </c>
      <c r="G83" s="58">
        <v>425.29599999999999</v>
      </c>
      <c r="H83" s="58">
        <v>336.99400000000003</v>
      </c>
      <c r="I83" s="58">
        <v>305.37299999999999</v>
      </c>
      <c r="J83" s="58">
        <v>179.036</v>
      </c>
      <c r="K83" s="58">
        <v>126.337</v>
      </c>
      <c r="L83" s="58">
        <v>180.15600000000001</v>
      </c>
      <c r="M83" s="58">
        <v>129.03700000000001</v>
      </c>
      <c r="N83" s="58">
        <v>51.12</v>
      </c>
      <c r="O83" s="58">
        <v>134.11699999999999</v>
      </c>
      <c r="P83" s="58">
        <v>95.725999999999999</v>
      </c>
      <c r="Q83" s="58">
        <v>38.390999999999998</v>
      </c>
      <c r="R83" s="58">
        <v>46.04</v>
      </c>
      <c r="S83" s="58">
        <v>33.311</v>
      </c>
      <c r="T83" s="58">
        <v>12.728999999999999</v>
      </c>
      <c r="U83" s="58">
        <v>125.21599999999999</v>
      </c>
      <c r="V83" s="58">
        <v>49.999000000000002</v>
      </c>
      <c r="W83" s="58">
        <v>75.216999999999999</v>
      </c>
      <c r="X83" s="58">
        <v>557.20600000000002</v>
      </c>
      <c r="Y83" s="58">
        <v>304.94099999999997</v>
      </c>
      <c r="Z83" s="58">
        <v>252.26499999999999</v>
      </c>
      <c r="AA83" s="58">
        <v>227.48400000000001</v>
      </c>
      <c r="AB83" s="58">
        <v>171.54599999999999</v>
      </c>
      <c r="AC83" s="58">
        <v>55.938000000000002</v>
      </c>
      <c r="AD83" s="58">
        <v>329.72300000000001</v>
      </c>
      <c r="AE83" s="58">
        <v>133.39500000000001</v>
      </c>
      <c r="AF83" s="58">
        <v>196.328</v>
      </c>
      <c r="AG83" s="58">
        <v>368.32299999999998</v>
      </c>
      <c r="AH83" s="58">
        <v>267.084</v>
      </c>
      <c r="AI83" s="58">
        <v>101.238</v>
      </c>
      <c r="AJ83" s="58">
        <v>393.96699999999998</v>
      </c>
      <c r="AK83" s="58">
        <v>158.21199999999999</v>
      </c>
      <c r="AL83" s="58">
        <v>235.755</v>
      </c>
      <c r="AM83" s="58">
        <v>463.839</v>
      </c>
      <c r="AN83" s="58">
        <v>229.12100000000001</v>
      </c>
      <c r="AO83" s="58">
        <v>234.71799999999999</v>
      </c>
      <c r="AP83" s="58">
        <v>3281.84</v>
      </c>
      <c r="AQ83" s="58">
        <v>1751.752</v>
      </c>
      <c r="AR83" s="58">
        <v>1530.088</v>
      </c>
      <c r="AS83" s="58">
        <v>2220.951</v>
      </c>
      <c r="AT83" s="58">
        <v>1411.6420000000001</v>
      </c>
      <c r="AU83" s="58">
        <v>809.30899999999997</v>
      </c>
      <c r="AV83" s="58">
        <v>1060.8889999999999</v>
      </c>
      <c r="AW83" s="58">
        <v>340.11</v>
      </c>
      <c r="AX83" s="58">
        <v>720.779</v>
      </c>
      <c r="AY83" s="58">
        <v>718.875</v>
      </c>
      <c r="AZ83" s="58">
        <v>399.846</v>
      </c>
      <c r="BA83" s="58">
        <v>319.029</v>
      </c>
      <c r="BB83" s="58">
        <v>330.99200000000002</v>
      </c>
      <c r="BC83" s="58">
        <v>185.43199999999999</v>
      </c>
      <c r="BD83" s="58">
        <v>145.56</v>
      </c>
      <c r="BE83" s="58">
        <v>183.79300000000001</v>
      </c>
      <c r="BF83" s="58">
        <v>126.82599999999999</v>
      </c>
      <c r="BG83" s="58">
        <v>56.966999999999999</v>
      </c>
      <c r="BH83" s="58">
        <v>149.51900000000001</v>
      </c>
      <c r="BI83" s="58">
        <v>101.08499999999999</v>
      </c>
      <c r="BJ83" s="58">
        <v>48.433999999999997</v>
      </c>
      <c r="BK83" s="58">
        <v>34.274000000000001</v>
      </c>
      <c r="BL83" s="58">
        <v>25.741</v>
      </c>
      <c r="BM83" s="58">
        <v>8.5329999999999995</v>
      </c>
      <c r="BN83" s="58">
        <v>147.19900000000001</v>
      </c>
      <c r="BO83" s="58">
        <v>58.606000000000002</v>
      </c>
      <c r="BP83" s="58">
        <v>88.593999999999994</v>
      </c>
      <c r="BQ83" s="58">
        <v>504.86900000000003</v>
      </c>
      <c r="BR83" s="58">
        <v>282.45299999999997</v>
      </c>
      <c r="BS83" s="58">
        <v>222.416</v>
      </c>
      <c r="BT83" s="58">
        <v>199.66200000000001</v>
      </c>
      <c r="BU83" s="58">
        <v>155.804</v>
      </c>
      <c r="BV83" s="58">
        <v>43.857999999999997</v>
      </c>
      <c r="BW83" s="58">
        <v>305.20699999999999</v>
      </c>
      <c r="BX83" s="58">
        <v>126.649</v>
      </c>
      <c r="BY83" s="58">
        <v>178.55799999999999</v>
      </c>
      <c r="BZ83" s="58">
        <v>339.78300000000002</v>
      </c>
      <c r="CA83" s="58">
        <v>246.15899999999999</v>
      </c>
      <c r="CB83" s="58">
        <v>93.625</v>
      </c>
      <c r="CC83" s="58">
        <v>379.09199999999998</v>
      </c>
      <c r="CD83" s="58">
        <v>153.68799999999999</v>
      </c>
      <c r="CE83" s="58">
        <v>225.404</v>
      </c>
      <c r="CF83" s="58">
        <v>454.726</v>
      </c>
      <c r="CG83" s="58">
        <v>227.73400000000001</v>
      </c>
      <c r="CH83" s="58">
        <v>226.99199999999999</v>
      </c>
      <c r="CI83" s="58">
        <v>2436.7860000000001</v>
      </c>
      <c r="CJ83" s="58">
        <v>1264.883</v>
      </c>
      <c r="CK83" s="58">
        <v>1171.903</v>
      </c>
      <c r="CL83" s="58">
        <v>1690.0930000000001</v>
      </c>
      <c r="CM83" s="58">
        <v>1026.5409999999999</v>
      </c>
      <c r="CN83" s="58">
        <v>663.553</v>
      </c>
      <c r="CO83" s="58">
        <v>746.69299999999998</v>
      </c>
      <c r="CP83" s="58">
        <v>238.34200000000001</v>
      </c>
      <c r="CQ83" s="58">
        <v>508.35</v>
      </c>
      <c r="CR83" s="58">
        <v>444.60599999999999</v>
      </c>
      <c r="CS83" s="58">
        <v>266.96800000000002</v>
      </c>
      <c r="CT83" s="58">
        <v>177.63800000000001</v>
      </c>
      <c r="CU83" s="58">
        <v>178.78899999999999</v>
      </c>
      <c r="CV83" s="58">
        <v>116.529</v>
      </c>
      <c r="CW83" s="58">
        <v>62.26</v>
      </c>
      <c r="CX83" s="58">
        <v>112.84699999999999</v>
      </c>
      <c r="CY83" s="58">
        <v>83.063999999999993</v>
      </c>
      <c r="CZ83" s="58">
        <v>29.783000000000001</v>
      </c>
      <c r="DA83" s="58">
        <v>86.953999999999994</v>
      </c>
      <c r="DB83" s="58">
        <v>62.987000000000002</v>
      </c>
      <c r="DC83" s="58">
        <v>23.966000000000001</v>
      </c>
      <c r="DD83" s="58">
        <v>25.893000000000001</v>
      </c>
      <c r="DE83" s="58">
        <v>20.076000000000001</v>
      </c>
      <c r="DF83" s="58">
        <v>5.8170000000000002</v>
      </c>
      <c r="DG83" s="58">
        <v>65.942999999999998</v>
      </c>
      <c r="DH83" s="58">
        <v>33.466000000000001</v>
      </c>
      <c r="DI83" s="58">
        <v>32.476999999999997</v>
      </c>
      <c r="DJ83" s="58">
        <v>316.495</v>
      </c>
      <c r="DK83" s="58">
        <v>183.15299999999999</v>
      </c>
      <c r="DL83" s="58">
        <v>133.34299999999999</v>
      </c>
      <c r="DM83" s="58">
        <v>123.98</v>
      </c>
      <c r="DN83" s="58">
        <v>95.826999999999998</v>
      </c>
      <c r="DO83" s="58">
        <v>28.152999999999999</v>
      </c>
      <c r="DP83" s="58">
        <v>192.51499999999999</v>
      </c>
      <c r="DQ83" s="58">
        <v>87.325000000000003</v>
      </c>
      <c r="DR83" s="58">
        <v>105.19</v>
      </c>
      <c r="DS83" s="58">
        <v>214.28800000000001</v>
      </c>
      <c r="DT83" s="58">
        <v>160.99199999999999</v>
      </c>
      <c r="DU83" s="58">
        <v>53.295000000000002</v>
      </c>
      <c r="DV83" s="58">
        <v>230.31800000000001</v>
      </c>
      <c r="DW83" s="58">
        <v>105.97499999999999</v>
      </c>
      <c r="DX83" s="58">
        <v>124.342</v>
      </c>
      <c r="DY83" s="58">
        <v>279.46899999999999</v>
      </c>
      <c r="DZ83" s="58">
        <v>150.31299999999999</v>
      </c>
      <c r="EA83" s="58">
        <v>129.15600000000001</v>
      </c>
      <c r="EB83" s="58">
        <v>828.64499999999998</v>
      </c>
      <c r="EC83" s="58">
        <v>430.553</v>
      </c>
      <c r="ED83" s="58">
        <v>398.09199999999998</v>
      </c>
      <c r="EE83" s="58">
        <v>536.81500000000005</v>
      </c>
      <c r="EF83" s="58">
        <v>338.72500000000002</v>
      </c>
      <c r="EG83" s="58">
        <v>198.09</v>
      </c>
      <c r="EH83" s="58">
        <v>291.82900000000001</v>
      </c>
      <c r="EI83" s="58">
        <v>91.828000000000003</v>
      </c>
      <c r="EJ83" s="58">
        <v>200.00200000000001</v>
      </c>
      <c r="EK83" s="58">
        <v>155.54300000000001</v>
      </c>
      <c r="EL83" s="58">
        <v>80.873999999999995</v>
      </c>
      <c r="EM83" s="58">
        <v>74.668999999999997</v>
      </c>
      <c r="EN83" s="58">
        <v>57.091999999999999</v>
      </c>
      <c r="EO83" s="58">
        <v>30.963000000000001</v>
      </c>
      <c r="EP83" s="58">
        <v>26.129000000000001</v>
      </c>
      <c r="EQ83" s="58">
        <v>31.13</v>
      </c>
      <c r="ER83" s="58">
        <v>20.731999999999999</v>
      </c>
      <c r="ES83" s="58">
        <v>10.397</v>
      </c>
      <c r="ET83" s="58">
        <v>21.911000000000001</v>
      </c>
      <c r="EU83" s="58">
        <v>14.504</v>
      </c>
      <c r="EV83" s="58">
        <v>7.407</v>
      </c>
      <c r="EW83" s="58">
        <v>9.2189999999999994</v>
      </c>
      <c r="EX83" s="58">
        <v>6.2279999999999998</v>
      </c>
      <c r="EY83" s="58">
        <v>2.99</v>
      </c>
      <c r="EZ83" s="58">
        <v>25.962</v>
      </c>
      <c r="FA83" s="58">
        <v>10.231</v>
      </c>
      <c r="FB83" s="58">
        <v>15.731</v>
      </c>
      <c r="FC83" s="58">
        <v>119.163</v>
      </c>
      <c r="FD83" s="58">
        <v>61.582999999999998</v>
      </c>
      <c r="FE83" s="58">
        <v>57.579000000000001</v>
      </c>
      <c r="FF83" s="58">
        <v>38.051000000000002</v>
      </c>
      <c r="FG83" s="58">
        <v>29.367000000000001</v>
      </c>
      <c r="FH83" s="58">
        <v>8.6829999999999998</v>
      </c>
      <c r="FI83" s="58">
        <v>81.111999999999995</v>
      </c>
      <c r="FJ83" s="58">
        <v>32.216000000000001</v>
      </c>
      <c r="FK83" s="58">
        <v>48.896000000000001</v>
      </c>
      <c r="FL83" s="58">
        <v>62.95</v>
      </c>
      <c r="FM83" s="58">
        <v>45.268999999999998</v>
      </c>
      <c r="FN83" s="58">
        <v>17.681000000000001</v>
      </c>
      <c r="FO83" s="58">
        <v>92.593000000000004</v>
      </c>
      <c r="FP83" s="58">
        <v>35.604999999999997</v>
      </c>
      <c r="FQ83" s="58">
        <v>56.988</v>
      </c>
      <c r="FR83" s="58">
        <v>103.023</v>
      </c>
      <c r="FS83" s="58">
        <v>46.72</v>
      </c>
      <c r="FT83" s="58">
        <v>56.302999999999997</v>
      </c>
      <c r="FU83" s="58">
        <v>1321.8409999999999</v>
      </c>
      <c r="FV83" s="58">
        <v>709.12800000000004</v>
      </c>
      <c r="FW83" s="58">
        <v>612.71299999999997</v>
      </c>
      <c r="FX83" s="58">
        <v>898.94600000000003</v>
      </c>
      <c r="FY83" s="58">
        <v>582.70500000000004</v>
      </c>
      <c r="FZ83" s="58">
        <v>316.24099999999999</v>
      </c>
      <c r="GA83" s="58">
        <v>422.89499999999998</v>
      </c>
      <c r="GB83" s="58">
        <v>126.423</v>
      </c>
      <c r="GC83" s="58">
        <v>296.47199999999998</v>
      </c>
      <c r="GD83" s="58">
        <v>232.904</v>
      </c>
      <c r="GE83" s="58">
        <v>115.342</v>
      </c>
      <c r="GF83" s="58">
        <v>117.56100000000001</v>
      </c>
      <c r="GG83" s="58">
        <v>75.248999999999995</v>
      </c>
      <c r="GH83" s="58">
        <v>42.662999999999997</v>
      </c>
      <c r="GI83" s="58">
        <v>32.585000000000001</v>
      </c>
      <c r="GJ83" s="58">
        <v>40.909999999999997</v>
      </c>
      <c r="GK83" s="58">
        <v>27.716999999999999</v>
      </c>
      <c r="GL83" s="58">
        <v>13.193</v>
      </c>
      <c r="GM83" s="58">
        <v>33.979999999999997</v>
      </c>
      <c r="GN83" s="58">
        <v>21.931000000000001</v>
      </c>
      <c r="GO83" s="58">
        <v>12.05</v>
      </c>
      <c r="GP83" s="58">
        <v>6.93</v>
      </c>
      <c r="GQ83" s="58">
        <v>5.7859999999999996</v>
      </c>
      <c r="GR83" s="58">
        <v>1.1439999999999999</v>
      </c>
      <c r="GS83" s="58">
        <v>34.338999999999999</v>
      </c>
      <c r="GT83" s="58">
        <v>14.946999999999999</v>
      </c>
      <c r="GU83" s="58">
        <v>19.391999999999999</v>
      </c>
      <c r="GV83" s="58">
        <v>187.93199999999999</v>
      </c>
      <c r="GW83" s="58">
        <v>89.266000000000005</v>
      </c>
      <c r="GX83" s="58">
        <v>98.665999999999997</v>
      </c>
      <c r="GY83" s="58">
        <v>69.521000000000001</v>
      </c>
      <c r="GZ83" s="58">
        <v>47.274000000000001</v>
      </c>
      <c r="HA83" s="58">
        <v>22.247</v>
      </c>
      <c r="HB83" s="58">
        <v>118.411</v>
      </c>
      <c r="HC83" s="58">
        <v>41.991999999999997</v>
      </c>
      <c r="HD83" s="58">
        <v>76.418999999999997</v>
      </c>
      <c r="HE83" s="58">
        <v>96.305999999999997</v>
      </c>
      <c r="HF83" s="58">
        <v>65.322999999999993</v>
      </c>
      <c r="HG83" s="58">
        <v>30.981999999999999</v>
      </c>
      <c r="HH83" s="58">
        <v>136.59800000000001</v>
      </c>
      <c r="HI83" s="58">
        <v>50.018999999999998</v>
      </c>
      <c r="HJ83" s="58">
        <v>86.578999999999994</v>
      </c>
      <c r="HK83" s="58">
        <v>152.39099999999999</v>
      </c>
      <c r="HL83" s="58">
        <v>63.923000000000002</v>
      </c>
      <c r="HM83" s="58">
        <v>88.468000000000004</v>
      </c>
      <c r="HN83" s="58">
        <v>251.57400000000001</v>
      </c>
      <c r="HO83" s="58">
        <v>132.31399999999999</v>
      </c>
      <c r="HP83" s="58">
        <v>119.26</v>
      </c>
      <c r="HQ83" s="58">
        <v>152.34</v>
      </c>
      <c r="HR83" s="58">
        <v>100.569</v>
      </c>
      <c r="HS83" s="58">
        <v>51.771999999999998</v>
      </c>
      <c r="HT83" s="58">
        <v>99.233000000000004</v>
      </c>
      <c r="HU83" s="58">
        <v>31.745999999999999</v>
      </c>
      <c r="HV83" s="58">
        <v>67.488</v>
      </c>
      <c r="HW83" s="58">
        <v>51.424999999999997</v>
      </c>
      <c r="HX83" s="58">
        <v>25.254999999999999</v>
      </c>
      <c r="HY83" s="58">
        <v>26.17</v>
      </c>
      <c r="HZ83" s="58">
        <v>21.786000000000001</v>
      </c>
      <c r="IA83" s="58">
        <v>12.042999999999999</v>
      </c>
      <c r="IB83" s="58">
        <v>9.7420000000000009</v>
      </c>
      <c r="IC83" s="58">
        <v>9.8279999999999994</v>
      </c>
      <c r="ID83" s="58">
        <v>6.3810000000000002</v>
      </c>
      <c r="IE83" s="58">
        <v>3.4470000000000001</v>
      </c>
      <c r="IF83" s="58">
        <v>7.0949999999999998</v>
      </c>
      <c r="IG83" s="58">
        <v>4.3090000000000002</v>
      </c>
      <c r="IH83" s="58">
        <v>2.786</v>
      </c>
      <c r="II83" s="58">
        <v>2.7330000000000001</v>
      </c>
      <c r="IJ83" s="58">
        <v>2.0720000000000001</v>
      </c>
      <c r="IK83" s="58">
        <v>0.66100000000000003</v>
      </c>
      <c r="IL83" s="58">
        <v>11.958</v>
      </c>
      <c r="IM83" s="58">
        <v>5.6619999999999999</v>
      </c>
      <c r="IN83" s="58">
        <v>6.2949999999999999</v>
      </c>
      <c r="IO83" s="58">
        <v>37.484999999999999</v>
      </c>
      <c r="IP83" s="58">
        <v>17.556999999999999</v>
      </c>
      <c r="IQ83" s="58">
        <v>19.928000000000001</v>
      </c>
    </row>
    <row r="84" spans="1:251">
      <c r="A84" s="5">
        <v>44044</v>
      </c>
      <c r="B84" s="58">
        <v>1070.9169999999999</v>
      </c>
      <c r="C84" s="58">
        <v>1233.7059999999999</v>
      </c>
      <c r="D84" s="58">
        <v>407.8</v>
      </c>
      <c r="E84" s="58">
        <v>825.90599999999995</v>
      </c>
      <c r="F84" s="58">
        <v>734.45699999999999</v>
      </c>
      <c r="G84" s="58">
        <v>412.19400000000002</v>
      </c>
      <c r="H84" s="58">
        <v>322.26299999999998</v>
      </c>
      <c r="I84" s="58">
        <v>260.72000000000003</v>
      </c>
      <c r="J84" s="58">
        <v>160.745</v>
      </c>
      <c r="K84" s="58">
        <v>99.974000000000004</v>
      </c>
      <c r="L84" s="58">
        <v>147.34299999999999</v>
      </c>
      <c r="M84" s="58">
        <v>106.102</v>
      </c>
      <c r="N84" s="58">
        <v>41.241999999999997</v>
      </c>
      <c r="O84" s="58">
        <v>103.24299999999999</v>
      </c>
      <c r="P84" s="58">
        <v>72.400000000000006</v>
      </c>
      <c r="Q84" s="58">
        <v>30.843</v>
      </c>
      <c r="R84" s="58">
        <v>44.100999999999999</v>
      </c>
      <c r="S84" s="58">
        <v>33.701000000000001</v>
      </c>
      <c r="T84" s="58">
        <v>10.398999999999999</v>
      </c>
      <c r="U84" s="58">
        <v>113.376</v>
      </c>
      <c r="V84" s="58">
        <v>54.643999999999998</v>
      </c>
      <c r="W84" s="58">
        <v>58.732999999999997</v>
      </c>
      <c r="X84" s="58">
        <v>561.69399999999996</v>
      </c>
      <c r="Y84" s="58">
        <v>305.65199999999999</v>
      </c>
      <c r="Z84" s="58">
        <v>256.04199999999997</v>
      </c>
      <c r="AA84" s="58">
        <v>229.52500000000001</v>
      </c>
      <c r="AB84" s="58">
        <v>169.81899999999999</v>
      </c>
      <c r="AC84" s="58">
        <v>59.706000000000003</v>
      </c>
      <c r="AD84" s="58">
        <v>332.16899999999998</v>
      </c>
      <c r="AE84" s="58">
        <v>135.833</v>
      </c>
      <c r="AF84" s="58">
        <v>196.33600000000001</v>
      </c>
      <c r="AG84" s="58">
        <v>345.7</v>
      </c>
      <c r="AH84" s="58">
        <v>252.03700000000001</v>
      </c>
      <c r="AI84" s="58">
        <v>93.662999999999997</v>
      </c>
      <c r="AJ84" s="58">
        <v>388.75700000000001</v>
      </c>
      <c r="AK84" s="58">
        <v>160.15700000000001</v>
      </c>
      <c r="AL84" s="58">
        <v>228.6</v>
      </c>
      <c r="AM84" s="58">
        <v>435.41199999999998</v>
      </c>
      <c r="AN84" s="58">
        <v>208.23400000000001</v>
      </c>
      <c r="AO84" s="58">
        <v>227.178</v>
      </c>
      <c r="AP84" s="58">
        <v>3224.4079999999999</v>
      </c>
      <c r="AQ84" s="58">
        <v>1721.808</v>
      </c>
      <c r="AR84" s="58">
        <v>1502.6</v>
      </c>
      <c r="AS84" s="58">
        <v>2180.7809999999999</v>
      </c>
      <c r="AT84" s="58">
        <v>1385.2819999999999</v>
      </c>
      <c r="AU84" s="58">
        <v>795.49900000000002</v>
      </c>
      <c r="AV84" s="58">
        <v>1043.627</v>
      </c>
      <c r="AW84" s="58">
        <v>336.52600000000001</v>
      </c>
      <c r="AX84" s="58">
        <v>707.101</v>
      </c>
      <c r="AY84" s="58">
        <v>786.572</v>
      </c>
      <c r="AZ84" s="58">
        <v>444.9</v>
      </c>
      <c r="BA84" s="58">
        <v>341.67200000000003</v>
      </c>
      <c r="BB84" s="58">
        <v>424.863</v>
      </c>
      <c r="BC84" s="58">
        <v>245.05799999999999</v>
      </c>
      <c r="BD84" s="58">
        <v>179.80500000000001</v>
      </c>
      <c r="BE84" s="58">
        <v>239.03100000000001</v>
      </c>
      <c r="BF84" s="58">
        <v>176.65100000000001</v>
      </c>
      <c r="BG84" s="58">
        <v>62.38</v>
      </c>
      <c r="BH84" s="58">
        <v>191.34800000000001</v>
      </c>
      <c r="BI84" s="58">
        <v>136.53</v>
      </c>
      <c r="BJ84" s="58">
        <v>54.817999999999998</v>
      </c>
      <c r="BK84" s="58">
        <v>47.683</v>
      </c>
      <c r="BL84" s="58">
        <v>40.121000000000002</v>
      </c>
      <c r="BM84" s="58">
        <v>7.5620000000000003</v>
      </c>
      <c r="BN84" s="58">
        <v>185.83199999999999</v>
      </c>
      <c r="BO84" s="58">
        <v>68.406999999999996</v>
      </c>
      <c r="BP84" s="58">
        <v>117.425</v>
      </c>
      <c r="BQ84" s="58">
        <v>482.08100000000002</v>
      </c>
      <c r="BR84" s="58">
        <v>267.529</v>
      </c>
      <c r="BS84" s="58">
        <v>214.55199999999999</v>
      </c>
      <c r="BT84" s="58">
        <v>186.09</v>
      </c>
      <c r="BU84" s="58">
        <v>148.90700000000001</v>
      </c>
      <c r="BV84" s="58">
        <v>37.183</v>
      </c>
      <c r="BW84" s="58">
        <v>295.99200000000002</v>
      </c>
      <c r="BX84" s="58">
        <v>118.622</v>
      </c>
      <c r="BY84" s="58">
        <v>177.37</v>
      </c>
      <c r="BZ84" s="58">
        <v>379.38499999999999</v>
      </c>
      <c r="CA84" s="58">
        <v>287.11200000000002</v>
      </c>
      <c r="CB84" s="58">
        <v>92.272999999999996</v>
      </c>
      <c r="CC84" s="58">
        <v>407.18700000000001</v>
      </c>
      <c r="CD84" s="58">
        <v>157.78800000000001</v>
      </c>
      <c r="CE84" s="58">
        <v>249.399</v>
      </c>
      <c r="CF84" s="58">
        <v>487.34</v>
      </c>
      <c r="CG84" s="58">
        <v>255.15199999999999</v>
      </c>
      <c r="CH84" s="58">
        <v>232.18799999999999</v>
      </c>
      <c r="CI84" s="58">
        <v>2504.5790000000002</v>
      </c>
      <c r="CJ84" s="58">
        <v>1284.5540000000001</v>
      </c>
      <c r="CK84" s="58">
        <v>1220.0250000000001</v>
      </c>
      <c r="CL84" s="58">
        <v>1682.6990000000001</v>
      </c>
      <c r="CM84" s="58">
        <v>1038.491</v>
      </c>
      <c r="CN84" s="58">
        <v>644.20799999999997</v>
      </c>
      <c r="CO84" s="58">
        <v>821.88</v>
      </c>
      <c r="CP84" s="58">
        <v>246.06299999999999</v>
      </c>
      <c r="CQ84" s="58">
        <v>575.81799999999998</v>
      </c>
      <c r="CR84" s="58">
        <v>419.54599999999999</v>
      </c>
      <c r="CS84" s="58">
        <v>235.988</v>
      </c>
      <c r="CT84" s="58">
        <v>183.55799999999999</v>
      </c>
      <c r="CU84" s="58">
        <v>150.958</v>
      </c>
      <c r="CV84" s="58">
        <v>84.67</v>
      </c>
      <c r="CW84" s="58">
        <v>66.287999999999997</v>
      </c>
      <c r="CX84" s="58">
        <v>76.42</v>
      </c>
      <c r="CY84" s="58">
        <v>53.432000000000002</v>
      </c>
      <c r="CZ84" s="58">
        <v>22.988</v>
      </c>
      <c r="DA84" s="58">
        <v>57.28</v>
      </c>
      <c r="DB84" s="58">
        <v>40.921999999999997</v>
      </c>
      <c r="DC84" s="58">
        <v>16.359000000000002</v>
      </c>
      <c r="DD84" s="58">
        <v>19.14</v>
      </c>
      <c r="DE84" s="58">
        <v>12.51</v>
      </c>
      <c r="DF84" s="58">
        <v>6.6289999999999996</v>
      </c>
      <c r="DG84" s="58">
        <v>74.537999999999997</v>
      </c>
      <c r="DH84" s="58">
        <v>31.238</v>
      </c>
      <c r="DI84" s="58">
        <v>43.3</v>
      </c>
      <c r="DJ84" s="58">
        <v>319.64100000000002</v>
      </c>
      <c r="DK84" s="58">
        <v>178.97900000000001</v>
      </c>
      <c r="DL84" s="58">
        <v>140.661</v>
      </c>
      <c r="DM84" s="58">
        <v>115.922</v>
      </c>
      <c r="DN84" s="58">
        <v>92.394000000000005</v>
      </c>
      <c r="DO84" s="58">
        <v>23.527999999999999</v>
      </c>
      <c r="DP84" s="58">
        <v>203.71799999999999</v>
      </c>
      <c r="DQ84" s="58">
        <v>86.584999999999994</v>
      </c>
      <c r="DR84" s="58">
        <v>117.133</v>
      </c>
      <c r="DS84" s="58">
        <v>175.48599999999999</v>
      </c>
      <c r="DT84" s="58">
        <v>134.708</v>
      </c>
      <c r="DU84" s="58">
        <v>40.777000000000001</v>
      </c>
      <c r="DV84" s="58">
        <v>244.06100000000001</v>
      </c>
      <c r="DW84" s="58">
        <v>101.28</v>
      </c>
      <c r="DX84" s="58">
        <v>142.78100000000001</v>
      </c>
      <c r="DY84" s="58">
        <v>260.99900000000002</v>
      </c>
      <c r="DZ84" s="58">
        <v>127.50700000000001</v>
      </c>
      <c r="EA84" s="58">
        <v>133.49100000000001</v>
      </c>
      <c r="EB84" s="58">
        <v>838.923</v>
      </c>
      <c r="EC84" s="58">
        <v>433.947</v>
      </c>
      <c r="ED84" s="58">
        <v>404.97500000000002</v>
      </c>
      <c r="EE84" s="58">
        <v>538.42999999999995</v>
      </c>
      <c r="EF84" s="58">
        <v>340.00200000000001</v>
      </c>
      <c r="EG84" s="58">
        <v>198.429</v>
      </c>
      <c r="EH84" s="58">
        <v>300.49299999999999</v>
      </c>
      <c r="EI84" s="58">
        <v>93.945999999999998</v>
      </c>
      <c r="EJ84" s="58">
        <v>206.547</v>
      </c>
      <c r="EK84" s="58">
        <v>156.07400000000001</v>
      </c>
      <c r="EL84" s="58">
        <v>80.789000000000001</v>
      </c>
      <c r="EM84" s="58">
        <v>75.284999999999997</v>
      </c>
      <c r="EN84" s="58">
        <v>52.293999999999997</v>
      </c>
      <c r="EO84" s="58">
        <v>30.268000000000001</v>
      </c>
      <c r="EP84" s="58">
        <v>22.026</v>
      </c>
      <c r="EQ84" s="58">
        <v>28.202999999999999</v>
      </c>
      <c r="ER84" s="58">
        <v>20.251000000000001</v>
      </c>
      <c r="ES84" s="58">
        <v>7.952</v>
      </c>
      <c r="ET84" s="58">
        <v>19.994</v>
      </c>
      <c r="EU84" s="58">
        <v>13.816000000000001</v>
      </c>
      <c r="EV84" s="58">
        <v>6.1779999999999999</v>
      </c>
      <c r="EW84" s="58">
        <v>8.2100000000000009</v>
      </c>
      <c r="EX84" s="58">
        <v>6.4359999999999999</v>
      </c>
      <c r="EY84" s="58">
        <v>1.774</v>
      </c>
      <c r="EZ84" s="58">
        <v>24.09</v>
      </c>
      <c r="FA84" s="58">
        <v>10.016</v>
      </c>
      <c r="FB84" s="58">
        <v>14.074</v>
      </c>
      <c r="FC84" s="58">
        <v>128.874</v>
      </c>
      <c r="FD84" s="58">
        <v>65.522999999999996</v>
      </c>
      <c r="FE84" s="58">
        <v>63.351999999999997</v>
      </c>
      <c r="FF84" s="58">
        <v>42.381</v>
      </c>
      <c r="FG84" s="58">
        <v>30.863</v>
      </c>
      <c r="FH84" s="58">
        <v>11.518000000000001</v>
      </c>
      <c r="FI84" s="58">
        <v>86.492999999999995</v>
      </c>
      <c r="FJ84" s="58">
        <v>34.659999999999997</v>
      </c>
      <c r="FK84" s="58">
        <v>51.834000000000003</v>
      </c>
      <c r="FL84" s="58">
        <v>61.377000000000002</v>
      </c>
      <c r="FM84" s="58">
        <v>43.139000000000003</v>
      </c>
      <c r="FN84" s="58">
        <v>18.238</v>
      </c>
      <c r="FO84" s="58">
        <v>94.697000000000003</v>
      </c>
      <c r="FP84" s="58">
        <v>37.65</v>
      </c>
      <c r="FQ84" s="58">
        <v>57.046999999999997</v>
      </c>
      <c r="FR84" s="58">
        <v>106.48699999999999</v>
      </c>
      <c r="FS84" s="58">
        <v>48.475000000000001</v>
      </c>
      <c r="FT84" s="58">
        <v>58.012</v>
      </c>
      <c r="FU84" s="58">
        <v>1347.2360000000001</v>
      </c>
      <c r="FV84" s="58">
        <v>725.53700000000003</v>
      </c>
      <c r="FW84" s="58">
        <v>621.69899999999996</v>
      </c>
      <c r="FX84" s="58">
        <v>893.02300000000002</v>
      </c>
      <c r="FY84" s="58">
        <v>583.68799999999999</v>
      </c>
      <c r="FZ84" s="58">
        <v>309.33499999999998</v>
      </c>
      <c r="GA84" s="58">
        <v>454.21300000000002</v>
      </c>
      <c r="GB84" s="58">
        <v>141.84899999999999</v>
      </c>
      <c r="GC84" s="58">
        <v>312.36399999999998</v>
      </c>
      <c r="GD84" s="58">
        <v>228.88900000000001</v>
      </c>
      <c r="GE84" s="58">
        <v>122.81</v>
      </c>
      <c r="GF84" s="58">
        <v>106.078</v>
      </c>
      <c r="GG84" s="58">
        <v>67.414000000000001</v>
      </c>
      <c r="GH84" s="58">
        <v>37.968000000000004</v>
      </c>
      <c r="GI84" s="58">
        <v>29.446000000000002</v>
      </c>
      <c r="GJ84" s="58">
        <v>29.119</v>
      </c>
      <c r="GK84" s="58">
        <v>19.047000000000001</v>
      </c>
      <c r="GL84" s="58">
        <v>10.071</v>
      </c>
      <c r="GM84" s="58">
        <v>20.245999999999999</v>
      </c>
      <c r="GN84" s="58">
        <v>12.666</v>
      </c>
      <c r="GO84" s="58">
        <v>7.58</v>
      </c>
      <c r="GP84" s="58">
        <v>8.8729999999999993</v>
      </c>
      <c r="GQ84" s="58">
        <v>6.3810000000000002</v>
      </c>
      <c r="GR84" s="58">
        <v>2.4910000000000001</v>
      </c>
      <c r="GS84" s="58">
        <v>38.295000000000002</v>
      </c>
      <c r="GT84" s="58">
        <v>18.920999999999999</v>
      </c>
      <c r="GU84" s="58">
        <v>19.373999999999999</v>
      </c>
      <c r="GV84" s="58">
        <v>187.11500000000001</v>
      </c>
      <c r="GW84" s="58">
        <v>97.87</v>
      </c>
      <c r="GX84" s="58">
        <v>89.245000000000005</v>
      </c>
      <c r="GY84" s="58">
        <v>67.266999999999996</v>
      </c>
      <c r="GZ84" s="58">
        <v>50.103999999999999</v>
      </c>
      <c r="HA84" s="58">
        <v>17.163</v>
      </c>
      <c r="HB84" s="58">
        <v>119.848</v>
      </c>
      <c r="HC84" s="58">
        <v>47.765999999999998</v>
      </c>
      <c r="HD84" s="58">
        <v>72.081999999999994</v>
      </c>
      <c r="HE84" s="58">
        <v>86.835999999999999</v>
      </c>
      <c r="HF84" s="58">
        <v>63.076999999999998</v>
      </c>
      <c r="HG84" s="58">
        <v>23.759</v>
      </c>
      <c r="HH84" s="58">
        <v>142.05199999999999</v>
      </c>
      <c r="HI84" s="58">
        <v>59.732999999999997</v>
      </c>
      <c r="HJ84" s="58">
        <v>82.319000000000003</v>
      </c>
      <c r="HK84" s="58">
        <v>140.09399999999999</v>
      </c>
      <c r="HL84" s="58">
        <v>60.430999999999997</v>
      </c>
      <c r="HM84" s="58">
        <v>79.662000000000006</v>
      </c>
      <c r="HN84" s="58">
        <v>254.22900000000001</v>
      </c>
      <c r="HO84" s="58">
        <v>133.34700000000001</v>
      </c>
      <c r="HP84" s="58">
        <v>120.883</v>
      </c>
      <c r="HQ84" s="58">
        <v>152.07900000000001</v>
      </c>
      <c r="HR84" s="58">
        <v>98.656999999999996</v>
      </c>
      <c r="HS84" s="58">
        <v>53.421999999999997</v>
      </c>
      <c r="HT84" s="58">
        <v>102.15</v>
      </c>
      <c r="HU84" s="58">
        <v>34.689</v>
      </c>
      <c r="HV84" s="58">
        <v>67.460999999999999</v>
      </c>
      <c r="HW84" s="58">
        <v>48.747999999999998</v>
      </c>
      <c r="HX84" s="58">
        <v>24.62</v>
      </c>
      <c r="HY84" s="58">
        <v>24.128</v>
      </c>
      <c r="HZ84" s="58">
        <v>14.988</v>
      </c>
      <c r="IA84" s="58">
        <v>8.3810000000000002</v>
      </c>
      <c r="IB84" s="58">
        <v>6.6070000000000002</v>
      </c>
      <c r="IC84" s="58">
        <v>6.7220000000000004</v>
      </c>
      <c r="ID84" s="58">
        <v>4.2510000000000003</v>
      </c>
      <c r="IE84" s="58">
        <v>2.4710000000000001</v>
      </c>
      <c r="IF84" s="58">
        <v>4.8019999999999996</v>
      </c>
      <c r="IG84" s="58">
        <v>2.7530000000000001</v>
      </c>
      <c r="IH84" s="58">
        <v>2.0489999999999999</v>
      </c>
      <c r="II84" s="58">
        <v>1.92</v>
      </c>
      <c r="IJ84" s="58">
        <v>1.498</v>
      </c>
      <c r="IK84" s="58">
        <v>0.42199999999999999</v>
      </c>
      <c r="IL84" s="58">
        <v>8.266</v>
      </c>
      <c r="IM84" s="58">
        <v>4.13</v>
      </c>
      <c r="IN84" s="58">
        <v>4.1360000000000001</v>
      </c>
      <c r="IO84" s="58">
        <v>39.783000000000001</v>
      </c>
      <c r="IP84" s="58">
        <v>19.789000000000001</v>
      </c>
      <c r="IQ84" s="58">
        <v>19.994</v>
      </c>
    </row>
    <row r="85" spans="1:251">
      <c r="A85" s="5">
        <v>44075</v>
      </c>
      <c r="B85" s="58">
        <v>1086.5239999999999</v>
      </c>
      <c r="C85" s="58">
        <v>1243.886</v>
      </c>
      <c r="D85" s="58">
        <v>418.709</v>
      </c>
      <c r="E85" s="58">
        <v>825.17700000000002</v>
      </c>
      <c r="F85" s="58">
        <v>696.52300000000002</v>
      </c>
      <c r="G85" s="58">
        <v>386.113</v>
      </c>
      <c r="H85" s="58">
        <v>310.41000000000003</v>
      </c>
      <c r="I85" s="58">
        <v>228.876</v>
      </c>
      <c r="J85" s="58">
        <v>139.095</v>
      </c>
      <c r="K85" s="58">
        <v>89.781000000000006</v>
      </c>
      <c r="L85" s="58">
        <v>131.17599999999999</v>
      </c>
      <c r="M85" s="58">
        <v>90.3</v>
      </c>
      <c r="N85" s="58">
        <v>40.875</v>
      </c>
      <c r="O85" s="58">
        <v>92.259</v>
      </c>
      <c r="P85" s="58">
        <v>63.151000000000003</v>
      </c>
      <c r="Q85" s="58">
        <v>29.106999999999999</v>
      </c>
      <c r="R85" s="58">
        <v>38.917000000000002</v>
      </c>
      <c r="S85" s="58">
        <v>27.149000000000001</v>
      </c>
      <c r="T85" s="58">
        <v>11.768000000000001</v>
      </c>
      <c r="U85" s="58">
        <v>97.7</v>
      </c>
      <c r="V85" s="58">
        <v>48.793999999999997</v>
      </c>
      <c r="W85" s="58">
        <v>48.905999999999999</v>
      </c>
      <c r="X85" s="58">
        <v>547.03800000000001</v>
      </c>
      <c r="Y85" s="58">
        <v>294.13</v>
      </c>
      <c r="Z85" s="58">
        <v>252.90799999999999</v>
      </c>
      <c r="AA85" s="58">
        <v>211.06</v>
      </c>
      <c r="AB85" s="58">
        <v>149.941</v>
      </c>
      <c r="AC85" s="58">
        <v>61.119</v>
      </c>
      <c r="AD85" s="58">
        <v>335.97800000000001</v>
      </c>
      <c r="AE85" s="58">
        <v>144.18899999999999</v>
      </c>
      <c r="AF85" s="58">
        <v>191.78800000000001</v>
      </c>
      <c r="AG85" s="58">
        <v>310.36700000000002</v>
      </c>
      <c r="AH85" s="58">
        <v>218.99299999999999</v>
      </c>
      <c r="AI85" s="58">
        <v>91.373999999999995</v>
      </c>
      <c r="AJ85" s="58">
        <v>386.15600000000001</v>
      </c>
      <c r="AK85" s="58">
        <v>167.12</v>
      </c>
      <c r="AL85" s="58">
        <v>219.036</v>
      </c>
      <c r="AM85" s="58">
        <v>428.23599999999999</v>
      </c>
      <c r="AN85" s="58">
        <v>207.34100000000001</v>
      </c>
      <c r="AO85" s="58">
        <v>220.89599999999999</v>
      </c>
      <c r="AP85" s="58">
        <v>3187.259</v>
      </c>
      <c r="AQ85" s="58">
        <v>1709.011</v>
      </c>
      <c r="AR85" s="58">
        <v>1478.2470000000001</v>
      </c>
      <c r="AS85" s="58">
        <v>2177.9180000000001</v>
      </c>
      <c r="AT85" s="58">
        <v>1378.8879999999999</v>
      </c>
      <c r="AU85" s="58">
        <v>799.03</v>
      </c>
      <c r="AV85" s="58">
        <v>1009.341</v>
      </c>
      <c r="AW85" s="58">
        <v>330.12400000000002</v>
      </c>
      <c r="AX85" s="58">
        <v>679.21699999999998</v>
      </c>
      <c r="AY85" s="58">
        <v>746.90700000000004</v>
      </c>
      <c r="AZ85" s="58">
        <v>432.88900000000001</v>
      </c>
      <c r="BA85" s="58">
        <v>314.01799999999997</v>
      </c>
      <c r="BB85" s="58">
        <v>411.27499999999998</v>
      </c>
      <c r="BC85" s="58">
        <v>237.71700000000001</v>
      </c>
      <c r="BD85" s="58">
        <v>173.55799999999999</v>
      </c>
      <c r="BE85" s="58">
        <v>255.815</v>
      </c>
      <c r="BF85" s="58">
        <v>181.155</v>
      </c>
      <c r="BG85" s="58">
        <v>74.66</v>
      </c>
      <c r="BH85" s="58">
        <v>216.12100000000001</v>
      </c>
      <c r="BI85" s="58">
        <v>146.56100000000001</v>
      </c>
      <c r="BJ85" s="58">
        <v>69.561000000000007</v>
      </c>
      <c r="BK85" s="58">
        <v>39.692999999999998</v>
      </c>
      <c r="BL85" s="58">
        <v>34.594000000000001</v>
      </c>
      <c r="BM85" s="58">
        <v>5.0990000000000002</v>
      </c>
      <c r="BN85" s="58">
        <v>155.46100000000001</v>
      </c>
      <c r="BO85" s="58">
        <v>56.563000000000002</v>
      </c>
      <c r="BP85" s="58">
        <v>98.897999999999996</v>
      </c>
      <c r="BQ85" s="58">
        <v>455.8</v>
      </c>
      <c r="BR85" s="58">
        <v>264.58199999999999</v>
      </c>
      <c r="BS85" s="58">
        <v>191.21799999999999</v>
      </c>
      <c r="BT85" s="58">
        <v>186.72200000000001</v>
      </c>
      <c r="BU85" s="58">
        <v>149.00899999999999</v>
      </c>
      <c r="BV85" s="58">
        <v>37.713999999999999</v>
      </c>
      <c r="BW85" s="58">
        <v>269.07799999999997</v>
      </c>
      <c r="BX85" s="58">
        <v>115.574</v>
      </c>
      <c r="BY85" s="58">
        <v>153.50399999999999</v>
      </c>
      <c r="BZ85" s="58">
        <v>387.01100000000002</v>
      </c>
      <c r="CA85" s="58">
        <v>283.10399999999998</v>
      </c>
      <c r="CB85" s="58">
        <v>103.908</v>
      </c>
      <c r="CC85" s="58">
        <v>359.89600000000002</v>
      </c>
      <c r="CD85" s="58">
        <v>149.785</v>
      </c>
      <c r="CE85" s="58">
        <v>210.11099999999999</v>
      </c>
      <c r="CF85" s="58">
        <v>485.19900000000001</v>
      </c>
      <c r="CG85" s="58">
        <v>262.13499999999999</v>
      </c>
      <c r="CH85" s="58">
        <v>223.06399999999999</v>
      </c>
      <c r="CI85" s="58">
        <v>2532.049</v>
      </c>
      <c r="CJ85" s="58">
        <v>1300.5830000000001</v>
      </c>
      <c r="CK85" s="58">
        <v>1231.4649999999999</v>
      </c>
      <c r="CL85" s="58">
        <v>1681.9880000000001</v>
      </c>
      <c r="CM85" s="58">
        <v>1028.559</v>
      </c>
      <c r="CN85" s="58">
        <v>653.42899999999997</v>
      </c>
      <c r="CO85" s="58">
        <v>850.06100000000004</v>
      </c>
      <c r="CP85" s="58">
        <v>272.02499999999998</v>
      </c>
      <c r="CQ85" s="58">
        <v>578.03599999999994</v>
      </c>
      <c r="CR85" s="58">
        <v>430.50200000000001</v>
      </c>
      <c r="CS85" s="58">
        <v>239.22900000000001</v>
      </c>
      <c r="CT85" s="58">
        <v>191.274</v>
      </c>
      <c r="CU85" s="58">
        <v>136.977</v>
      </c>
      <c r="CV85" s="58">
        <v>80.397000000000006</v>
      </c>
      <c r="CW85" s="58">
        <v>56.579000000000001</v>
      </c>
      <c r="CX85" s="58">
        <v>73.103999999999999</v>
      </c>
      <c r="CY85" s="58">
        <v>53.27</v>
      </c>
      <c r="CZ85" s="58">
        <v>19.834</v>
      </c>
      <c r="DA85" s="58">
        <v>52.674999999999997</v>
      </c>
      <c r="DB85" s="58">
        <v>37.319000000000003</v>
      </c>
      <c r="DC85" s="58">
        <v>15.356</v>
      </c>
      <c r="DD85" s="58">
        <v>20.428999999999998</v>
      </c>
      <c r="DE85" s="58">
        <v>15.951000000000001</v>
      </c>
      <c r="DF85" s="58">
        <v>4.4779999999999998</v>
      </c>
      <c r="DG85" s="58">
        <v>63.872</v>
      </c>
      <c r="DH85" s="58">
        <v>27.126999999999999</v>
      </c>
      <c r="DI85" s="58">
        <v>36.744999999999997</v>
      </c>
      <c r="DJ85" s="58">
        <v>345.73500000000001</v>
      </c>
      <c r="DK85" s="58">
        <v>185.99700000000001</v>
      </c>
      <c r="DL85" s="58">
        <v>159.73699999999999</v>
      </c>
      <c r="DM85" s="58">
        <v>121.017</v>
      </c>
      <c r="DN85" s="58">
        <v>91.456000000000003</v>
      </c>
      <c r="DO85" s="58">
        <v>29.56</v>
      </c>
      <c r="DP85" s="58">
        <v>224.71799999999999</v>
      </c>
      <c r="DQ85" s="58">
        <v>94.540999999999997</v>
      </c>
      <c r="DR85" s="58">
        <v>130.17699999999999</v>
      </c>
      <c r="DS85" s="58">
        <v>172.31299999999999</v>
      </c>
      <c r="DT85" s="58">
        <v>129.71299999999999</v>
      </c>
      <c r="DU85" s="58">
        <v>42.598999999999997</v>
      </c>
      <c r="DV85" s="58">
        <v>258.19</v>
      </c>
      <c r="DW85" s="58">
        <v>109.515</v>
      </c>
      <c r="DX85" s="58">
        <v>148.67400000000001</v>
      </c>
      <c r="DY85" s="58">
        <v>277.39299999999997</v>
      </c>
      <c r="DZ85" s="58">
        <v>131.86000000000001</v>
      </c>
      <c r="EA85" s="58">
        <v>145.53299999999999</v>
      </c>
      <c r="EB85" s="58">
        <v>845.09400000000005</v>
      </c>
      <c r="EC85" s="58">
        <v>438.59699999999998</v>
      </c>
      <c r="ED85" s="58">
        <v>406.49700000000001</v>
      </c>
      <c r="EE85" s="58">
        <v>534.83600000000001</v>
      </c>
      <c r="EF85" s="58">
        <v>340.50599999999997</v>
      </c>
      <c r="EG85" s="58">
        <v>194.32900000000001</v>
      </c>
      <c r="EH85" s="58">
        <v>310.25799999999998</v>
      </c>
      <c r="EI85" s="58">
        <v>98.090999999999994</v>
      </c>
      <c r="EJ85" s="58">
        <v>212.167</v>
      </c>
      <c r="EK85" s="58">
        <v>137.72</v>
      </c>
      <c r="EL85" s="58">
        <v>69.656999999999996</v>
      </c>
      <c r="EM85" s="58">
        <v>68.063000000000002</v>
      </c>
      <c r="EN85" s="58">
        <v>41.749000000000002</v>
      </c>
      <c r="EO85" s="58">
        <v>23.009</v>
      </c>
      <c r="EP85" s="58">
        <v>18.739999999999998</v>
      </c>
      <c r="EQ85" s="58">
        <v>19.193000000000001</v>
      </c>
      <c r="ER85" s="58">
        <v>12.785</v>
      </c>
      <c r="ES85" s="58">
        <v>6.4080000000000004</v>
      </c>
      <c r="ET85" s="58">
        <v>15.593</v>
      </c>
      <c r="EU85" s="58">
        <v>10.472</v>
      </c>
      <c r="EV85" s="58">
        <v>5.1219999999999999</v>
      </c>
      <c r="EW85" s="58">
        <v>3.6</v>
      </c>
      <c r="EX85" s="58">
        <v>2.3130000000000002</v>
      </c>
      <c r="EY85" s="58">
        <v>1.286</v>
      </c>
      <c r="EZ85" s="58">
        <v>22.556000000000001</v>
      </c>
      <c r="FA85" s="58">
        <v>10.224</v>
      </c>
      <c r="FB85" s="58">
        <v>12.332000000000001</v>
      </c>
      <c r="FC85" s="58">
        <v>111.108</v>
      </c>
      <c r="FD85" s="58">
        <v>55.131</v>
      </c>
      <c r="FE85" s="58">
        <v>55.978000000000002</v>
      </c>
      <c r="FF85" s="58">
        <v>29.515000000000001</v>
      </c>
      <c r="FG85" s="58">
        <v>20.420000000000002</v>
      </c>
      <c r="FH85" s="58">
        <v>9.0950000000000006</v>
      </c>
      <c r="FI85" s="58">
        <v>81.593999999999994</v>
      </c>
      <c r="FJ85" s="58">
        <v>34.710999999999999</v>
      </c>
      <c r="FK85" s="58">
        <v>46.881999999999998</v>
      </c>
      <c r="FL85" s="58">
        <v>44.527999999999999</v>
      </c>
      <c r="FM85" s="58">
        <v>30.300999999999998</v>
      </c>
      <c r="FN85" s="58">
        <v>14.227</v>
      </c>
      <c r="FO85" s="58">
        <v>93.191999999999993</v>
      </c>
      <c r="FP85" s="58">
        <v>39.356000000000002</v>
      </c>
      <c r="FQ85" s="58">
        <v>53.835999999999999</v>
      </c>
      <c r="FR85" s="58">
        <v>97.186999999999998</v>
      </c>
      <c r="FS85" s="58">
        <v>45.183</v>
      </c>
      <c r="FT85" s="58">
        <v>52.003999999999998</v>
      </c>
      <c r="FU85" s="58">
        <v>1349.912</v>
      </c>
      <c r="FV85" s="58">
        <v>720.98900000000003</v>
      </c>
      <c r="FW85" s="58">
        <v>628.923</v>
      </c>
      <c r="FX85" s="58">
        <v>893.22199999999998</v>
      </c>
      <c r="FY85" s="58">
        <v>590.63599999999997</v>
      </c>
      <c r="FZ85" s="58">
        <v>302.58600000000001</v>
      </c>
      <c r="GA85" s="58">
        <v>456.69</v>
      </c>
      <c r="GB85" s="58">
        <v>130.35300000000001</v>
      </c>
      <c r="GC85" s="58">
        <v>326.33699999999999</v>
      </c>
      <c r="GD85" s="58">
        <v>207.27500000000001</v>
      </c>
      <c r="GE85" s="58">
        <v>109.145</v>
      </c>
      <c r="GF85" s="58">
        <v>98.131</v>
      </c>
      <c r="GG85" s="58">
        <v>59.392000000000003</v>
      </c>
      <c r="GH85" s="58">
        <v>32.058999999999997</v>
      </c>
      <c r="GI85" s="58">
        <v>27.332999999999998</v>
      </c>
      <c r="GJ85" s="58">
        <v>26.591999999999999</v>
      </c>
      <c r="GK85" s="58">
        <v>18.96</v>
      </c>
      <c r="GL85" s="58">
        <v>7.6319999999999997</v>
      </c>
      <c r="GM85" s="58">
        <v>16.317</v>
      </c>
      <c r="GN85" s="58">
        <v>10.696</v>
      </c>
      <c r="GO85" s="58">
        <v>5.6210000000000004</v>
      </c>
      <c r="GP85" s="58">
        <v>10.275</v>
      </c>
      <c r="GQ85" s="58">
        <v>8.2639999999999993</v>
      </c>
      <c r="GR85" s="58">
        <v>2.0110000000000001</v>
      </c>
      <c r="GS85" s="58">
        <v>32.799999999999997</v>
      </c>
      <c r="GT85" s="58">
        <v>13.099</v>
      </c>
      <c r="GU85" s="58">
        <v>19.701000000000001</v>
      </c>
      <c r="GV85" s="58">
        <v>171.80799999999999</v>
      </c>
      <c r="GW85" s="58">
        <v>88.171000000000006</v>
      </c>
      <c r="GX85" s="58">
        <v>83.637</v>
      </c>
      <c r="GY85" s="58">
        <v>59.597000000000001</v>
      </c>
      <c r="GZ85" s="58">
        <v>43.618000000000002</v>
      </c>
      <c r="HA85" s="58">
        <v>15.978999999999999</v>
      </c>
      <c r="HB85" s="58">
        <v>112.211</v>
      </c>
      <c r="HC85" s="58">
        <v>44.552999999999997</v>
      </c>
      <c r="HD85" s="58">
        <v>67.658000000000001</v>
      </c>
      <c r="HE85" s="58">
        <v>78.760000000000005</v>
      </c>
      <c r="HF85" s="58">
        <v>57.137999999999998</v>
      </c>
      <c r="HG85" s="58">
        <v>21.623000000000001</v>
      </c>
      <c r="HH85" s="58">
        <v>128.51499999999999</v>
      </c>
      <c r="HI85" s="58">
        <v>52.006999999999998</v>
      </c>
      <c r="HJ85" s="58">
        <v>76.507999999999996</v>
      </c>
      <c r="HK85" s="58">
        <v>128.52799999999999</v>
      </c>
      <c r="HL85" s="58">
        <v>55.249000000000002</v>
      </c>
      <c r="HM85" s="58">
        <v>73.278999999999996</v>
      </c>
      <c r="HN85" s="58">
        <v>250.77500000000001</v>
      </c>
      <c r="HO85" s="58">
        <v>131.80699999999999</v>
      </c>
      <c r="HP85" s="58">
        <v>118.967</v>
      </c>
      <c r="HQ85" s="58">
        <v>152.01400000000001</v>
      </c>
      <c r="HR85" s="58">
        <v>98.656000000000006</v>
      </c>
      <c r="HS85" s="58">
        <v>53.357999999999997</v>
      </c>
      <c r="HT85" s="58">
        <v>98.76</v>
      </c>
      <c r="HU85" s="58">
        <v>33.151000000000003</v>
      </c>
      <c r="HV85" s="58">
        <v>65.608999999999995</v>
      </c>
      <c r="HW85" s="58">
        <v>43.618000000000002</v>
      </c>
      <c r="HX85" s="58">
        <v>23.54</v>
      </c>
      <c r="HY85" s="58">
        <v>20.077999999999999</v>
      </c>
      <c r="HZ85" s="58">
        <v>13.736000000000001</v>
      </c>
      <c r="IA85" s="58">
        <v>7.2720000000000002</v>
      </c>
      <c r="IB85" s="58">
        <v>6.4649999999999999</v>
      </c>
      <c r="IC85" s="58">
        <v>5.2859999999999996</v>
      </c>
      <c r="ID85" s="58">
        <v>3.641</v>
      </c>
      <c r="IE85" s="58">
        <v>1.645</v>
      </c>
      <c r="IF85" s="58">
        <v>3.7069999999999999</v>
      </c>
      <c r="IG85" s="58">
        <v>2.5569999999999999</v>
      </c>
      <c r="IH85" s="58">
        <v>1.1499999999999999</v>
      </c>
      <c r="II85" s="58">
        <v>1.579</v>
      </c>
      <c r="IJ85" s="58">
        <v>1.0840000000000001</v>
      </c>
      <c r="IK85" s="58">
        <v>0.495</v>
      </c>
      <c r="IL85" s="58">
        <v>8.4499999999999993</v>
      </c>
      <c r="IM85" s="58">
        <v>3.6309999999999998</v>
      </c>
      <c r="IN85" s="58">
        <v>4.82</v>
      </c>
      <c r="IO85" s="58">
        <v>36.299999999999997</v>
      </c>
      <c r="IP85" s="58">
        <v>19.521000000000001</v>
      </c>
      <c r="IQ85" s="58">
        <v>16.78</v>
      </c>
    </row>
    <row r="86" spans="1:251">
      <c r="A86" s="5">
        <v>44105</v>
      </c>
      <c r="B86" s="58">
        <v>1081.23</v>
      </c>
      <c r="C86" s="58">
        <v>1272.2260000000001</v>
      </c>
      <c r="D86" s="58">
        <v>428.09399999999999</v>
      </c>
      <c r="E86" s="58">
        <v>844.13199999999995</v>
      </c>
      <c r="F86" s="58">
        <v>648.73</v>
      </c>
      <c r="G86" s="58">
        <v>350.84399999999999</v>
      </c>
      <c r="H86" s="58">
        <v>297.88600000000002</v>
      </c>
      <c r="I86" s="58">
        <v>178.928</v>
      </c>
      <c r="J86" s="58">
        <v>110.676</v>
      </c>
      <c r="K86" s="58">
        <v>68.251999999999995</v>
      </c>
      <c r="L86" s="58">
        <v>94.774000000000001</v>
      </c>
      <c r="M86" s="58">
        <v>73.843000000000004</v>
      </c>
      <c r="N86" s="58">
        <v>20.931999999999999</v>
      </c>
      <c r="O86" s="58">
        <v>72.206999999999994</v>
      </c>
      <c r="P86" s="58">
        <v>53.579000000000001</v>
      </c>
      <c r="Q86" s="58">
        <v>18.628</v>
      </c>
      <c r="R86" s="58">
        <v>22.567</v>
      </c>
      <c r="S86" s="58">
        <v>20.263999999999999</v>
      </c>
      <c r="T86" s="58">
        <v>2.3039999999999998</v>
      </c>
      <c r="U86" s="58">
        <v>84.153999999999996</v>
      </c>
      <c r="V86" s="58">
        <v>36.832999999999998</v>
      </c>
      <c r="W86" s="58">
        <v>47.320999999999998</v>
      </c>
      <c r="X86" s="58">
        <v>540.49</v>
      </c>
      <c r="Y86" s="58">
        <v>282.72699999999998</v>
      </c>
      <c r="Z86" s="58">
        <v>257.76299999999998</v>
      </c>
      <c r="AA86" s="58">
        <v>213.214</v>
      </c>
      <c r="AB86" s="58">
        <v>150.714</v>
      </c>
      <c r="AC86" s="58">
        <v>62.5</v>
      </c>
      <c r="AD86" s="58">
        <v>327.27600000000001</v>
      </c>
      <c r="AE86" s="58">
        <v>132.01300000000001</v>
      </c>
      <c r="AF86" s="58">
        <v>195.26300000000001</v>
      </c>
      <c r="AG86" s="58">
        <v>278.52800000000002</v>
      </c>
      <c r="AH86" s="58">
        <v>201.08199999999999</v>
      </c>
      <c r="AI86" s="58">
        <v>77.445999999999998</v>
      </c>
      <c r="AJ86" s="58">
        <v>370.202</v>
      </c>
      <c r="AK86" s="58">
        <v>149.761</v>
      </c>
      <c r="AL86" s="58">
        <v>220.441</v>
      </c>
      <c r="AM86" s="58">
        <v>399.483</v>
      </c>
      <c r="AN86" s="58">
        <v>185.59200000000001</v>
      </c>
      <c r="AO86" s="58">
        <v>213.89099999999999</v>
      </c>
      <c r="AP86" s="58">
        <v>3270.902</v>
      </c>
      <c r="AQ86" s="58">
        <v>1769.3779999999999</v>
      </c>
      <c r="AR86" s="58">
        <v>1501.5250000000001</v>
      </c>
      <c r="AS86" s="58">
        <v>2229.1309999999999</v>
      </c>
      <c r="AT86" s="58">
        <v>1431.1120000000001</v>
      </c>
      <c r="AU86" s="58">
        <v>798.01900000000001</v>
      </c>
      <c r="AV86" s="58">
        <v>1041.771</v>
      </c>
      <c r="AW86" s="58">
        <v>338.26600000000002</v>
      </c>
      <c r="AX86" s="58">
        <v>703.505</v>
      </c>
      <c r="AY86" s="58">
        <v>690.85</v>
      </c>
      <c r="AZ86" s="58">
        <v>388.56599999999997</v>
      </c>
      <c r="BA86" s="58">
        <v>302.28500000000003</v>
      </c>
      <c r="BB86" s="58">
        <v>299.38299999999998</v>
      </c>
      <c r="BC86" s="58">
        <v>180.624</v>
      </c>
      <c r="BD86" s="58">
        <v>118.759</v>
      </c>
      <c r="BE86" s="58">
        <v>182.292</v>
      </c>
      <c r="BF86" s="58">
        <v>129.87299999999999</v>
      </c>
      <c r="BG86" s="58">
        <v>52.418999999999997</v>
      </c>
      <c r="BH86" s="58">
        <v>148.84399999999999</v>
      </c>
      <c r="BI86" s="58">
        <v>102.131</v>
      </c>
      <c r="BJ86" s="58">
        <v>46.713000000000001</v>
      </c>
      <c r="BK86" s="58">
        <v>33.448</v>
      </c>
      <c r="BL86" s="58">
        <v>27.741</v>
      </c>
      <c r="BM86" s="58">
        <v>5.7069999999999999</v>
      </c>
      <c r="BN86" s="58">
        <v>117.09099999999999</v>
      </c>
      <c r="BO86" s="58">
        <v>50.750999999999998</v>
      </c>
      <c r="BP86" s="58">
        <v>66.338999999999999</v>
      </c>
      <c r="BQ86" s="58">
        <v>501.61599999999999</v>
      </c>
      <c r="BR86" s="58">
        <v>270.50200000000001</v>
      </c>
      <c r="BS86" s="58">
        <v>231.114</v>
      </c>
      <c r="BT86" s="58">
        <v>208.17699999999999</v>
      </c>
      <c r="BU86" s="58">
        <v>158.80600000000001</v>
      </c>
      <c r="BV86" s="58">
        <v>49.371000000000002</v>
      </c>
      <c r="BW86" s="58">
        <v>293.43900000000002</v>
      </c>
      <c r="BX86" s="58">
        <v>111.696</v>
      </c>
      <c r="BY86" s="58">
        <v>181.74299999999999</v>
      </c>
      <c r="BZ86" s="58">
        <v>334.666</v>
      </c>
      <c r="CA86" s="58">
        <v>244.73</v>
      </c>
      <c r="CB86" s="58">
        <v>89.935000000000002</v>
      </c>
      <c r="CC86" s="58">
        <v>356.185</v>
      </c>
      <c r="CD86" s="58">
        <v>143.83500000000001</v>
      </c>
      <c r="CE86" s="58">
        <v>212.34899999999999</v>
      </c>
      <c r="CF86" s="58">
        <v>442.28300000000002</v>
      </c>
      <c r="CG86" s="58">
        <v>213.827</v>
      </c>
      <c r="CH86" s="58">
        <v>228.45500000000001</v>
      </c>
      <c r="CI86" s="58">
        <v>2564.8739999999998</v>
      </c>
      <c r="CJ86" s="58">
        <v>1324.7550000000001</v>
      </c>
      <c r="CK86" s="58">
        <v>1240.1189999999999</v>
      </c>
      <c r="CL86" s="58">
        <v>1704.348</v>
      </c>
      <c r="CM86" s="58">
        <v>1059.152</v>
      </c>
      <c r="CN86" s="58">
        <v>645.19600000000003</v>
      </c>
      <c r="CO86" s="58">
        <v>860.52599999999995</v>
      </c>
      <c r="CP86" s="58">
        <v>265.60300000000001</v>
      </c>
      <c r="CQ86" s="58">
        <v>594.923</v>
      </c>
      <c r="CR86" s="58">
        <v>383.84300000000002</v>
      </c>
      <c r="CS86" s="58">
        <v>204.048</v>
      </c>
      <c r="CT86" s="58">
        <v>179.79499999999999</v>
      </c>
      <c r="CU86" s="58">
        <v>102.254</v>
      </c>
      <c r="CV86" s="58">
        <v>58.011000000000003</v>
      </c>
      <c r="CW86" s="58">
        <v>44.241999999999997</v>
      </c>
      <c r="CX86" s="58">
        <v>49.731999999999999</v>
      </c>
      <c r="CY86" s="58">
        <v>35.454000000000001</v>
      </c>
      <c r="CZ86" s="58">
        <v>14.278</v>
      </c>
      <c r="DA86" s="58">
        <v>40.01</v>
      </c>
      <c r="DB86" s="58">
        <v>28.77</v>
      </c>
      <c r="DC86" s="58">
        <v>11.239000000000001</v>
      </c>
      <c r="DD86" s="58">
        <v>9.7219999999999995</v>
      </c>
      <c r="DE86" s="58">
        <v>6.6840000000000002</v>
      </c>
      <c r="DF86" s="58">
        <v>3.0379999999999998</v>
      </c>
      <c r="DG86" s="58">
        <v>52.521999999999998</v>
      </c>
      <c r="DH86" s="58">
        <v>22.556999999999999</v>
      </c>
      <c r="DI86" s="58">
        <v>29.963999999999999</v>
      </c>
      <c r="DJ86" s="58">
        <v>324.459</v>
      </c>
      <c r="DK86" s="58">
        <v>172.32300000000001</v>
      </c>
      <c r="DL86" s="58">
        <v>152.136</v>
      </c>
      <c r="DM86" s="58">
        <v>119.239</v>
      </c>
      <c r="DN86" s="58">
        <v>90.135999999999996</v>
      </c>
      <c r="DO86" s="58">
        <v>29.103000000000002</v>
      </c>
      <c r="DP86" s="58">
        <v>205.22</v>
      </c>
      <c r="DQ86" s="58">
        <v>82.186999999999998</v>
      </c>
      <c r="DR86" s="58">
        <v>123.033</v>
      </c>
      <c r="DS86" s="58">
        <v>153.91800000000001</v>
      </c>
      <c r="DT86" s="58">
        <v>114.044</v>
      </c>
      <c r="DU86" s="58">
        <v>39.874000000000002</v>
      </c>
      <c r="DV86" s="58">
        <v>229.92500000000001</v>
      </c>
      <c r="DW86" s="58">
        <v>90.004000000000005</v>
      </c>
      <c r="DX86" s="58">
        <v>139.92099999999999</v>
      </c>
      <c r="DY86" s="58">
        <v>245.23</v>
      </c>
      <c r="DZ86" s="58">
        <v>110.95699999999999</v>
      </c>
      <c r="EA86" s="58">
        <v>134.273</v>
      </c>
      <c r="EB86" s="58">
        <v>849.02800000000002</v>
      </c>
      <c r="EC86" s="58">
        <v>445.78500000000003</v>
      </c>
      <c r="ED86" s="58">
        <v>403.24200000000002</v>
      </c>
      <c r="EE86" s="58">
        <v>544.01400000000001</v>
      </c>
      <c r="EF86" s="58">
        <v>345.43400000000003</v>
      </c>
      <c r="EG86" s="58">
        <v>198.57900000000001</v>
      </c>
      <c r="EH86" s="58">
        <v>305.01400000000001</v>
      </c>
      <c r="EI86" s="58">
        <v>100.351</v>
      </c>
      <c r="EJ86" s="58">
        <v>204.66300000000001</v>
      </c>
      <c r="EK86" s="58">
        <v>129.64400000000001</v>
      </c>
      <c r="EL86" s="58">
        <v>65.289000000000001</v>
      </c>
      <c r="EM86" s="58">
        <v>64.355000000000004</v>
      </c>
      <c r="EN86" s="58">
        <v>33.792000000000002</v>
      </c>
      <c r="EO86" s="58">
        <v>20.885000000000002</v>
      </c>
      <c r="EP86" s="58">
        <v>12.907</v>
      </c>
      <c r="EQ86" s="58">
        <v>11.913</v>
      </c>
      <c r="ER86" s="58">
        <v>9.2780000000000005</v>
      </c>
      <c r="ES86" s="58">
        <v>2.6339999999999999</v>
      </c>
      <c r="ET86" s="58">
        <v>8.9960000000000004</v>
      </c>
      <c r="EU86" s="58">
        <v>7.2880000000000003</v>
      </c>
      <c r="EV86" s="58">
        <v>1.708</v>
      </c>
      <c r="EW86" s="58">
        <v>2.9169999999999998</v>
      </c>
      <c r="EX86" s="58">
        <v>1.99</v>
      </c>
      <c r="EY86" s="58">
        <v>0.92600000000000005</v>
      </c>
      <c r="EZ86" s="58">
        <v>21.879000000000001</v>
      </c>
      <c r="FA86" s="58">
        <v>11.606999999999999</v>
      </c>
      <c r="FB86" s="58">
        <v>10.273</v>
      </c>
      <c r="FC86" s="58">
        <v>110.633</v>
      </c>
      <c r="FD86" s="58">
        <v>53.347000000000001</v>
      </c>
      <c r="FE86" s="58">
        <v>57.286000000000001</v>
      </c>
      <c r="FF86" s="58">
        <v>31.597000000000001</v>
      </c>
      <c r="FG86" s="58">
        <v>23.173999999999999</v>
      </c>
      <c r="FH86" s="58">
        <v>8.423</v>
      </c>
      <c r="FI86" s="58">
        <v>79.036000000000001</v>
      </c>
      <c r="FJ86" s="58">
        <v>30.172999999999998</v>
      </c>
      <c r="FK86" s="58">
        <v>48.863</v>
      </c>
      <c r="FL86" s="58">
        <v>40.152999999999999</v>
      </c>
      <c r="FM86" s="58">
        <v>29.43</v>
      </c>
      <c r="FN86" s="58">
        <v>10.722</v>
      </c>
      <c r="FO86" s="58">
        <v>89.491</v>
      </c>
      <c r="FP86" s="58">
        <v>35.859000000000002</v>
      </c>
      <c r="FQ86" s="58">
        <v>53.631999999999998</v>
      </c>
      <c r="FR86" s="58">
        <v>88.031999999999996</v>
      </c>
      <c r="FS86" s="58">
        <v>37.460999999999999</v>
      </c>
      <c r="FT86" s="58">
        <v>50.570999999999998</v>
      </c>
      <c r="FU86" s="58">
        <v>1367.683</v>
      </c>
      <c r="FV86" s="58">
        <v>729.85599999999999</v>
      </c>
      <c r="FW86" s="58">
        <v>637.827</v>
      </c>
      <c r="FX86" s="58">
        <v>908.45899999999995</v>
      </c>
      <c r="FY86" s="58">
        <v>604.23299999999995</v>
      </c>
      <c r="FZ86" s="58">
        <v>304.22699999999998</v>
      </c>
      <c r="GA86" s="58">
        <v>459.22300000000001</v>
      </c>
      <c r="GB86" s="58">
        <v>125.623</v>
      </c>
      <c r="GC86" s="58">
        <v>333.6</v>
      </c>
      <c r="GD86" s="58">
        <v>202.75</v>
      </c>
      <c r="GE86" s="58">
        <v>103.602</v>
      </c>
      <c r="GF86" s="58">
        <v>99.147000000000006</v>
      </c>
      <c r="GG86" s="58">
        <v>37.590000000000003</v>
      </c>
      <c r="GH86" s="58">
        <v>21.163</v>
      </c>
      <c r="GI86" s="58">
        <v>16.427</v>
      </c>
      <c r="GJ86" s="58">
        <v>16.542000000000002</v>
      </c>
      <c r="GK86" s="58">
        <v>13.821</v>
      </c>
      <c r="GL86" s="58">
        <v>2.7210000000000001</v>
      </c>
      <c r="GM86" s="58">
        <v>10.33</v>
      </c>
      <c r="GN86" s="58">
        <v>8.8480000000000008</v>
      </c>
      <c r="GO86" s="58">
        <v>1.482</v>
      </c>
      <c r="GP86" s="58">
        <v>6.2119999999999997</v>
      </c>
      <c r="GQ86" s="58">
        <v>4.9729999999999999</v>
      </c>
      <c r="GR86" s="58">
        <v>1.2390000000000001</v>
      </c>
      <c r="GS86" s="58">
        <v>21.047999999999998</v>
      </c>
      <c r="GT86" s="58">
        <v>7.3419999999999996</v>
      </c>
      <c r="GU86" s="58">
        <v>13.705</v>
      </c>
      <c r="GV86" s="58">
        <v>181.76400000000001</v>
      </c>
      <c r="GW86" s="58">
        <v>91.575999999999993</v>
      </c>
      <c r="GX86" s="58">
        <v>90.186999999999998</v>
      </c>
      <c r="GY86" s="58">
        <v>73.968000000000004</v>
      </c>
      <c r="GZ86" s="58">
        <v>54.008000000000003</v>
      </c>
      <c r="HA86" s="58">
        <v>19.96</v>
      </c>
      <c r="HB86" s="58">
        <v>107.795</v>
      </c>
      <c r="HC86" s="58">
        <v>37.567999999999998</v>
      </c>
      <c r="HD86" s="58">
        <v>70.227000000000004</v>
      </c>
      <c r="HE86" s="58">
        <v>83.468999999999994</v>
      </c>
      <c r="HF86" s="58">
        <v>62.009</v>
      </c>
      <c r="HG86" s="58">
        <v>21.460999999999999</v>
      </c>
      <c r="HH86" s="58">
        <v>119.28</v>
      </c>
      <c r="HI86" s="58">
        <v>41.594000000000001</v>
      </c>
      <c r="HJ86" s="58">
        <v>77.686999999999998</v>
      </c>
      <c r="HK86" s="58">
        <v>118.125</v>
      </c>
      <c r="HL86" s="58">
        <v>46.415999999999997</v>
      </c>
      <c r="HM86" s="58">
        <v>71.709000000000003</v>
      </c>
      <c r="HN86" s="58">
        <v>250.71899999999999</v>
      </c>
      <c r="HO86" s="58">
        <v>132.90299999999999</v>
      </c>
      <c r="HP86" s="58">
        <v>117.816</v>
      </c>
      <c r="HQ86" s="58">
        <v>152.08099999999999</v>
      </c>
      <c r="HR86" s="58">
        <v>99.822999999999993</v>
      </c>
      <c r="HS86" s="58">
        <v>52.258000000000003</v>
      </c>
      <c r="HT86" s="58">
        <v>98.638000000000005</v>
      </c>
      <c r="HU86" s="58">
        <v>33.08</v>
      </c>
      <c r="HV86" s="58">
        <v>65.558000000000007</v>
      </c>
      <c r="HW86" s="58">
        <v>42.008000000000003</v>
      </c>
      <c r="HX86" s="58">
        <v>22.053999999999998</v>
      </c>
      <c r="HY86" s="58">
        <v>19.952999999999999</v>
      </c>
      <c r="HZ86" s="58">
        <v>9.2200000000000006</v>
      </c>
      <c r="IA86" s="58">
        <v>5.0590000000000002</v>
      </c>
      <c r="IB86" s="58">
        <v>4.1619999999999999</v>
      </c>
      <c r="IC86" s="58">
        <v>3.383</v>
      </c>
      <c r="ID86" s="58">
        <v>2.0419999999999998</v>
      </c>
      <c r="IE86" s="58">
        <v>1.341</v>
      </c>
      <c r="IF86" s="58">
        <v>2.9510000000000001</v>
      </c>
      <c r="IG86" s="58">
        <v>1.7849999999999999</v>
      </c>
      <c r="IH86" s="58">
        <v>1.1659999999999999</v>
      </c>
      <c r="II86" s="58">
        <v>0.432</v>
      </c>
      <c r="IJ86" s="58">
        <v>0.25700000000000001</v>
      </c>
      <c r="IK86" s="58">
        <v>0.17499999999999999</v>
      </c>
      <c r="IL86" s="58">
        <v>5.8369999999999997</v>
      </c>
      <c r="IM86" s="58">
        <v>3.016</v>
      </c>
      <c r="IN86" s="58">
        <v>2.8210000000000002</v>
      </c>
      <c r="IO86" s="58">
        <v>36.357999999999997</v>
      </c>
      <c r="IP86" s="58">
        <v>19.039000000000001</v>
      </c>
      <c r="IQ86" s="58">
        <v>17.32</v>
      </c>
    </row>
    <row r="87" spans="1:251">
      <c r="A87" s="5">
        <v>44136</v>
      </c>
      <c r="B87" s="58">
        <v>1117.2149999999999</v>
      </c>
      <c r="C87" s="58">
        <v>1246.579</v>
      </c>
      <c r="D87" s="58">
        <v>430.13099999999997</v>
      </c>
      <c r="E87" s="58">
        <v>816.44799999999998</v>
      </c>
      <c r="F87" s="58">
        <v>644.149</v>
      </c>
      <c r="G87" s="58">
        <v>352.55200000000002</v>
      </c>
      <c r="H87" s="58">
        <v>291.59699999999998</v>
      </c>
      <c r="I87" s="58">
        <v>162.786</v>
      </c>
      <c r="J87" s="58">
        <v>98.634</v>
      </c>
      <c r="K87" s="58">
        <v>64.152000000000001</v>
      </c>
      <c r="L87" s="58">
        <v>87.885999999999996</v>
      </c>
      <c r="M87" s="58">
        <v>67.102000000000004</v>
      </c>
      <c r="N87" s="58">
        <v>20.783999999999999</v>
      </c>
      <c r="O87" s="58">
        <v>64.421000000000006</v>
      </c>
      <c r="P87" s="58">
        <v>50.289000000000001</v>
      </c>
      <c r="Q87" s="58">
        <v>14.132</v>
      </c>
      <c r="R87" s="58">
        <v>23.465</v>
      </c>
      <c r="S87" s="58">
        <v>16.812999999999999</v>
      </c>
      <c r="T87" s="58">
        <v>6.6520000000000001</v>
      </c>
      <c r="U87" s="58">
        <v>74.900999999999996</v>
      </c>
      <c r="V87" s="58">
        <v>31.532</v>
      </c>
      <c r="W87" s="58">
        <v>43.368000000000002</v>
      </c>
      <c r="X87" s="58">
        <v>544.04999999999995</v>
      </c>
      <c r="Y87" s="58">
        <v>288.60599999999999</v>
      </c>
      <c r="Z87" s="58">
        <v>255.44399999999999</v>
      </c>
      <c r="AA87" s="58">
        <v>221.23099999999999</v>
      </c>
      <c r="AB87" s="58">
        <v>155.79300000000001</v>
      </c>
      <c r="AC87" s="58">
        <v>65.438000000000002</v>
      </c>
      <c r="AD87" s="58">
        <v>322.81900000000002</v>
      </c>
      <c r="AE87" s="58">
        <v>132.81299999999999</v>
      </c>
      <c r="AF87" s="58">
        <v>190.006</v>
      </c>
      <c r="AG87" s="58">
        <v>283.62700000000001</v>
      </c>
      <c r="AH87" s="58">
        <v>204.42099999999999</v>
      </c>
      <c r="AI87" s="58">
        <v>79.206000000000003</v>
      </c>
      <c r="AJ87" s="58">
        <v>360.52199999999999</v>
      </c>
      <c r="AK87" s="58">
        <v>148.131</v>
      </c>
      <c r="AL87" s="58">
        <v>212.39099999999999</v>
      </c>
      <c r="AM87" s="58">
        <v>387.23899999999998</v>
      </c>
      <c r="AN87" s="58">
        <v>183.101</v>
      </c>
      <c r="AO87" s="58">
        <v>204.13800000000001</v>
      </c>
      <c r="AP87" s="58">
        <v>3356.627</v>
      </c>
      <c r="AQ87" s="58">
        <v>1791.7919999999999</v>
      </c>
      <c r="AR87" s="58">
        <v>1564.835</v>
      </c>
      <c r="AS87" s="58">
        <v>2272.4609999999998</v>
      </c>
      <c r="AT87" s="58">
        <v>1447.2249999999999</v>
      </c>
      <c r="AU87" s="58">
        <v>825.23599999999999</v>
      </c>
      <c r="AV87" s="58">
        <v>1084.1659999999999</v>
      </c>
      <c r="AW87" s="58">
        <v>344.56700000000001</v>
      </c>
      <c r="AX87" s="58">
        <v>739.59900000000005</v>
      </c>
      <c r="AY87" s="58">
        <v>597.67600000000004</v>
      </c>
      <c r="AZ87" s="58">
        <v>327.62700000000001</v>
      </c>
      <c r="BA87" s="58">
        <v>270.04899999999998</v>
      </c>
      <c r="BB87" s="58">
        <v>208.16399999999999</v>
      </c>
      <c r="BC87" s="58">
        <v>120.303</v>
      </c>
      <c r="BD87" s="58">
        <v>87.861000000000004</v>
      </c>
      <c r="BE87" s="58">
        <v>113.289</v>
      </c>
      <c r="BF87" s="58">
        <v>78.262</v>
      </c>
      <c r="BG87" s="58">
        <v>35.027000000000001</v>
      </c>
      <c r="BH87" s="58">
        <v>86.706999999999994</v>
      </c>
      <c r="BI87" s="58">
        <v>56.005000000000003</v>
      </c>
      <c r="BJ87" s="58">
        <v>30.702000000000002</v>
      </c>
      <c r="BK87" s="58">
        <v>26.582999999999998</v>
      </c>
      <c r="BL87" s="58">
        <v>22.257999999999999</v>
      </c>
      <c r="BM87" s="58">
        <v>4.3250000000000002</v>
      </c>
      <c r="BN87" s="58">
        <v>94.875</v>
      </c>
      <c r="BO87" s="58">
        <v>42.04</v>
      </c>
      <c r="BP87" s="58">
        <v>52.834000000000003</v>
      </c>
      <c r="BQ87" s="58">
        <v>464.58</v>
      </c>
      <c r="BR87" s="58">
        <v>252.03899999999999</v>
      </c>
      <c r="BS87" s="58">
        <v>212.541</v>
      </c>
      <c r="BT87" s="58">
        <v>163.64500000000001</v>
      </c>
      <c r="BU87" s="58">
        <v>131.227</v>
      </c>
      <c r="BV87" s="58">
        <v>32.417999999999999</v>
      </c>
      <c r="BW87" s="58">
        <v>300.935</v>
      </c>
      <c r="BX87" s="58">
        <v>120.812</v>
      </c>
      <c r="BY87" s="58">
        <v>180.12299999999999</v>
      </c>
      <c r="BZ87" s="58">
        <v>252.20400000000001</v>
      </c>
      <c r="CA87" s="58">
        <v>188.262</v>
      </c>
      <c r="CB87" s="58">
        <v>63.941000000000003</v>
      </c>
      <c r="CC87" s="58">
        <v>345.47300000000001</v>
      </c>
      <c r="CD87" s="58">
        <v>139.36500000000001</v>
      </c>
      <c r="CE87" s="58">
        <v>206.108</v>
      </c>
      <c r="CF87" s="58">
        <v>387.64100000000002</v>
      </c>
      <c r="CG87" s="58">
        <v>176.81700000000001</v>
      </c>
      <c r="CH87" s="58">
        <v>210.82400000000001</v>
      </c>
      <c r="CI87" s="58">
        <v>2557.6190000000001</v>
      </c>
      <c r="CJ87" s="58">
        <v>1325.165</v>
      </c>
      <c r="CK87" s="58">
        <v>1232.454</v>
      </c>
      <c r="CL87" s="58">
        <v>1712.5550000000001</v>
      </c>
      <c r="CM87" s="58">
        <v>1060.3050000000001</v>
      </c>
      <c r="CN87" s="58">
        <v>652.25</v>
      </c>
      <c r="CO87" s="58">
        <v>845.06500000000005</v>
      </c>
      <c r="CP87" s="58">
        <v>264.86</v>
      </c>
      <c r="CQ87" s="58">
        <v>580.20399999999995</v>
      </c>
      <c r="CR87" s="58">
        <v>387.64499999999998</v>
      </c>
      <c r="CS87" s="58">
        <v>199.68299999999999</v>
      </c>
      <c r="CT87" s="58">
        <v>187.96199999999999</v>
      </c>
      <c r="CU87" s="58">
        <v>87.938999999999993</v>
      </c>
      <c r="CV87" s="58">
        <v>46.04</v>
      </c>
      <c r="CW87" s="58">
        <v>41.899000000000001</v>
      </c>
      <c r="CX87" s="58">
        <v>41.420999999999999</v>
      </c>
      <c r="CY87" s="58">
        <v>29.087</v>
      </c>
      <c r="CZ87" s="58">
        <v>12.334</v>
      </c>
      <c r="DA87" s="58">
        <v>30.446999999999999</v>
      </c>
      <c r="DB87" s="58">
        <v>19.379000000000001</v>
      </c>
      <c r="DC87" s="58">
        <v>11.068</v>
      </c>
      <c r="DD87" s="58">
        <v>10.974</v>
      </c>
      <c r="DE87" s="58">
        <v>9.7080000000000002</v>
      </c>
      <c r="DF87" s="58">
        <v>1.266</v>
      </c>
      <c r="DG87" s="58">
        <v>46.518000000000001</v>
      </c>
      <c r="DH87" s="58">
        <v>16.952999999999999</v>
      </c>
      <c r="DI87" s="58">
        <v>29.565000000000001</v>
      </c>
      <c r="DJ87" s="58">
        <v>337.02600000000001</v>
      </c>
      <c r="DK87" s="58">
        <v>176.05</v>
      </c>
      <c r="DL87" s="58">
        <v>160.976</v>
      </c>
      <c r="DM87" s="58">
        <v>114.10299999999999</v>
      </c>
      <c r="DN87" s="58">
        <v>84.343000000000004</v>
      </c>
      <c r="DO87" s="58">
        <v>29.76</v>
      </c>
      <c r="DP87" s="58">
        <v>222.923</v>
      </c>
      <c r="DQ87" s="58">
        <v>91.706999999999994</v>
      </c>
      <c r="DR87" s="58">
        <v>131.21600000000001</v>
      </c>
      <c r="DS87" s="58">
        <v>142.57400000000001</v>
      </c>
      <c r="DT87" s="58">
        <v>103.60299999999999</v>
      </c>
      <c r="DU87" s="58">
        <v>38.970999999999997</v>
      </c>
      <c r="DV87" s="58">
        <v>245.071</v>
      </c>
      <c r="DW87" s="58">
        <v>96.08</v>
      </c>
      <c r="DX87" s="58">
        <v>148.99100000000001</v>
      </c>
      <c r="DY87" s="58">
        <v>253.37</v>
      </c>
      <c r="DZ87" s="58">
        <v>111.086</v>
      </c>
      <c r="EA87" s="58">
        <v>142.28399999999999</v>
      </c>
      <c r="EB87" s="58">
        <v>854.202</v>
      </c>
      <c r="EC87" s="58">
        <v>449.76499999999999</v>
      </c>
      <c r="ED87" s="58">
        <v>404.43700000000001</v>
      </c>
      <c r="EE87" s="58">
        <v>550.08500000000004</v>
      </c>
      <c r="EF87" s="58">
        <v>353.60399999999998</v>
      </c>
      <c r="EG87" s="58">
        <v>196.48099999999999</v>
      </c>
      <c r="EH87" s="58">
        <v>304.11700000000002</v>
      </c>
      <c r="EI87" s="58">
        <v>96.161000000000001</v>
      </c>
      <c r="EJ87" s="58">
        <v>207.95599999999999</v>
      </c>
      <c r="EK87" s="58">
        <v>141.62700000000001</v>
      </c>
      <c r="EL87" s="58">
        <v>71.421999999999997</v>
      </c>
      <c r="EM87" s="58">
        <v>70.203999999999994</v>
      </c>
      <c r="EN87" s="58">
        <v>38.298000000000002</v>
      </c>
      <c r="EO87" s="58">
        <v>23.277999999999999</v>
      </c>
      <c r="EP87" s="58">
        <v>15.02</v>
      </c>
      <c r="EQ87" s="58">
        <v>17.593</v>
      </c>
      <c r="ER87" s="58">
        <v>14.206</v>
      </c>
      <c r="ES87" s="58">
        <v>3.3879999999999999</v>
      </c>
      <c r="ET87" s="58">
        <v>11.579000000000001</v>
      </c>
      <c r="EU87" s="58">
        <v>9.2460000000000004</v>
      </c>
      <c r="EV87" s="58">
        <v>2.3330000000000002</v>
      </c>
      <c r="EW87" s="58">
        <v>6.0140000000000002</v>
      </c>
      <c r="EX87" s="58">
        <v>4.96</v>
      </c>
      <c r="EY87" s="58">
        <v>1.054</v>
      </c>
      <c r="EZ87" s="58">
        <v>20.704000000000001</v>
      </c>
      <c r="FA87" s="58">
        <v>9.0719999999999992</v>
      </c>
      <c r="FB87" s="58">
        <v>11.632</v>
      </c>
      <c r="FC87" s="58">
        <v>117.593</v>
      </c>
      <c r="FD87" s="58">
        <v>56.914999999999999</v>
      </c>
      <c r="FE87" s="58">
        <v>60.677999999999997</v>
      </c>
      <c r="FF87" s="58">
        <v>34.072000000000003</v>
      </c>
      <c r="FG87" s="58">
        <v>25.280999999999999</v>
      </c>
      <c r="FH87" s="58">
        <v>8.7910000000000004</v>
      </c>
      <c r="FI87" s="58">
        <v>83.521000000000001</v>
      </c>
      <c r="FJ87" s="58">
        <v>31.634</v>
      </c>
      <c r="FK87" s="58">
        <v>51.886000000000003</v>
      </c>
      <c r="FL87" s="58">
        <v>47.481000000000002</v>
      </c>
      <c r="FM87" s="58">
        <v>35.783999999999999</v>
      </c>
      <c r="FN87" s="58">
        <v>11.696999999999999</v>
      </c>
      <c r="FO87" s="58">
        <v>94.144999999999996</v>
      </c>
      <c r="FP87" s="58">
        <v>35.637999999999998</v>
      </c>
      <c r="FQ87" s="58">
        <v>58.506999999999998</v>
      </c>
      <c r="FR87" s="58">
        <v>95.1</v>
      </c>
      <c r="FS87" s="58">
        <v>40.880000000000003</v>
      </c>
      <c r="FT87" s="58">
        <v>54.22</v>
      </c>
      <c r="FU87" s="58">
        <v>1385.4749999999999</v>
      </c>
      <c r="FV87" s="58">
        <v>739.03599999999994</v>
      </c>
      <c r="FW87" s="58">
        <v>646.43899999999996</v>
      </c>
      <c r="FX87" s="58">
        <v>925.26700000000005</v>
      </c>
      <c r="FY87" s="58">
        <v>611.05100000000004</v>
      </c>
      <c r="FZ87" s="58">
        <v>314.21600000000001</v>
      </c>
      <c r="GA87" s="58">
        <v>460.209</v>
      </c>
      <c r="GB87" s="58">
        <v>127.986</v>
      </c>
      <c r="GC87" s="58">
        <v>332.22300000000001</v>
      </c>
      <c r="GD87" s="58">
        <v>184.12700000000001</v>
      </c>
      <c r="GE87" s="58">
        <v>95.593999999999994</v>
      </c>
      <c r="GF87" s="58">
        <v>88.533000000000001</v>
      </c>
      <c r="GG87" s="58">
        <v>41.177999999999997</v>
      </c>
      <c r="GH87" s="58">
        <v>24.34</v>
      </c>
      <c r="GI87" s="58">
        <v>16.838000000000001</v>
      </c>
      <c r="GJ87" s="58">
        <v>17.655999999999999</v>
      </c>
      <c r="GK87" s="58">
        <v>14.147</v>
      </c>
      <c r="GL87" s="58">
        <v>3.5089999999999999</v>
      </c>
      <c r="GM87" s="58">
        <v>9.9109999999999996</v>
      </c>
      <c r="GN87" s="58">
        <v>7.8330000000000002</v>
      </c>
      <c r="GO87" s="58">
        <v>2.0779999999999998</v>
      </c>
      <c r="GP87" s="58">
        <v>7.7450000000000001</v>
      </c>
      <c r="GQ87" s="58">
        <v>6.3150000000000004</v>
      </c>
      <c r="GR87" s="58">
        <v>1.431</v>
      </c>
      <c r="GS87" s="58">
        <v>23.521999999999998</v>
      </c>
      <c r="GT87" s="58">
        <v>10.192</v>
      </c>
      <c r="GU87" s="58">
        <v>13.33</v>
      </c>
      <c r="GV87" s="58">
        <v>162.77099999999999</v>
      </c>
      <c r="GW87" s="58">
        <v>82.161000000000001</v>
      </c>
      <c r="GX87" s="58">
        <v>80.61</v>
      </c>
      <c r="GY87" s="58">
        <v>60.412999999999997</v>
      </c>
      <c r="GZ87" s="58">
        <v>44.134999999999998</v>
      </c>
      <c r="HA87" s="58">
        <v>16.277999999999999</v>
      </c>
      <c r="HB87" s="58">
        <v>102.358</v>
      </c>
      <c r="HC87" s="58">
        <v>38.026000000000003</v>
      </c>
      <c r="HD87" s="58">
        <v>64.331999999999994</v>
      </c>
      <c r="HE87" s="58">
        <v>72.313999999999993</v>
      </c>
      <c r="HF87" s="58">
        <v>53.731000000000002</v>
      </c>
      <c r="HG87" s="58">
        <v>18.582999999999998</v>
      </c>
      <c r="HH87" s="58">
        <v>111.813</v>
      </c>
      <c r="HI87" s="58">
        <v>41.863</v>
      </c>
      <c r="HJ87" s="58">
        <v>69.95</v>
      </c>
      <c r="HK87" s="58">
        <v>112.268</v>
      </c>
      <c r="HL87" s="58">
        <v>45.859000000000002</v>
      </c>
      <c r="HM87" s="58">
        <v>66.41</v>
      </c>
      <c r="HN87" s="58">
        <v>254.166</v>
      </c>
      <c r="HO87" s="58">
        <v>133.78200000000001</v>
      </c>
      <c r="HP87" s="58">
        <v>120.384</v>
      </c>
      <c r="HQ87" s="58">
        <v>153.273</v>
      </c>
      <c r="HR87" s="58">
        <v>100.47199999999999</v>
      </c>
      <c r="HS87" s="58">
        <v>52.801000000000002</v>
      </c>
      <c r="HT87" s="58">
        <v>100.893</v>
      </c>
      <c r="HU87" s="58">
        <v>33.31</v>
      </c>
      <c r="HV87" s="58">
        <v>67.582999999999998</v>
      </c>
      <c r="HW87" s="58">
        <v>43.076000000000001</v>
      </c>
      <c r="HX87" s="58">
        <v>22.99</v>
      </c>
      <c r="HY87" s="58">
        <v>20.087</v>
      </c>
      <c r="HZ87" s="58">
        <v>9.5869999999999997</v>
      </c>
      <c r="IA87" s="58">
        <v>5.3570000000000002</v>
      </c>
      <c r="IB87" s="58">
        <v>4.2300000000000004</v>
      </c>
      <c r="IC87" s="58">
        <v>3.7</v>
      </c>
      <c r="ID87" s="58">
        <v>2.657</v>
      </c>
      <c r="IE87" s="58">
        <v>1.0429999999999999</v>
      </c>
      <c r="IF87" s="58">
        <v>2.5379999999999998</v>
      </c>
      <c r="IG87" s="58">
        <v>1.667</v>
      </c>
      <c r="IH87" s="58">
        <v>0.87</v>
      </c>
      <c r="II87" s="58">
        <v>1.163</v>
      </c>
      <c r="IJ87" s="58">
        <v>0.99</v>
      </c>
      <c r="IK87" s="58">
        <v>0.17199999999999999</v>
      </c>
      <c r="IL87" s="58">
        <v>5.8869999999999996</v>
      </c>
      <c r="IM87" s="58">
        <v>2.6989999999999998</v>
      </c>
      <c r="IN87" s="58">
        <v>3.1869999999999998</v>
      </c>
      <c r="IO87" s="58">
        <v>38.262</v>
      </c>
      <c r="IP87" s="58">
        <v>20.279</v>
      </c>
      <c r="IQ87" s="58">
        <v>17.983000000000001</v>
      </c>
    </row>
    <row r="88" spans="1:251">
      <c r="A88" s="5">
        <v>44166</v>
      </c>
      <c r="B88" s="58">
        <v>1136.5170000000001</v>
      </c>
      <c r="C88" s="58">
        <v>1243.365</v>
      </c>
      <c r="D88" s="58">
        <v>432.94799999999998</v>
      </c>
      <c r="E88" s="58">
        <v>810.41700000000003</v>
      </c>
      <c r="F88" s="58">
        <v>621.11599999999999</v>
      </c>
      <c r="G88" s="58">
        <v>338.23</v>
      </c>
      <c r="H88" s="58">
        <v>282.88600000000002</v>
      </c>
      <c r="I88" s="58">
        <v>155.49100000000001</v>
      </c>
      <c r="J88" s="58">
        <v>92.05</v>
      </c>
      <c r="K88" s="58">
        <v>63.441000000000003</v>
      </c>
      <c r="L88" s="58">
        <v>77.484999999999999</v>
      </c>
      <c r="M88" s="58">
        <v>60.585000000000001</v>
      </c>
      <c r="N88" s="58">
        <v>16.899999999999999</v>
      </c>
      <c r="O88" s="58">
        <v>52.732999999999997</v>
      </c>
      <c r="P88" s="58">
        <v>39.222000000000001</v>
      </c>
      <c r="Q88" s="58">
        <v>13.510999999999999</v>
      </c>
      <c r="R88" s="58">
        <v>24.751999999999999</v>
      </c>
      <c r="S88" s="58">
        <v>21.363</v>
      </c>
      <c r="T88" s="58">
        <v>3.3889999999999998</v>
      </c>
      <c r="U88" s="58">
        <v>78.004999999999995</v>
      </c>
      <c r="V88" s="58">
        <v>31.465</v>
      </c>
      <c r="W88" s="58">
        <v>46.540999999999997</v>
      </c>
      <c r="X88" s="58">
        <v>523.25199999999995</v>
      </c>
      <c r="Y88" s="58">
        <v>280.33199999999999</v>
      </c>
      <c r="Z88" s="58">
        <v>242.92</v>
      </c>
      <c r="AA88" s="58">
        <v>194.75800000000001</v>
      </c>
      <c r="AB88" s="58">
        <v>141.88499999999999</v>
      </c>
      <c r="AC88" s="58">
        <v>52.872999999999998</v>
      </c>
      <c r="AD88" s="58">
        <v>328.49400000000003</v>
      </c>
      <c r="AE88" s="58">
        <v>138.447</v>
      </c>
      <c r="AF88" s="58">
        <v>190.047</v>
      </c>
      <c r="AG88" s="58">
        <v>254.654</v>
      </c>
      <c r="AH88" s="58">
        <v>187.17</v>
      </c>
      <c r="AI88" s="58">
        <v>67.483999999999995</v>
      </c>
      <c r="AJ88" s="58">
        <v>366.46199999999999</v>
      </c>
      <c r="AK88" s="58">
        <v>151.06</v>
      </c>
      <c r="AL88" s="58">
        <v>215.40199999999999</v>
      </c>
      <c r="AM88" s="58">
        <v>381.22699999999998</v>
      </c>
      <c r="AN88" s="58">
        <v>177.66900000000001</v>
      </c>
      <c r="AO88" s="58">
        <v>203.55799999999999</v>
      </c>
      <c r="AP88" s="58">
        <v>3394.8910000000001</v>
      </c>
      <c r="AQ88" s="58">
        <v>1799.7239999999999</v>
      </c>
      <c r="AR88" s="58">
        <v>1595.1669999999999</v>
      </c>
      <c r="AS88" s="58">
        <v>2307.3150000000001</v>
      </c>
      <c r="AT88" s="58">
        <v>1458.943</v>
      </c>
      <c r="AU88" s="58">
        <v>848.37199999999996</v>
      </c>
      <c r="AV88" s="58">
        <v>1087.576</v>
      </c>
      <c r="AW88" s="58">
        <v>340.78100000000001</v>
      </c>
      <c r="AX88" s="58">
        <v>746.79499999999996</v>
      </c>
      <c r="AY88" s="58">
        <v>556.05200000000002</v>
      </c>
      <c r="AZ88" s="58">
        <v>300.26799999999997</v>
      </c>
      <c r="BA88" s="58">
        <v>255.78399999999999</v>
      </c>
      <c r="BB88" s="58">
        <v>150.077</v>
      </c>
      <c r="BC88" s="58">
        <v>82.027000000000001</v>
      </c>
      <c r="BD88" s="58">
        <v>68.05</v>
      </c>
      <c r="BE88" s="58">
        <v>82.271000000000001</v>
      </c>
      <c r="BF88" s="58">
        <v>58.204000000000001</v>
      </c>
      <c r="BG88" s="58">
        <v>24.067</v>
      </c>
      <c r="BH88" s="58">
        <v>58.55</v>
      </c>
      <c r="BI88" s="58">
        <v>40.665999999999997</v>
      </c>
      <c r="BJ88" s="58">
        <v>17.884</v>
      </c>
      <c r="BK88" s="58">
        <v>23.721</v>
      </c>
      <c r="BL88" s="58">
        <v>17.538</v>
      </c>
      <c r="BM88" s="58">
        <v>6.1829999999999998</v>
      </c>
      <c r="BN88" s="58">
        <v>67.805999999999997</v>
      </c>
      <c r="BO88" s="58">
        <v>23.823</v>
      </c>
      <c r="BP88" s="58">
        <v>43.982999999999997</v>
      </c>
      <c r="BQ88" s="58">
        <v>459.447</v>
      </c>
      <c r="BR88" s="58">
        <v>249.387</v>
      </c>
      <c r="BS88" s="58">
        <v>210.06</v>
      </c>
      <c r="BT88" s="58">
        <v>164.89699999999999</v>
      </c>
      <c r="BU88" s="58">
        <v>135.48099999999999</v>
      </c>
      <c r="BV88" s="58">
        <v>29.414999999999999</v>
      </c>
      <c r="BW88" s="58">
        <v>294.55099999999999</v>
      </c>
      <c r="BX88" s="58">
        <v>113.905</v>
      </c>
      <c r="BY88" s="58">
        <v>180.64500000000001</v>
      </c>
      <c r="BZ88" s="58">
        <v>224.28899999999999</v>
      </c>
      <c r="CA88" s="58">
        <v>174.25399999999999</v>
      </c>
      <c r="CB88" s="58">
        <v>50.034999999999997</v>
      </c>
      <c r="CC88" s="58">
        <v>331.76299999999998</v>
      </c>
      <c r="CD88" s="58">
        <v>126.014</v>
      </c>
      <c r="CE88" s="58">
        <v>205.749</v>
      </c>
      <c r="CF88" s="58">
        <v>353.101</v>
      </c>
      <c r="CG88" s="58">
        <v>154.571</v>
      </c>
      <c r="CH88" s="58">
        <v>198.529</v>
      </c>
      <c r="CI88" s="58">
        <v>2600.6729999999998</v>
      </c>
      <c r="CJ88" s="58">
        <v>1344.25</v>
      </c>
      <c r="CK88" s="58">
        <v>1256.423</v>
      </c>
      <c r="CL88" s="58">
        <v>1762.05</v>
      </c>
      <c r="CM88" s="58">
        <v>1077.242</v>
      </c>
      <c r="CN88" s="58">
        <v>684.80799999999999</v>
      </c>
      <c r="CO88" s="58">
        <v>838.62300000000005</v>
      </c>
      <c r="CP88" s="58">
        <v>267.00799999999998</v>
      </c>
      <c r="CQ88" s="58">
        <v>571.61500000000001</v>
      </c>
      <c r="CR88" s="58">
        <v>372.59</v>
      </c>
      <c r="CS88" s="58">
        <v>190.815</v>
      </c>
      <c r="CT88" s="58">
        <v>181.774</v>
      </c>
      <c r="CU88" s="58">
        <v>68.034999999999997</v>
      </c>
      <c r="CV88" s="58">
        <v>37.999000000000002</v>
      </c>
      <c r="CW88" s="58">
        <v>30.036999999999999</v>
      </c>
      <c r="CX88" s="58">
        <v>28.385999999999999</v>
      </c>
      <c r="CY88" s="58">
        <v>20.228999999999999</v>
      </c>
      <c r="CZ88" s="58">
        <v>8.157</v>
      </c>
      <c r="DA88" s="58">
        <v>21.125</v>
      </c>
      <c r="DB88" s="58">
        <v>14.430999999999999</v>
      </c>
      <c r="DC88" s="58">
        <v>6.694</v>
      </c>
      <c r="DD88" s="58">
        <v>7.2610000000000001</v>
      </c>
      <c r="DE88" s="58">
        <v>5.798</v>
      </c>
      <c r="DF88" s="58">
        <v>1.4630000000000001</v>
      </c>
      <c r="DG88" s="58">
        <v>39.649000000000001</v>
      </c>
      <c r="DH88" s="58">
        <v>17.768999999999998</v>
      </c>
      <c r="DI88" s="58">
        <v>21.88</v>
      </c>
      <c r="DJ88" s="58">
        <v>333.49200000000002</v>
      </c>
      <c r="DK88" s="58">
        <v>169.92500000000001</v>
      </c>
      <c r="DL88" s="58">
        <v>163.56700000000001</v>
      </c>
      <c r="DM88" s="58">
        <v>107.732</v>
      </c>
      <c r="DN88" s="58">
        <v>80.625</v>
      </c>
      <c r="DO88" s="58">
        <v>27.106999999999999</v>
      </c>
      <c r="DP88" s="58">
        <v>225.75899999999999</v>
      </c>
      <c r="DQ88" s="58">
        <v>89.299000000000007</v>
      </c>
      <c r="DR88" s="58">
        <v>136.46</v>
      </c>
      <c r="DS88" s="58">
        <v>128.42599999999999</v>
      </c>
      <c r="DT88" s="58">
        <v>94.307000000000002</v>
      </c>
      <c r="DU88" s="58">
        <v>34.119</v>
      </c>
      <c r="DV88" s="58">
        <v>244.16300000000001</v>
      </c>
      <c r="DW88" s="58">
        <v>96.507999999999996</v>
      </c>
      <c r="DX88" s="58">
        <v>147.65600000000001</v>
      </c>
      <c r="DY88" s="58">
        <v>246.88499999999999</v>
      </c>
      <c r="DZ88" s="58">
        <v>103.73099999999999</v>
      </c>
      <c r="EA88" s="58">
        <v>143.154</v>
      </c>
      <c r="EB88" s="58">
        <v>859.24599999999998</v>
      </c>
      <c r="EC88" s="58">
        <v>450.10300000000001</v>
      </c>
      <c r="ED88" s="58">
        <v>409.14299999999997</v>
      </c>
      <c r="EE88" s="58">
        <v>564.63599999999997</v>
      </c>
      <c r="EF88" s="58">
        <v>357.82400000000001</v>
      </c>
      <c r="EG88" s="58">
        <v>206.81200000000001</v>
      </c>
      <c r="EH88" s="58">
        <v>294.61099999999999</v>
      </c>
      <c r="EI88" s="58">
        <v>92.278999999999996</v>
      </c>
      <c r="EJ88" s="58">
        <v>202.33099999999999</v>
      </c>
      <c r="EK88" s="58">
        <v>134.93100000000001</v>
      </c>
      <c r="EL88" s="58">
        <v>66.593999999999994</v>
      </c>
      <c r="EM88" s="58">
        <v>68.337999999999994</v>
      </c>
      <c r="EN88" s="58">
        <v>31.988</v>
      </c>
      <c r="EO88" s="58">
        <v>18.295999999999999</v>
      </c>
      <c r="EP88" s="58">
        <v>13.693</v>
      </c>
      <c r="EQ88" s="58">
        <v>12.967000000000001</v>
      </c>
      <c r="ER88" s="58">
        <v>9.4879999999999995</v>
      </c>
      <c r="ES88" s="58">
        <v>3.48</v>
      </c>
      <c r="ET88" s="58">
        <v>10.545</v>
      </c>
      <c r="EU88" s="58">
        <v>7.8159999999999998</v>
      </c>
      <c r="EV88" s="58">
        <v>2.7290000000000001</v>
      </c>
      <c r="EW88" s="58">
        <v>2.4220000000000002</v>
      </c>
      <c r="EX88" s="58">
        <v>1.6719999999999999</v>
      </c>
      <c r="EY88" s="58">
        <v>0.751</v>
      </c>
      <c r="EZ88" s="58">
        <v>19.021000000000001</v>
      </c>
      <c r="FA88" s="58">
        <v>8.8079999999999998</v>
      </c>
      <c r="FB88" s="58">
        <v>10.212999999999999</v>
      </c>
      <c r="FC88" s="58">
        <v>120.227</v>
      </c>
      <c r="FD88" s="58">
        <v>58.015000000000001</v>
      </c>
      <c r="FE88" s="58">
        <v>62.213000000000001</v>
      </c>
      <c r="FF88" s="58">
        <v>36.304000000000002</v>
      </c>
      <c r="FG88" s="58">
        <v>26.088999999999999</v>
      </c>
      <c r="FH88" s="58">
        <v>10.215</v>
      </c>
      <c r="FI88" s="58">
        <v>83.924000000000007</v>
      </c>
      <c r="FJ88" s="58">
        <v>31.925999999999998</v>
      </c>
      <c r="FK88" s="58">
        <v>51.997999999999998</v>
      </c>
      <c r="FL88" s="58">
        <v>45.47</v>
      </c>
      <c r="FM88" s="58">
        <v>32.567</v>
      </c>
      <c r="FN88" s="58">
        <v>12.903</v>
      </c>
      <c r="FO88" s="58">
        <v>89.460999999999999</v>
      </c>
      <c r="FP88" s="58">
        <v>34.026000000000003</v>
      </c>
      <c r="FQ88" s="58">
        <v>55.435000000000002</v>
      </c>
      <c r="FR88" s="58">
        <v>94.468000000000004</v>
      </c>
      <c r="FS88" s="58">
        <v>39.741</v>
      </c>
      <c r="FT88" s="58">
        <v>54.726999999999997</v>
      </c>
      <c r="FU88" s="58">
        <v>1389.4570000000001</v>
      </c>
      <c r="FV88" s="58">
        <v>737.44299999999998</v>
      </c>
      <c r="FW88" s="58">
        <v>652.01400000000001</v>
      </c>
      <c r="FX88" s="58">
        <v>935.41899999999998</v>
      </c>
      <c r="FY88" s="58">
        <v>615.49900000000002</v>
      </c>
      <c r="FZ88" s="58">
        <v>319.92</v>
      </c>
      <c r="GA88" s="58">
        <v>454.03899999999999</v>
      </c>
      <c r="GB88" s="58">
        <v>121.94499999999999</v>
      </c>
      <c r="GC88" s="58">
        <v>332.09399999999999</v>
      </c>
      <c r="GD88" s="58">
        <v>190.072</v>
      </c>
      <c r="GE88" s="58">
        <v>91.159000000000006</v>
      </c>
      <c r="GF88" s="58">
        <v>98.912999999999997</v>
      </c>
      <c r="GG88" s="58">
        <v>39.848999999999997</v>
      </c>
      <c r="GH88" s="58">
        <v>19.469000000000001</v>
      </c>
      <c r="GI88" s="58">
        <v>20.38</v>
      </c>
      <c r="GJ88" s="58">
        <v>15.728999999999999</v>
      </c>
      <c r="GK88" s="58">
        <v>10.567</v>
      </c>
      <c r="GL88" s="58">
        <v>5.1630000000000003</v>
      </c>
      <c r="GM88" s="58">
        <v>10.513999999999999</v>
      </c>
      <c r="GN88" s="58">
        <v>7.4950000000000001</v>
      </c>
      <c r="GO88" s="58">
        <v>3.0190000000000001</v>
      </c>
      <c r="GP88" s="58">
        <v>5.2149999999999999</v>
      </c>
      <c r="GQ88" s="58">
        <v>3.0720000000000001</v>
      </c>
      <c r="GR88" s="58">
        <v>2.1429999999999998</v>
      </c>
      <c r="GS88" s="58">
        <v>24.12</v>
      </c>
      <c r="GT88" s="58">
        <v>8.9019999999999992</v>
      </c>
      <c r="GU88" s="58">
        <v>15.218</v>
      </c>
      <c r="GV88" s="58">
        <v>164.58</v>
      </c>
      <c r="GW88" s="58">
        <v>78.992000000000004</v>
      </c>
      <c r="GX88" s="58">
        <v>85.587999999999994</v>
      </c>
      <c r="GY88" s="58">
        <v>56.29</v>
      </c>
      <c r="GZ88" s="58">
        <v>44.353999999999999</v>
      </c>
      <c r="HA88" s="58">
        <v>11.936</v>
      </c>
      <c r="HB88" s="58">
        <v>108.291</v>
      </c>
      <c r="HC88" s="58">
        <v>34.639000000000003</v>
      </c>
      <c r="HD88" s="58">
        <v>73.652000000000001</v>
      </c>
      <c r="HE88" s="58">
        <v>67.150999999999996</v>
      </c>
      <c r="HF88" s="58">
        <v>51.604999999999997</v>
      </c>
      <c r="HG88" s="58">
        <v>15.547000000000001</v>
      </c>
      <c r="HH88" s="58">
        <v>122.92100000000001</v>
      </c>
      <c r="HI88" s="58">
        <v>39.554000000000002</v>
      </c>
      <c r="HJ88" s="58">
        <v>83.367000000000004</v>
      </c>
      <c r="HK88" s="58">
        <v>118.80500000000001</v>
      </c>
      <c r="HL88" s="58">
        <v>42.133000000000003</v>
      </c>
      <c r="HM88" s="58">
        <v>76.671000000000006</v>
      </c>
      <c r="HN88" s="58">
        <v>256.50299999999999</v>
      </c>
      <c r="HO88" s="58">
        <v>133.44900000000001</v>
      </c>
      <c r="HP88" s="58">
        <v>123.054</v>
      </c>
      <c r="HQ88" s="58">
        <v>159.71799999999999</v>
      </c>
      <c r="HR88" s="58">
        <v>101.27800000000001</v>
      </c>
      <c r="HS88" s="58">
        <v>58.44</v>
      </c>
      <c r="HT88" s="58">
        <v>96.784999999999997</v>
      </c>
      <c r="HU88" s="58">
        <v>32.170999999999999</v>
      </c>
      <c r="HV88" s="58">
        <v>64.614999999999995</v>
      </c>
      <c r="HW88" s="58">
        <v>42.582000000000001</v>
      </c>
      <c r="HX88" s="58">
        <v>22.492000000000001</v>
      </c>
      <c r="HY88" s="58">
        <v>20.088999999999999</v>
      </c>
      <c r="HZ88" s="58">
        <v>7.6520000000000001</v>
      </c>
      <c r="IA88" s="58">
        <v>4.0990000000000002</v>
      </c>
      <c r="IB88" s="58">
        <v>3.5529999999999999</v>
      </c>
      <c r="IC88" s="58">
        <v>2.8479999999999999</v>
      </c>
      <c r="ID88" s="58">
        <v>1.335</v>
      </c>
      <c r="IE88" s="58">
        <v>1.5129999999999999</v>
      </c>
      <c r="IF88" s="58">
        <v>1.75</v>
      </c>
      <c r="IG88" s="58">
        <v>0.71299999999999997</v>
      </c>
      <c r="IH88" s="58">
        <v>1.0369999999999999</v>
      </c>
      <c r="II88" s="58">
        <v>1.097</v>
      </c>
      <c r="IJ88" s="58">
        <v>0.622</v>
      </c>
      <c r="IK88" s="58">
        <v>0.47599999999999998</v>
      </c>
      <c r="IL88" s="58">
        <v>4.8040000000000003</v>
      </c>
      <c r="IM88" s="58">
        <v>2.7650000000000001</v>
      </c>
      <c r="IN88" s="58">
        <v>2.04</v>
      </c>
      <c r="IO88" s="58">
        <v>37.811999999999998</v>
      </c>
      <c r="IP88" s="58">
        <v>20.248000000000001</v>
      </c>
      <c r="IQ88" s="58">
        <v>17.562999999999999</v>
      </c>
    </row>
    <row r="89" spans="1:251">
      <c r="A89" s="5">
        <v>44197</v>
      </c>
      <c r="B89" s="58">
        <v>1103.3900000000001</v>
      </c>
      <c r="C89" s="58">
        <v>1184.3389999999999</v>
      </c>
      <c r="D89" s="58">
        <v>408.12700000000001</v>
      </c>
      <c r="E89" s="58">
        <v>776.21199999999999</v>
      </c>
      <c r="F89" s="58">
        <v>598.42999999999995</v>
      </c>
      <c r="G89" s="58">
        <v>330.96100000000001</v>
      </c>
      <c r="H89" s="58">
        <v>267.46899999999999</v>
      </c>
      <c r="I89" s="58">
        <v>172.13900000000001</v>
      </c>
      <c r="J89" s="58">
        <v>96.042000000000002</v>
      </c>
      <c r="K89" s="58">
        <v>76.096999999999994</v>
      </c>
      <c r="L89" s="58">
        <v>83.516999999999996</v>
      </c>
      <c r="M89" s="58">
        <v>58.982999999999997</v>
      </c>
      <c r="N89" s="58">
        <v>24.533999999999999</v>
      </c>
      <c r="O89" s="58">
        <v>56.956000000000003</v>
      </c>
      <c r="P89" s="58">
        <v>39.954000000000001</v>
      </c>
      <c r="Q89" s="58">
        <v>17.003</v>
      </c>
      <c r="R89" s="58">
        <v>26.561</v>
      </c>
      <c r="S89" s="58">
        <v>19.03</v>
      </c>
      <c r="T89" s="58">
        <v>7.5309999999999997</v>
      </c>
      <c r="U89" s="58">
        <v>88.622</v>
      </c>
      <c r="V89" s="58">
        <v>37.058999999999997</v>
      </c>
      <c r="W89" s="58">
        <v>51.564</v>
      </c>
      <c r="X89" s="58">
        <v>505.351</v>
      </c>
      <c r="Y89" s="58">
        <v>278.74400000000003</v>
      </c>
      <c r="Z89" s="58">
        <v>226.60599999999999</v>
      </c>
      <c r="AA89" s="58">
        <v>201.33</v>
      </c>
      <c r="AB89" s="58">
        <v>150.97499999999999</v>
      </c>
      <c r="AC89" s="58">
        <v>50.353999999999999</v>
      </c>
      <c r="AD89" s="58">
        <v>304.02100000000002</v>
      </c>
      <c r="AE89" s="58">
        <v>127.76900000000001</v>
      </c>
      <c r="AF89" s="58">
        <v>176.25200000000001</v>
      </c>
      <c r="AG89" s="58">
        <v>258.19299999999998</v>
      </c>
      <c r="AH89" s="58">
        <v>190.08099999999999</v>
      </c>
      <c r="AI89" s="58">
        <v>68.111000000000004</v>
      </c>
      <c r="AJ89" s="58">
        <v>340.238</v>
      </c>
      <c r="AK89" s="58">
        <v>140.88</v>
      </c>
      <c r="AL89" s="58">
        <v>199.358</v>
      </c>
      <c r="AM89" s="58">
        <v>360.97699999999998</v>
      </c>
      <c r="AN89" s="58">
        <v>167.72200000000001</v>
      </c>
      <c r="AO89" s="58">
        <v>193.255</v>
      </c>
      <c r="AP89" s="58">
        <v>3361.502</v>
      </c>
      <c r="AQ89" s="58">
        <v>1786.41</v>
      </c>
      <c r="AR89" s="58">
        <v>1575.0920000000001</v>
      </c>
      <c r="AS89" s="58">
        <v>2297.4380000000001</v>
      </c>
      <c r="AT89" s="58">
        <v>1439.0139999999999</v>
      </c>
      <c r="AU89" s="58">
        <v>858.42399999999998</v>
      </c>
      <c r="AV89" s="58">
        <v>1064.0640000000001</v>
      </c>
      <c r="AW89" s="58">
        <v>347.39600000000002</v>
      </c>
      <c r="AX89" s="58">
        <v>716.66800000000001</v>
      </c>
      <c r="AY89" s="58">
        <v>523.08000000000004</v>
      </c>
      <c r="AZ89" s="58">
        <v>287.45800000000003</v>
      </c>
      <c r="BA89" s="58">
        <v>235.62200000000001</v>
      </c>
      <c r="BB89" s="58">
        <v>142.959</v>
      </c>
      <c r="BC89" s="58">
        <v>84.269000000000005</v>
      </c>
      <c r="BD89" s="58">
        <v>58.69</v>
      </c>
      <c r="BE89" s="58">
        <v>75.912999999999997</v>
      </c>
      <c r="BF89" s="58">
        <v>56.534999999999997</v>
      </c>
      <c r="BG89" s="58">
        <v>19.376999999999999</v>
      </c>
      <c r="BH89" s="58">
        <v>49.698</v>
      </c>
      <c r="BI89" s="58">
        <v>35.930999999999997</v>
      </c>
      <c r="BJ89" s="58">
        <v>13.766999999999999</v>
      </c>
      <c r="BK89" s="58">
        <v>26.213999999999999</v>
      </c>
      <c r="BL89" s="58">
        <v>20.603999999999999</v>
      </c>
      <c r="BM89" s="58">
        <v>5.61</v>
      </c>
      <c r="BN89" s="58">
        <v>67.046999999999997</v>
      </c>
      <c r="BO89" s="58">
        <v>27.734000000000002</v>
      </c>
      <c r="BP89" s="58">
        <v>39.313000000000002</v>
      </c>
      <c r="BQ89" s="58">
        <v>423.87299999999999</v>
      </c>
      <c r="BR89" s="58">
        <v>228.24</v>
      </c>
      <c r="BS89" s="58">
        <v>195.63300000000001</v>
      </c>
      <c r="BT89" s="58">
        <v>154.95400000000001</v>
      </c>
      <c r="BU89" s="58">
        <v>119.384</v>
      </c>
      <c r="BV89" s="58">
        <v>35.57</v>
      </c>
      <c r="BW89" s="58">
        <v>268.91899999999998</v>
      </c>
      <c r="BX89" s="58">
        <v>108.85599999999999</v>
      </c>
      <c r="BY89" s="58">
        <v>160.06299999999999</v>
      </c>
      <c r="BZ89" s="58">
        <v>215.71899999999999</v>
      </c>
      <c r="CA89" s="58">
        <v>164.40700000000001</v>
      </c>
      <c r="CB89" s="58">
        <v>51.311999999999998</v>
      </c>
      <c r="CC89" s="58">
        <v>307.36099999999999</v>
      </c>
      <c r="CD89" s="58">
        <v>123.051</v>
      </c>
      <c r="CE89" s="58">
        <v>184.31</v>
      </c>
      <c r="CF89" s="58">
        <v>318.61799999999999</v>
      </c>
      <c r="CG89" s="58">
        <v>144.78800000000001</v>
      </c>
      <c r="CH89" s="58">
        <v>173.83</v>
      </c>
      <c r="CI89" s="58">
        <v>2552.7280000000001</v>
      </c>
      <c r="CJ89" s="58">
        <v>1326.864</v>
      </c>
      <c r="CK89" s="58">
        <v>1225.864</v>
      </c>
      <c r="CL89" s="58">
        <v>1732.386</v>
      </c>
      <c r="CM89" s="58">
        <v>1065.77</v>
      </c>
      <c r="CN89" s="58">
        <v>666.61599999999999</v>
      </c>
      <c r="CO89" s="58">
        <v>820.34199999999998</v>
      </c>
      <c r="CP89" s="58">
        <v>261.09399999999999</v>
      </c>
      <c r="CQ89" s="58">
        <v>559.24800000000005</v>
      </c>
      <c r="CR89" s="58">
        <v>411.55799999999999</v>
      </c>
      <c r="CS89" s="58">
        <v>217.333</v>
      </c>
      <c r="CT89" s="58">
        <v>194.22399999999999</v>
      </c>
      <c r="CU89" s="58">
        <v>108.764</v>
      </c>
      <c r="CV89" s="58">
        <v>65.858000000000004</v>
      </c>
      <c r="CW89" s="58">
        <v>42.905999999999999</v>
      </c>
      <c r="CX89" s="58">
        <v>49.116999999999997</v>
      </c>
      <c r="CY89" s="58">
        <v>38.270000000000003</v>
      </c>
      <c r="CZ89" s="58">
        <v>10.847</v>
      </c>
      <c r="DA89" s="58">
        <v>30.225000000000001</v>
      </c>
      <c r="DB89" s="58">
        <v>21.527000000000001</v>
      </c>
      <c r="DC89" s="58">
        <v>8.6980000000000004</v>
      </c>
      <c r="DD89" s="58">
        <v>18.891999999999999</v>
      </c>
      <c r="DE89" s="58">
        <v>16.742999999999999</v>
      </c>
      <c r="DF89" s="58">
        <v>2.15</v>
      </c>
      <c r="DG89" s="58">
        <v>59.646999999999998</v>
      </c>
      <c r="DH89" s="58">
        <v>27.588000000000001</v>
      </c>
      <c r="DI89" s="58">
        <v>32.058</v>
      </c>
      <c r="DJ89" s="58">
        <v>344.94400000000002</v>
      </c>
      <c r="DK89" s="58">
        <v>176.453</v>
      </c>
      <c r="DL89" s="58">
        <v>168.49100000000001</v>
      </c>
      <c r="DM89" s="58">
        <v>122</v>
      </c>
      <c r="DN89" s="58">
        <v>85.076999999999998</v>
      </c>
      <c r="DO89" s="58">
        <v>36.923000000000002</v>
      </c>
      <c r="DP89" s="58">
        <v>222.94399999999999</v>
      </c>
      <c r="DQ89" s="58">
        <v>91.376000000000005</v>
      </c>
      <c r="DR89" s="58">
        <v>131.56800000000001</v>
      </c>
      <c r="DS89" s="58">
        <v>160.09</v>
      </c>
      <c r="DT89" s="58">
        <v>114.301</v>
      </c>
      <c r="DU89" s="58">
        <v>45.79</v>
      </c>
      <c r="DV89" s="58">
        <v>251.46700000000001</v>
      </c>
      <c r="DW89" s="58">
        <v>103.032</v>
      </c>
      <c r="DX89" s="58">
        <v>148.435</v>
      </c>
      <c r="DY89" s="58">
        <v>253.16900000000001</v>
      </c>
      <c r="DZ89" s="58">
        <v>112.90300000000001</v>
      </c>
      <c r="EA89" s="58">
        <v>140.26599999999999</v>
      </c>
      <c r="EB89" s="58">
        <v>830.49</v>
      </c>
      <c r="EC89" s="58">
        <v>439.34300000000002</v>
      </c>
      <c r="ED89" s="58">
        <v>391.14699999999999</v>
      </c>
      <c r="EE89" s="58">
        <v>547.298</v>
      </c>
      <c r="EF89" s="58">
        <v>348.50099999999998</v>
      </c>
      <c r="EG89" s="58">
        <v>198.798</v>
      </c>
      <c r="EH89" s="58">
        <v>283.19099999999997</v>
      </c>
      <c r="EI89" s="58">
        <v>90.841999999999999</v>
      </c>
      <c r="EJ89" s="58">
        <v>192.34899999999999</v>
      </c>
      <c r="EK89" s="58">
        <v>124.045</v>
      </c>
      <c r="EL89" s="58">
        <v>67.394999999999996</v>
      </c>
      <c r="EM89" s="58">
        <v>56.65</v>
      </c>
      <c r="EN89" s="58">
        <v>29.265999999999998</v>
      </c>
      <c r="EO89" s="58">
        <v>18.401</v>
      </c>
      <c r="EP89" s="58">
        <v>10.865</v>
      </c>
      <c r="EQ89" s="58">
        <v>12.756</v>
      </c>
      <c r="ER89" s="58">
        <v>10.63</v>
      </c>
      <c r="ES89" s="58">
        <v>2.1259999999999999</v>
      </c>
      <c r="ET89" s="58">
        <v>7.97</v>
      </c>
      <c r="EU89" s="58">
        <v>6.3570000000000002</v>
      </c>
      <c r="EV89" s="58">
        <v>1.613</v>
      </c>
      <c r="EW89" s="58">
        <v>4.7859999999999996</v>
      </c>
      <c r="EX89" s="58">
        <v>4.2720000000000002</v>
      </c>
      <c r="EY89" s="58">
        <v>0.51300000000000001</v>
      </c>
      <c r="EZ89" s="58">
        <v>16.510000000000002</v>
      </c>
      <c r="FA89" s="58">
        <v>7.7709999999999999</v>
      </c>
      <c r="FB89" s="58">
        <v>8.7390000000000008</v>
      </c>
      <c r="FC89" s="58">
        <v>106.233</v>
      </c>
      <c r="FD89" s="58">
        <v>55.542000000000002</v>
      </c>
      <c r="FE89" s="58">
        <v>50.691000000000003</v>
      </c>
      <c r="FF89" s="58">
        <v>33.987000000000002</v>
      </c>
      <c r="FG89" s="58">
        <v>24.135999999999999</v>
      </c>
      <c r="FH89" s="58">
        <v>9.8510000000000009</v>
      </c>
      <c r="FI89" s="58">
        <v>72.245999999999995</v>
      </c>
      <c r="FJ89" s="58">
        <v>31.405999999999999</v>
      </c>
      <c r="FK89" s="58">
        <v>40.840000000000003</v>
      </c>
      <c r="FL89" s="58">
        <v>43.865000000000002</v>
      </c>
      <c r="FM89" s="58">
        <v>32.524999999999999</v>
      </c>
      <c r="FN89" s="58">
        <v>11.34</v>
      </c>
      <c r="FO89" s="58">
        <v>80.180000000000007</v>
      </c>
      <c r="FP89" s="58">
        <v>34.869999999999997</v>
      </c>
      <c r="FQ89" s="58">
        <v>45.31</v>
      </c>
      <c r="FR89" s="58">
        <v>80.215999999999994</v>
      </c>
      <c r="FS89" s="58">
        <v>37.762999999999998</v>
      </c>
      <c r="FT89" s="58">
        <v>42.453000000000003</v>
      </c>
      <c r="FU89" s="58">
        <v>1352.24</v>
      </c>
      <c r="FV89" s="58">
        <v>722.74900000000002</v>
      </c>
      <c r="FW89" s="58">
        <v>629.49099999999999</v>
      </c>
      <c r="FX89" s="58">
        <v>911.48900000000003</v>
      </c>
      <c r="FY89" s="58">
        <v>596.34299999999996</v>
      </c>
      <c r="FZ89" s="58">
        <v>315.14600000000002</v>
      </c>
      <c r="GA89" s="58">
        <v>440.75</v>
      </c>
      <c r="GB89" s="58">
        <v>126.40600000000001</v>
      </c>
      <c r="GC89" s="58">
        <v>314.34500000000003</v>
      </c>
      <c r="GD89" s="58">
        <v>183.535</v>
      </c>
      <c r="GE89" s="58">
        <v>90.585999999999999</v>
      </c>
      <c r="GF89" s="58">
        <v>92.95</v>
      </c>
      <c r="GG89" s="58">
        <v>45.179000000000002</v>
      </c>
      <c r="GH89" s="58">
        <v>22.042000000000002</v>
      </c>
      <c r="GI89" s="58">
        <v>23.137</v>
      </c>
      <c r="GJ89" s="58">
        <v>18.829000000000001</v>
      </c>
      <c r="GK89" s="58">
        <v>11.303000000000001</v>
      </c>
      <c r="GL89" s="58">
        <v>7.5259999999999998</v>
      </c>
      <c r="GM89" s="58">
        <v>9.4659999999999993</v>
      </c>
      <c r="GN89" s="58">
        <v>5.1130000000000004</v>
      </c>
      <c r="GO89" s="58">
        <v>4.3520000000000003</v>
      </c>
      <c r="GP89" s="58">
        <v>9.3640000000000008</v>
      </c>
      <c r="GQ89" s="58">
        <v>6.19</v>
      </c>
      <c r="GR89" s="58">
        <v>3.1739999999999999</v>
      </c>
      <c r="GS89" s="58">
        <v>26.35</v>
      </c>
      <c r="GT89" s="58">
        <v>10.739000000000001</v>
      </c>
      <c r="GU89" s="58">
        <v>15.611000000000001</v>
      </c>
      <c r="GV89" s="58">
        <v>156.12200000000001</v>
      </c>
      <c r="GW89" s="58">
        <v>77.046000000000006</v>
      </c>
      <c r="GX89" s="58">
        <v>79.076999999999998</v>
      </c>
      <c r="GY89" s="58">
        <v>58.381999999999998</v>
      </c>
      <c r="GZ89" s="58">
        <v>43.326999999999998</v>
      </c>
      <c r="HA89" s="58">
        <v>15.054</v>
      </c>
      <c r="HB89" s="58">
        <v>97.741</v>
      </c>
      <c r="HC89" s="58">
        <v>33.718000000000004</v>
      </c>
      <c r="HD89" s="58">
        <v>64.022000000000006</v>
      </c>
      <c r="HE89" s="58">
        <v>73.66</v>
      </c>
      <c r="HF89" s="58">
        <v>51.415999999999997</v>
      </c>
      <c r="HG89" s="58">
        <v>22.244</v>
      </c>
      <c r="HH89" s="58">
        <v>109.875</v>
      </c>
      <c r="HI89" s="58">
        <v>39.17</v>
      </c>
      <c r="HJ89" s="58">
        <v>70.706000000000003</v>
      </c>
      <c r="HK89" s="58">
        <v>107.206</v>
      </c>
      <c r="HL89" s="58">
        <v>38.832000000000001</v>
      </c>
      <c r="HM89" s="58">
        <v>68.375</v>
      </c>
      <c r="HN89" s="58">
        <v>254.66900000000001</v>
      </c>
      <c r="HO89" s="58">
        <v>134.21799999999999</v>
      </c>
      <c r="HP89" s="58">
        <v>120.45099999999999</v>
      </c>
      <c r="HQ89" s="58">
        <v>161.148</v>
      </c>
      <c r="HR89" s="58">
        <v>103.625</v>
      </c>
      <c r="HS89" s="58">
        <v>57.523000000000003</v>
      </c>
      <c r="HT89" s="58">
        <v>93.52</v>
      </c>
      <c r="HU89" s="58">
        <v>30.593</v>
      </c>
      <c r="HV89" s="58">
        <v>62.927</v>
      </c>
      <c r="HW89" s="58">
        <v>37.491999999999997</v>
      </c>
      <c r="HX89" s="58">
        <v>19.878</v>
      </c>
      <c r="HY89" s="58">
        <v>17.614000000000001</v>
      </c>
      <c r="HZ89" s="58">
        <v>8.0399999999999991</v>
      </c>
      <c r="IA89" s="58">
        <v>3.6509999999999998</v>
      </c>
      <c r="IB89" s="58">
        <v>4.3890000000000002</v>
      </c>
      <c r="IC89" s="58">
        <v>3.0019999999999998</v>
      </c>
      <c r="ID89" s="58">
        <v>1.7909999999999999</v>
      </c>
      <c r="IE89" s="58">
        <v>1.2110000000000001</v>
      </c>
      <c r="IF89" s="58">
        <v>1.927</v>
      </c>
      <c r="IG89" s="58">
        <v>0.94</v>
      </c>
      <c r="IH89" s="58">
        <v>0.98699999999999999</v>
      </c>
      <c r="II89" s="58">
        <v>1.075</v>
      </c>
      <c r="IJ89" s="58">
        <v>0.85099999999999998</v>
      </c>
      <c r="IK89" s="58">
        <v>0.224</v>
      </c>
      <c r="IL89" s="58">
        <v>5.0380000000000003</v>
      </c>
      <c r="IM89" s="58">
        <v>1.86</v>
      </c>
      <c r="IN89" s="58">
        <v>3.1779999999999999</v>
      </c>
      <c r="IO89" s="58">
        <v>33.707999999999998</v>
      </c>
      <c r="IP89" s="58">
        <v>17.640999999999998</v>
      </c>
      <c r="IQ89" s="58">
        <v>16.067</v>
      </c>
    </row>
    <row r="90" spans="1:251">
      <c r="A90" s="5">
        <v>44228</v>
      </c>
      <c r="B90" s="58">
        <v>1139.672</v>
      </c>
      <c r="C90" s="58">
        <v>1238.0429999999999</v>
      </c>
      <c r="D90" s="58">
        <v>427.45</v>
      </c>
      <c r="E90" s="58">
        <v>810.59299999999996</v>
      </c>
      <c r="F90" s="58">
        <v>587.76099999999997</v>
      </c>
      <c r="G90" s="58">
        <v>333.60899999999998</v>
      </c>
      <c r="H90" s="58">
        <v>254.15199999999999</v>
      </c>
      <c r="I90" s="58">
        <v>159.4</v>
      </c>
      <c r="J90" s="58">
        <v>94.918000000000006</v>
      </c>
      <c r="K90" s="58">
        <v>64.481999999999999</v>
      </c>
      <c r="L90" s="58">
        <v>68.423000000000002</v>
      </c>
      <c r="M90" s="58">
        <v>53.805</v>
      </c>
      <c r="N90" s="58">
        <v>14.618</v>
      </c>
      <c r="O90" s="58">
        <v>44.825000000000003</v>
      </c>
      <c r="P90" s="58">
        <v>35.758000000000003</v>
      </c>
      <c r="Q90" s="58">
        <v>9.0670000000000002</v>
      </c>
      <c r="R90" s="58">
        <v>23.597999999999999</v>
      </c>
      <c r="S90" s="58">
        <v>18.047000000000001</v>
      </c>
      <c r="T90" s="58">
        <v>5.5510000000000002</v>
      </c>
      <c r="U90" s="58">
        <v>90.977000000000004</v>
      </c>
      <c r="V90" s="58">
        <v>41.113</v>
      </c>
      <c r="W90" s="58">
        <v>49.863999999999997</v>
      </c>
      <c r="X90" s="58">
        <v>498.76400000000001</v>
      </c>
      <c r="Y90" s="58">
        <v>278.94299999999998</v>
      </c>
      <c r="Z90" s="58">
        <v>219.82</v>
      </c>
      <c r="AA90" s="58">
        <v>192.54599999999999</v>
      </c>
      <c r="AB90" s="58">
        <v>143.36199999999999</v>
      </c>
      <c r="AC90" s="58">
        <v>49.183999999999997</v>
      </c>
      <c r="AD90" s="58">
        <v>306.21800000000002</v>
      </c>
      <c r="AE90" s="58">
        <v>135.58199999999999</v>
      </c>
      <c r="AF90" s="58">
        <v>170.636</v>
      </c>
      <c r="AG90" s="58">
        <v>236.79900000000001</v>
      </c>
      <c r="AH90" s="58">
        <v>178.49299999999999</v>
      </c>
      <c r="AI90" s="58">
        <v>58.305999999999997</v>
      </c>
      <c r="AJ90" s="58">
        <v>350.96199999999999</v>
      </c>
      <c r="AK90" s="58">
        <v>155.11600000000001</v>
      </c>
      <c r="AL90" s="58">
        <v>195.846</v>
      </c>
      <c r="AM90" s="58">
        <v>351.04300000000001</v>
      </c>
      <c r="AN90" s="58">
        <v>171.34</v>
      </c>
      <c r="AO90" s="58">
        <v>179.703</v>
      </c>
      <c r="AP90" s="58">
        <v>3437.9920000000002</v>
      </c>
      <c r="AQ90" s="58">
        <v>1816.9069999999999</v>
      </c>
      <c r="AR90" s="58">
        <v>1621.085</v>
      </c>
      <c r="AS90" s="58">
        <v>2355.4290000000001</v>
      </c>
      <c r="AT90" s="58">
        <v>1466.6089999999999</v>
      </c>
      <c r="AU90" s="58">
        <v>888.82</v>
      </c>
      <c r="AV90" s="58">
        <v>1082.5630000000001</v>
      </c>
      <c r="AW90" s="58">
        <v>350.298</v>
      </c>
      <c r="AX90" s="58">
        <v>732.26499999999999</v>
      </c>
      <c r="AY90" s="58">
        <v>556.03200000000004</v>
      </c>
      <c r="AZ90" s="58">
        <v>310.69400000000002</v>
      </c>
      <c r="BA90" s="58">
        <v>245.33799999999999</v>
      </c>
      <c r="BB90" s="58">
        <v>190.608</v>
      </c>
      <c r="BC90" s="58">
        <v>105.345</v>
      </c>
      <c r="BD90" s="58">
        <v>85.263000000000005</v>
      </c>
      <c r="BE90" s="58">
        <v>86.986000000000004</v>
      </c>
      <c r="BF90" s="58">
        <v>60.701999999999998</v>
      </c>
      <c r="BG90" s="58">
        <v>26.283000000000001</v>
      </c>
      <c r="BH90" s="58">
        <v>60.771999999999998</v>
      </c>
      <c r="BI90" s="58">
        <v>41.716000000000001</v>
      </c>
      <c r="BJ90" s="58">
        <v>19.056000000000001</v>
      </c>
      <c r="BK90" s="58">
        <v>26.213999999999999</v>
      </c>
      <c r="BL90" s="58">
        <v>18.986000000000001</v>
      </c>
      <c r="BM90" s="58">
        <v>7.2270000000000003</v>
      </c>
      <c r="BN90" s="58">
        <v>103.623</v>
      </c>
      <c r="BO90" s="58">
        <v>44.643000000000001</v>
      </c>
      <c r="BP90" s="58">
        <v>58.98</v>
      </c>
      <c r="BQ90" s="58">
        <v>431.084</v>
      </c>
      <c r="BR90" s="58">
        <v>241.81800000000001</v>
      </c>
      <c r="BS90" s="58">
        <v>189.26599999999999</v>
      </c>
      <c r="BT90" s="58">
        <v>170.12700000000001</v>
      </c>
      <c r="BU90" s="58">
        <v>130.74299999999999</v>
      </c>
      <c r="BV90" s="58">
        <v>39.384</v>
      </c>
      <c r="BW90" s="58">
        <v>260.95699999999999</v>
      </c>
      <c r="BX90" s="58">
        <v>111.075</v>
      </c>
      <c r="BY90" s="58">
        <v>149.88200000000001</v>
      </c>
      <c r="BZ90" s="58">
        <v>238.19399999999999</v>
      </c>
      <c r="CA90" s="58">
        <v>178.31399999999999</v>
      </c>
      <c r="CB90" s="58">
        <v>59.88</v>
      </c>
      <c r="CC90" s="58">
        <v>317.83800000000002</v>
      </c>
      <c r="CD90" s="58">
        <v>132.381</v>
      </c>
      <c r="CE90" s="58">
        <v>185.45699999999999</v>
      </c>
      <c r="CF90" s="58">
        <v>321.72899999999998</v>
      </c>
      <c r="CG90" s="58">
        <v>152.791</v>
      </c>
      <c r="CH90" s="58">
        <v>168.93799999999999</v>
      </c>
      <c r="CI90" s="58">
        <v>2618.665</v>
      </c>
      <c r="CJ90" s="58">
        <v>1352.3209999999999</v>
      </c>
      <c r="CK90" s="58">
        <v>1266.3440000000001</v>
      </c>
      <c r="CL90" s="58">
        <v>1809.4159999999999</v>
      </c>
      <c r="CM90" s="58">
        <v>1102.748</v>
      </c>
      <c r="CN90" s="58">
        <v>706.66800000000001</v>
      </c>
      <c r="CO90" s="58">
        <v>809.24900000000002</v>
      </c>
      <c r="CP90" s="58">
        <v>249.572</v>
      </c>
      <c r="CQ90" s="58">
        <v>559.67700000000002</v>
      </c>
      <c r="CR90" s="58">
        <v>362.23</v>
      </c>
      <c r="CS90" s="58">
        <v>182.96799999999999</v>
      </c>
      <c r="CT90" s="58">
        <v>179.262</v>
      </c>
      <c r="CU90" s="58">
        <v>84.652000000000001</v>
      </c>
      <c r="CV90" s="58">
        <v>46.005000000000003</v>
      </c>
      <c r="CW90" s="58">
        <v>38.648000000000003</v>
      </c>
      <c r="CX90" s="58">
        <v>35.281999999999996</v>
      </c>
      <c r="CY90" s="58">
        <v>25.055</v>
      </c>
      <c r="CZ90" s="58">
        <v>10.227</v>
      </c>
      <c r="DA90" s="58">
        <v>20.766999999999999</v>
      </c>
      <c r="DB90" s="58">
        <v>13.919</v>
      </c>
      <c r="DC90" s="58">
        <v>6.8490000000000002</v>
      </c>
      <c r="DD90" s="58">
        <v>14.515000000000001</v>
      </c>
      <c r="DE90" s="58">
        <v>11.135999999999999</v>
      </c>
      <c r="DF90" s="58">
        <v>3.3780000000000001</v>
      </c>
      <c r="DG90" s="58">
        <v>49.37</v>
      </c>
      <c r="DH90" s="58">
        <v>20.95</v>
      </c>
      <c r="DI90" s="58">
        <v>28.420999999999999</v>
      </c>
      <c r="DJ90" s="58">
        <v>316.34199999999998</v>
      </c>
      <c r="DK90" s="58">
        <v>158.69800000000001</v>
      </c>
      <c r="DL90" s="58">
        <v>157.64400000000001</v>
      </c>
      <c r="DM90" s="58">
        <v>108.657</v>
      </c>
      <c r="DN90" s="58">
        <v>74.725999999999999</v>
      </c>
      <c r="DO90" s="58">
        <v>33.930999999999997</v>
      </c>
      <c r="DP90" s="58">
        <v>207.685</v>
      </c>
      <c r="DQ90" s="58">
        <v>83.971999999999994</v>
      </c>
      <c r="DR90" s="58">
        <v>123.71299999999999</v>
      </c>
      <c r="DS90" s="58">
        <v>133.38200000000001</v>
      </c>
      <c r="DT90" s="58">
        <v>92.474999999999994</v>
      </c>
      <c r="DU90" s="58">
        <v>40.908000000000001</v>
      </c>
      <c r="DV90" s="58">
        <v>228.84700000000001</v>
      </c>
      <c r="DW90" s="58">
        <v>90.492999999999995</v>
      </c>
      <c r="DX90" s="58">
        <v>138.35499999999999</v>
      </c>
      <c r="DY90" s="58">
        <v>228.453</v>
      </c>
      <c r="DZ90" s="58">
        <v>97.89</v>
      </c>
      <c r="EA90" s="58">
        <v>130.56200000000001</v>
      </c>
      <c r="EB90" s="58">
        <v>853.78200000000004</v>
      </c>
      <c r="EC90" s="58">
        <v>448.197</v>
      </c>
      <c r="ED90" s="58">
        <v>405.58499999999998</v>
      </c>
      <c r="EE90" s="58">
        <v>558.93799999999999</v>
      </c>
      <c r="EF90" s="58">
        <v>352.57299999999998</v>
      </c>
      <c r="EG90" s="58">
        <v>206.36500000000001</v>
      </c>
      <c r="EH90" s="58">
        <v>294.84300000000002</v>
      </c>
      <c r="EI90" s="58">
        <v>95.623999999999995</v>
      </c>
      <c r="EJ90" s="58">
        <v>199.22</v>
      </c>
      <c r="EK90" s="58">
        <v>124.253</v>
      </c>
      <c r="EL90" s="58">
        <v>63.533999999999999</v>
      </c>
      <c r="EM90" s="58">
        <v>60.719000000000001</v>
      </c>
      <c r="EN90" s="58">
        <v>31.661999999999999</v>
      </c>
      <c r="EO90" s="58">
        <v>15.035</v>
      </c>
      <c r="EP90" s="58">
        <v>16.626999999999999</v>
      </c>
      <c r="EQ90" s="58">
        <v>12.384</v>
      </c>
      <c r="ER90" s="58">
        <v>7.46</v>
      </c>
      <c r="ES90" s="58">
        <v>4.9240000000000004</v>
      </c>
      <c r="ET90" s="58">
        <v>8.1750000000000007</v>
      </c>
      <c r="EU90" s="58">
        <v>5.3019999999999996</v>
      </c>
      <c r="EV90" s="58">
        <v>2.8740000000000001</v>
      </c>
      <c r="EW90" s="58">
        <v>4.2089999999999996</v>
      </c>
      <c r="EX90" s="58">
        <v>2.1589999999999998</v>
      </c>
      <c r="EY90" s="58">
        <v>2.0510000000000002</v>
      </c>
      <c r="EZ90" s="58">
        <v>19.277999999999999</v>
      </c>
      <c r="FA90" s="58">
        <v>7.5750000000000002</v>
      </c>
      <c r="FB90" s="58">
        <v>11.702999999999999</v>
      </c>
      <c r="FC90" s="58">
        <v>105.86</v>
      </c>
      <c r="FD90" s="58">
        <v>55.186</v>
      </c>
      <c r="FE90" s="58">
        <v>50.673000000000002</v>
      </c>
      <c r="FF90" s="58">
        <v>34.539000000000001</v>
      </c>
      <c r="FG90" s="58">
        <v>25.905000000000001</v>
      </c>
      <c r="FH90" s="58">
        <v>8.6340000000000003</v>
      </c>
      <c r="FI90" s="58">
        <v>71.319999999999993</v>
      </c>
      <c r="FJ90" s="58">
        <v>29.280999999999999</v>
      </c>
      <c r="FK90" s="58">
        <v>42.039000000000001</v>
      </c>
      <c r="FL90" s="58">
        <v>43.475999999999999</v>
      </c>
      <c r="FM90" s="58">
        <v>30.721</v>
      </c>
      <c r="FN90" s="58">
        <v>12.755000000000001</v>
      </c>
      <c r="FO90" s="58">
        <v>80.777000000000001</v>
      </c>
      <c r="FP90" s="58">
        <v>32.813000000000002</v>
      </c>
      <c r="FQ90" s="58">
        <v>47.963999999999999</v>
      </c>
      <c r="FR90" s="58">
        <v>79.495000000000005</v>
      </c>
      <c r="FS90" s="58">
        <v>34.582000000000001</v>
      </c>
      <c r="FT90" s="58">
        <v>44.912999999999997</v>
      </c>
      <c r="FU90" s="58">
        <v>1371.4549999999999</v>
      </c>
      <c r="FV90" s="58">
        <v>733.54399999999998</v>
      </c>
      <c r="FW90" s="58">
        <v>637.91200000000003</v>
      </c>
      <c r="FX90" s="58">
        <v>926.34799999999996</v>
      </c>
      <c r="FY90" s="58">
        <v>610.79</v>
      </c>
      <c r="FZ90" s="58">
        <v>315.55799999999999</v>
      </c>
      <c r="GA90" s="58">
        <v>445.10700000000003</v>
      </c>
      <c r="GB90" s="58">
        <v>122.754</v>
      </c>
      <c r="GC90" s="58">
        <v>322.35300000000001</v>
      </c>
      <c r="GD90" s="58">
        <v>200.98599999999999</v>
      </c>
      <c r="GE90" s="58">
        <v>102.014</v>
      </c>
      <c r="GF90" s="58">
        <v>98.971999999999994</v>
      </c>
      <c r="GG90" s="58">
        <v>69.978999999999999</v>
      </c>
      <c r="GH90" s="58">
        <v>36.957999999999998</v>
      </c>
      <c r="GI90" s="58">
        <v>33.021000000000001</v>
      </c>
      <c r="GJ90" s="58">
        <v>30.652999999999999</v>
      </c>
      <c r="GK90" s="58">
        <v>21.82</v>
      </c>
      <c r="GL90" s="58">
        <v>8.8330000000000002</v>
      </c>
      <c r="GM90" s="58">
        <v>23.466999999999999</v>
      </c>
      <c r="GN90" s="58">
        <v>16.417999999999999</v>
      </c>
      <c r="GO90" s="58">
        <v>7.0490000000000004</v>
      </c>
      <c r="GP90" s="58">
        <v>7.1859999999999999</v>
      </c>
      <c r="GQ90" s="58">
        <v>5.4020000000000001</v>
      </c>
      <c r="GR90" s="58">
        <v>1.784</v>
      </c>
      <c r="GS90" s="58">
        <v>39.326000000000001</v>
      </c>
      <c r="GT90" s="58">
        <v>15.138</v>
      </c>
      <c r="GU90" s="58">
        <v>24.187999999999999</v>
      </c>
      <c r="GV90" s="58">
        <v>151.23599999999999</v>
      </c>
      <c r="GW90" s="58">
        <v>75.751000000000005</v>
      </c>
      <c r="GX90" s="58">
        <v>75.484999999999999</v>
      </c>
      <c r="GY90" s="58">
        <v>52.764000000000003</v>
      </c>
      <c r="GZ90" s="58">
        <v>44.003999999999998</v>
      </c>
      <c r="HA90" s="58">
        <v>8.76</v>
      </c>
      <c r="HB90" s="58">
        <v>98.471999999999994</v>
      </c>
      <c r="HC90" s="58">
        <v>31.747</v>
      </c>
      <c r="HD90" s="58">
        <v>66.724999999999994</v>
      </c>
      <c r="HE90" s="58">
        <v>79.903000000000006</v>
      </c>
      <c r="HF90" s="58">
        <v>62.767000000000003</v>
      </c>
      <c r="HG90" s="58">
        <v>17.135999999999999</v>
      </c>
      <c r="HH90" s="58">
        <v>121.083</v>
      </c>
      <c r="HI90" s="58">
        <v>39.247</v>
      </c>
      <c r="HJ90" s="58">
        <v>81.835999999999999</v>
      </c>
      <c r="HK90" s="58">
        <v>121.93899999999999</v>
      </c>
      <c r="HL90" s="58">
        <v>48.164999999999999</v>
      </c>
      <c r="HM90" s="58">
        <v>73.774000000000001</v>
      </c>
      <c r="HN90" s="58">
        <v>261.63499999999999</v>
      </c>
      <c r="HO90" s="58">
        <v>137.74799999999999</v>
      </c>
      <c r="HP90" s="58">
        <v>123.887</v>
      </c>
      <c r="HQ90" s="58">
        <v>162.74100000000001</v>
      </c>
      <c r="HR90" s="58">
        <v>105.354</v>
      </c>
      <c r="HS90" s="58">
        <v>57.387</v>
      </c>
      <c r="HT90" s="58">
        <v>98.894999999999996</v>
      </c>
      <c r="HU90" s="58">
        <v>32.393999999999998</v>
      </c>
      <c r="HV90" s="58">
        <v>66.501000000000005</v>
      </c>
      <c r="HW90" s="58">
        <v>38.472000000000001</v>
      </c>
      <c r="HX90" s="58">
        <v>20.818999999999999</v>
      </c>
      <c r="HY90" s="58">
        <v>17.652999999999999</v>
      </c>
      <c r="HZ90" s="58">
        <v>8.4350000000000005</v>
      </c>
      <c r="IA90" s="58">
        <v>4.6269999999999998</v>
      </c>
      <c r="IB90" s="58">
        <v>3.8079999999999998</v>
      </c>
      <c r="IC90" s="58">
        <v>2.4129999999999998</v>
      </c>
      <c r="ID90" s="58">
        <v>1.635</v>
      </c>
      <c r="IE90" s="58">
        <v>0.77700000000000002</v>
      </c>
      <c r="IF90" s="58">
        <v>1.399</v>
      </c>
      <c r="IG90" s="58">
        <v>0.97599999999999998</v>
      </c>
      <c r="IH90" s="58">
        <v>0.42299999999999999</v>
      </c>
      <c r="II90" s="58">
        <v>1.014</v>
      </c>
      <c r="IJ90" s="58">
        <v>0.66</v>
      </c>
      <c r="IK90" s="58">
        <v>0.35499999999999998</v>
      </c>
      <c r="IL90" s="58">
        <v>6.0220000000000002</v>
      </c>
      <c r="IM90" s="58">
        <v>2.9910000000000001</v>
      </c>
      <c r="IN90" s="58">
        <v>3.0310000000000001</v>
      </c>
      <c r="IO90" s="58">
        <v>33.621000000000002</v>
      </c>
      <c r="IP90" s="58">
        <v>17.739999999999998</v>
      </c>
      <c r="IQ90" s="58">
        <v>15.881</v>
      </c>
    </row>
    <row r="91" spans="1:251">
      <c r="A91" s="5">
        <v>44256</v>
      </c>
      <c r="B91" s="58">
        <v>1130.473</v>
      </c>
      <c r="C91" s="58">
        <v>1280.644</v>
      </c>
      <c r="D91" s="58">
        <v>442.38299999999998</v>
      </c>
      <c r="E91" s="58">
        <v>838.26099999999997</v>
      </c>
      <c r="F91" s="58">
        <v>550.33699999999999</v>
      </c>
      <c r="G91" s="58">
        <v>309.779</v>
      </c>
      <c r="H91" s="58">
        <v>240.55699999999999</v>
      </c>
      <c r="I91" s="58">
        <v>126.11499999999999</v>
      </c>
      <c r="J91" s="58">
        <v>75.549000000000007</v>
      </c>
      <c r="K91" s="58">
        <v>50.566000000000003</v>
      </c>
      <c r="L91" s="58">
        <v>54.811</v>
      </c>
      <c r="M91" s="58">
        <v>43.015000000000001</v>
      </c>
      <c r="N91" s="58">
        <v>11.795999999999999</v>
      </c>
      <c r="O91" s="58">
        <v>39.281999999999996</v>
      </c>
      <c r="P91" s="58">
        <v>30.966000000000001</v>
      </c>
      <c r="Q91" s="58">
        <v>8.3160000000000007</v>
      </c>
      <c r="R91" s="58">
        <v>15.529</v>
      </c>
      <c r="S91" s="58">
        <v>12.048999999999999</v>
      </c>
      <c r="T91" s="58">
        <v>3.48</v>
      </c>
      <c r="U91" s="58">
        <v>71.305000000000007</v>
      </c>
      <c r="V91" s="58">
        <v>32.533999999999999</v>
      </c>
      <c r="W91" s="58">
        <v>38.770000000000003</v>
      </c>
      <c r="X91" s="58">
        <v>479.59899999999999</v>
      </c>
      <c r="Y91" s="58">
        <v>265.416</v>
      </c>
      <c r="Z91" s="58">
        <v>214.18299999999999</v>
      </c>
      <c r="AA91" s="58">
        <v>186.797</v>
      </c>
      <c r="AB91" s="58">
        <v>144.27799999999999</v>
      </c>
      <c r="AC91" s="58">
        <v>42.52</v>
      </c>
      <c r="AD91" s="58">
        <v>292.80099999999999</v>
      </c>
      <c r="AE91" s="58">
        <v>121.13800000000001</v>
      </c>
      <c r="AF91" s="58">
        <v>171.66300000000001</v>
      </c>
      <c r="AG91" s="58">
        <v>223.88399999999999</v>
      </c>
      <c r="AH91" s="58">
        <v>173.846</v>
      </c>
      <c r="AI91" s="58">
        <v>50.037999999999997</v>
      </c>
      <c r="AJ91" s="58">
        <v>326.452</v>
      </c>
      <c r="AK91" s="58">
        <v>135.93299999999999</v>
      </c>
      <c r="AL91" s="58">
        <v>190.51900000000001</v>
      </c>
      <c r="AM91" s="58">
        <v>332.08300000000003</v>
      </c>
      <c r="AN91" s="58">
        <v>152.10400000000001</v>
      </c>
      <c r="AO91" s="58">
        <v>179.97900000000001</v>
      </c>
      <c r="AP91" s="58">
        <v>3423.5920000000001</v>
      </c>
      <c r="AQ91" s="58">
        <v>1806.7380000000001</v>
      </c>
      <c r="AR91" s="58">
        <v>1616.854</v>
      </c>
      <c r="AS91" s="58">
        <v>2310.6979999999999</v>
      </c>
      <c r="AT91" s="58">
        <v>1446.84</v>
      </c>
      <c r="AU91" s="58">
        <v>863.85799999999995</v>
      </c>
      <c r="AV91" s="58">
        <v>1112.893</v>
      </c>
      <c r="AW91" s="58">
        <v>359.89800000000002</v>
      </c>
      <c r="AX91" s="58">
        <v>752.99599999999998</v>
      </c>
      <c r="AY91" s="58">
        <v>477.399</v>
      </c>
      <c r="AZ91" s="58">
        <v>266.85000000000002</v>
      </c>
      <c r="BA91" s="58">
        <v>210.54900000000001</v>
      </c>
      <c r="BB91" s="58">
        <v>106.831</v>
      </c>
      <c r="BC91" s="58">
        <v>60.628999999999998</v>
      </c>
      <c r="BD91" s="58">
        <v>46.201999999999998</v>
      </c>
      <c r="BE91" s="58">
        <v>49.746000000000002</v>
      </c>
      <c r="BF91" s="58">
        <v>39.262</v>
      </c>
      <c r="BG91" s="58">
        <v>10.484999999999999</v>
      </c>
      <c r="BH91" s="58">
        <v>30.099</v>
      </c>
      <c r="BI91" s="58">
        <v>23.92</v>
      </c>
      <c r="BJ91" s="58">
        <v>6.1790000000000003</v>
      </c>
      <c r="BK91" s="58">
        <v>19.646999999999998</v>
      </c>
      <c r="BL91" s="58">
        <v>15.342000000000001</v>
      </c>
      <c r="BM91" s="58">
        <v>4.306</v>
      </c>
      <c r="BN91" s="58">
        <v>57.084000000000003</v>
      </c>
      <c r="BO91" s="58">
        <v>21.367999999999999</v>
      </c>
      <c r="BP91" s="58">
        <v>35.716999999999999</v>
      </c>
      <c r="BQ91" s="58">
        <v>406.75900000000001</v>
      </c>
      <c r="BR91" s="58">
        <v>224.37299999999999</v>
      </c>
      <c r="BS91" s="58">
        <v>182.387</v>
      </c>
      <c r="BT91" s="58">
        <v>160.679</v>
      </c>
      <c r="BU91" s="58">
        <v>124.839</v>
      </c>
      <c r="BV91" s="58">
        <v>35.838999999999999</v>
      </c>
      <c r="BW91" s="58">
        <v>246.08</v>
      </c>
      <c r="BX91" s="58">
        <v>99.533000000000001</v>
      </c>
      <c r="BY91" s="58">
        <v>146.547</v>
      </c>
      <c r="BZ91" s="58">
        <v>198.62799999999999</v>
      </c>
      <c r="CA91" s="58">
        <v>154.434</v>
      </c>
      <c r="CB91" s="58">
        <v>44.195</v>
      </c>
      <c r="CC91" s="58">
        <v>278.77100000000002</v>
      </c>
      <c r="CD91" s="58">
        <v>112.417</v>
      </c>
      <c r="CE91" s="58">
        <v>166.35400000000001</v>
      </c>
      <c r="CF91" s="58">
        <v>276.18</v>
      </c>
      <c r="CG91" s="58">
        <v>123.453</v>
      </c>
      <c r="CH91" s="58">
        <v>152.726</v>
      </c>
      <c r="CI91" s="58">
        <v>2622.2179999999998</v>
      </c>
      <c r="CJ91" s="58">
        <v>1356.826</v>
      </c>
      <c r="CK91" s="58">
        <v>1265.3920000000001</v>
      </c>
      <c r="CL91" s="58">
        <v>1762.146</v>
      </c>
      <c r="CM91" s="58">
        <v>1086.1659999999999</v>
      </c>
      <c r="CN91" s="58">
        <v>675.98</v>
      </c>
      <c r="CO91" s="58">
        <v>860.07299999999998</v>
      </c>
      <c r="CP91" s="58">
        <v>270.66000000000003</v>
      </c>
      <c r="CQ91" s="58">
        <v>589.41200000000003</v>
      </c>
      <c r="CR91" s="58">
        <v>381.14699999999999</v>
      </c>
      <c r="CS91" s="58">
        <v>197.19800000000001</v>
      </c>
      <c r="CT91" s="58">
        <v>183.94900000000001</v>
      </c>
      <c r="CU91" s="58">
        <v>80.807000000000002</v>
      </c>
      <c r="CV91" s="58">
        <v>42.837000000000003</v>
      </c>
      <c r="CW91" s="58">
        <v>37.969000000000001</v>
      </c>
      <c r="CX91" s="58">
        <v>26.867000000000001</v>
      </c>
      <c r="CY91" s="58">
        <v>19.741</v>
      </c>
      <c r="CZ91" s="58">
        <v>7.1260000000000003</v>
      </c>
      <c r="DA91" s="58">
        <v>14.74</v>
      </c>
      <c r="DB91" s="58">
        <v>10.781000000000001</v>
      </c>
      <c r="DC91" s="58">
        <v>3.9580000000000002</v>
      </c>
      <c r="DD91" s="58">
        <v>12.127000000000001</v>
      </c>
      <c r="DE91" s="58">
        <v>8.9600000000000009</v>
      </c>
      <c r="DF91" s="58">
        <v>3.1669999999999998</v>
      </c>
      <c r="DG91" s="58">
        <v>53.94</v>
      </c>
      <c r="DH91" s="58">
        <v>23.096</v>
      </c>
      <c r="DI91" s="58">
        <v>30.844000000000001</v>
      </c>
      <c r="DJ91" s="58">
        <v>341.935</v>
      </c>
      <c r="DK91" s="58">
        <v>176.04</v>
      </c>
      <c r="DL91" s="58">
        <v>165.89500000000001</v>
      </c>
      <c r="DM91" s="58">
        <v>115.726</v>
      </c>
      <c r="DN91" s="58">
        <v>83.802999999999997</v>
      </c>
      <c r="DO91" s="58">
        <v>31.922999999999998</v>
      </c>
      <c r="DP91" s="58">
        <v>226.209</v>
      </c>
      <c r="DQ91" s="58">
        <v>92.238</v>
      </c>
      <c r="DR91" s="58">
        <v>133.971</v>
      </c>
      <c r="DS91" s="58">
        <v>131.048</v>
      </c>
      <c r="DT91" s="58">
        <v>95.602999999999994</v>
      </c>
      <c r="DU91" s="58">
        <v>35.445</v>
      </c>
      <c r="DV91" s="58">
        <v>250.09899999999999</v>
      </c>
      <c r="DW91" s="58">
        <v>101.595</v>
      </c>
      <c r="DX91" s="58">
        <v>148.50399999999999</v>
      </c>
      <c r="DY91" s="58">
        <v>240.94900000000001</v>
      </c>
      <c r="DZ91" s="58">
        <v>103.01900000000001</v>
      </c>
      <c r="EA91" s="58">
        <v>137.93</v>
      </c>
      <c r="EB91" s="58">
        <v>852.57500000000005</v>
      </c>
      <c r="EC91" s="58">
        <v>443.197</v>
      </c>
      <c r="ED91" s="58">
        <v>409.37799999999999</v>
      </c>
      <c r="EE91" s="58">
        <v>556.048</v>
      </c>
      <c r="EF91" s="58">
        <v>349.52199999999999</v>
      </c>
      <c r="EG91" s="58">
        <v>206.52699999999999</v>
      </c>
      <c r="EH91" s="58">
        <v>296.52699999999999</v>
      </c>
      <c r="EI91" s="58">
        <v>93.676000000000002</v>
      </c>
      <c r="EJ91" s="58">
        <v>202.851</v>
      </c>
      <c r="EK91" s="58">
        <v>120.884</v>
      </c>
      <c r="EL91" s="58">
        <v>62.701000000000001</v>
      </c>
      <c r="EM91" s="58">
        <v>58.182000000000002</v>
      </c>
      <c r="EN91" s="58">
        <v>27.518999999999998</v>
      </c>
      <c r="EO91" s="58">
        <v>14.472</v>
      </c>
      <c r="EP91" s="58">
        <v>13.047000000000001</v>
      </c>
      <c r="EQ91" s="58">
        <v>8.7729999999999997</v>
      </c>
      <c r="ER91" s="58">
        <v>6.5149999999999997</v>
      </c>
      <c r="ES91" s="58">
        <v>2.258</v>
      </c>
      <c r="ET91" s="58">
        <v>5.2370000000000001</v>
      </c>
      <c r="EU91" s="58">
        <v>4.4729999999999999</v>
      </c>
      <c r="EV91" s="58">
        <v>0.76500000000000001</v>
      </c>
      <c r="EW91" s="58">
        <v>3.536</v>
      </c>
      <c r="EX91" s="58">
        <v>2.0419999999999998</v>
      </c>
      <c r="EY91" s="58">
        <v>1.494</v>
      </c>
      <c r="EZ91" s="58">
        <v>18.745999999999999</v>
      </c>
      <c r="FA91" s="58">
        <v>7.9569999999999999</v>
      </c>
      <c r="FB91" s="58">
        <v>10.788</v>
      </c>
      <c r="FC91" s="58">
        <v>105.126</v>
      </c>
      <c r="FD91" s="58">
        <v>54.869</v>
      </c>
      <c r="FE91" s="58">
        <v>50.256999999999998</v>
      </c>
      <c r="FF91" s="58">
        <v>35.003999999999998</v>
      </c>
      <c r="FG91" s="58">
        <v>24.771000000000001</v>
      </c>
      <c r="FH91" s="58">
        <v>10.233000000000001</v>
      </c>
      <c r="FI91" s="58">
        <v>70.122</v>
      </c>
      <c r="FJ91" s="58">
        <v>30.097999999999999</v>
      </c>
      <c r="FK91" s="58">
        <v>40.024000000000001</v>
      </c>
      <c r="FL91" s="58">
        <v>42.545999999999999</v>
      </c>
      <c r="FM91" s="58">
        <v>30.053999999999998</v>
      </c>
      <c r="FN91" s="58">
        <v>12.492000000000001</v>
      </c>
      <c r="FO91" s="58">
        <v>78.337999999999994</v>
      </c>
      <c r="FP91" s="58">
        <v>32.646999999999998</v>
      </c>
      <c r="FQ91" s="58">
        <v>45.691000000000003</v>
      </c>
      <c r="FR91" s="58">
        <v>75.358999999999995</v>
      </c>
      <c r="FS91" s="58">
        <v>34.57</v>
      </c>
      <c r="FT91" s="58">
        <v>40.787999999999997</v>
      </c>
      <c r="FU91" s="58">
        <v>1404.1469999999999</v>
      </c>
      <c r="FV91" s="58">
        <v>749.56700000000001</v>
      </c>
      <c r="FW91" s="58">
        <v>654.58000000000004</v>
      </c>
      <c r="FX91" s="58">
        <v>919.21600000000001</v>
      </c>
      <c r="FY91" s="58">
        <v>612.84100000000001</v>
      </c>
      <c r="FZ91" s="58">
        <v>306.375</v>
      </c>
      <c r="GA91" s="58">
        <v>484.93</v>
      </c>
      <c r="GB91" s="58">
        <v>136.726</v>
      </c>
      <c r="GC91" s="58">
        <v>348.20499999999998</v>
      </c>
      <c r="GD91" s="58">
        <v>180.39099999999999</v>
      </c>
      <c r="GE91" s="58">
        <v>87.411000000000001</v>
      </c>
      <c r="GF91" s="58">
        <v>92.98</v>
      </c>
      <c r="GG91" s="58">
        <v>32.97</v>
      </c>
      <c r="GH91" s="58">
        <v>15.944000000000001</v>
      </c>
      <c r="GI91" s="58">
        <v>17.027000000000001</v>
      </c>
      <c r="GJ91" s="58">
        <v>12.074999999999999</v>
      </c>
      <c r="GK91" s="58">
        <v>9.3279999999999994</v>
      </c>
      <c r="GL91" s="58">
        <v>2.7469999999999999</v>
      </c>
      <c r="GM91" s="58">
        <v>7.5190000000000001</v>
      </c>
      <c r="GN91" s="58">
        <v>6.306</v>
      </c>
      <c r="GO91" s="58">
        <v>1.2130000000000001</v>
      </c>
      <c r="GP91" s="58">
        <v>4.556</v>
      </c>
      <c r="GQ91" s="58">
        <v>3.0219999999999998</v>
      </c>
      <c r="GR91" s="58">
        <v>1.534</v>
      </c>
      <c r="GS91" s="58">
        <v>20.895</v>
      </c>
      <c r="GT91" s="58">
        <v>6.6150000000000002</v>
      </c>
      <c r="GU91" s="58">
        <v>14.28</v>
      </c>
      <c r="GV91" s="58">
        <v>159.69399999999999</v>
      </c>
      <c r="GW91" s="58">
        <v>76.137</v>
      </c>
      <c r="GX91" s="58">
        <v>83.557000000000002</v>
      </c>
      <c r="GY91" s="58">
        <v>58.850999999999999</v>
      </c>
      <c r="GZ91" s="58">
        <v>44.902000000000001</v>
      </c>
      <c r="HA91" s="58">
        <v>13.949</v>
      </c>
      <c r="HB91" s="58">
        <v>100.843</v>
      </c>
      <c r="HC91" s="58">
        <v>31.234999999999999</v>
      </c>
      <c r="HD91" s="58">
        <v>69.608000000000004</v>
      </c>
      <c r="HE91" s="58">
        <v>68.236000000000004</v>
      </c>
      <c r="HF91" s="58">
        <v>52.54</v>
      </c>
      <c r="HG91" s="58">
        <v>15.696</v>
      </c>
      <c r="HH91" s="58">
        <v>112.155</v>
      </c>
      <c r="HI91" s="58">
        <v>34.871000000000002</v>
      </c>
      <c r="HJ91" s="58">
        <v>77.284999999999997</v>
      </c>
      <c r="HK91" s="58">
        <v>108.36199999999999</v>
      </c>
      <c r="HL91" s="58">
        <v>37.540999999999997</v>
      </c>
      <c r="HM91" s="58">
        <v>70.820999999999998</v>
      </c>
      <c r="HN91" s="58">
        <v>261.423</v>
      </c>
      <c r="HO91" s="58">
        <v>138.00299999999999</v>
      </c>
      <c r="HP91" s="58">
        <v>123.42</v>
      </c>
      <c r="HQ91" s="58">
        <v>162.483</v>
      </c>
      <c r="HR91" s="58">
        <v>104.836</v>
      </c>
      <c r="HS91" s="58">
        <v>57.646999999999998</v>
      </c>
      <c r="HT91" s="58">
        <v>98.94</v>
      </c>
      <c r="HU91" s="58">
        <v>33.167000000000002</v>
      </c>
      <c r="HV91" s="58">
        <v>65.772999999999996</v>
      </c>
      <c r="HW91" s="58">
        <v>39.183999999999997</v>
      </c>
      <c r="HX91" s="58">
        <v>20.218</v>
      </c>
      <c r="HY91" s="58">
        <v>18.966000000000001</v>
      </c>
      <c r="HZ91" s="58">
        <v>6.5019999999999998</v>
      </c>
      <c r="IA91" s="58">
        <v>4.1139999999999999</v>
      </c>
      <c r="IB91" s="58">
        <v>2.3889999999999998</v>
      </c>
      <c r="IC91" s="58">
        <v>1.1319999999999999</v>
      </c>
      <c r="ID91" s="58">
        <v>1.1319999999999999</v>
      </c>
      <c r="IE91" s="58">
        <v>0</v>
      </c>
      <c r="IF91" s="58">
        <v>0.51</v>
      </c>
      <c r="IG91" s="58">
        <v>0.51</v>
      </c>
      <c r="IH91" s="58">
        <v>0</v>
      </c>
      <c r="II91" s="58">
        <v>0.622</v>
      </c>
      <c r="IJ91" s="58">
        <v>0.622</v>
      </c>
      <c r="IK91" s="58">
        <v>0</v>
      </c>
      <c r="IL91" s="58">
        <v>5.37</v>
      </c>
      <c r="IM91" s="58">
        <v>2.9809999999999999</v>
      </c>
      <c r="IN91" s="58">
        <v>2.3889999999999998</v>
      </c>
      <c r="IO91" s="58">
        <v>36.085999999999999</v>
      </c>
      <c r="IP91" s="58">
        <v>18.294</v>
      </c>
      <c r="IQ91" s="58">
        <v>17.792000000000002</v>
      </c>
    </row>
    <row r="92" spans="1:251">
      <c r="A92" s="5">
        <v>44287</v>
      </c>
      <c r="B92" s="58">
        <v>1115.3340000000001</v>
      </c>
      <c r="C92" s="58">
        <v>1269.2919999999999</v>
      </c>
      <c r="D92" s="58">
        <v>436.03100000000001</v>
      </c>
      <c r="E92" s="58">
        <v>833.26099999999997</v>
      </c>
      <c r="F92" s="58">
        <v>542.54999999999995</v>
      </c>
      <c r="G92" s="58">
        <v>301.56900000000002</v>
      </c>
      <c r="H92" s="58">
        <v>240.982</v>
      </c>
      <c r="I92" s="58">
        <v>121.119</v>
      </c>
      <c r="J92" s="58">
        <v>75.760999999999996</v>
      </c>
      <c r="K92" s="58">
        <v>45.357999999999997</v>
      </c>
      <c r="L92" s="58">
        <v>47.704000000000001</v>
      </c>
      <c r="M92" s="58">
        <v>35.997</v>
      </c>
      <c r="N92" s="58">
        <v>11.707000000000001</v>
      </c>
      <c r="O92" s="58">
        <v>36.481000000000002</v>
      </c>
      <c r="P92" s="58">
        <v>26.187000000000001</v>
      </c>
      <c r="Q92" s="58">
        <v>10.294</v>
      </c>
      <c r="R92" s="58">
        <v>11.223000000000001</v>
      </c>
      <c r="S92" s="58">
        <v>9.81</v>
      </c>
      <c r="T92" s="58">
        <v>1.413</v>
      </c>
      <c r="U92" s="58">
        <v>73.414000000000001</v>
      </c>
      <c r="V92" s="58">
        <v>39.764000000000003</v>
      </c>
      <c r="W92" s="58">
        <v>33.65</v>
      </c>
      <c r="X92" s="58">
        <v>473.72500000000002</v>
      </c>
      <c r="Y92" s="58">
        <v>258.18299999999999</v>
      </c>
      <c r="Z92" s="58">
        <v>215.542</v>
      </c>
      <c r="AA92" s="58">
        <v>175.24799999999999</v>
      </c>
      <c r="AB92" s="58">
        <v>132.364</v>
      </c>
      <c r="AC92" s="58">
        <v>42.884</v>
      </c>
      <c r="AD92" s="58">
        <v>298.47699999999998</v>
      </c>
      <c r="AE92" s="58">
        <v>125.819</v>
      </c>
      <c r="AF92" s="58">
        <v>172.65799999999999</v>
      </c>
      <c r="AG92" s="58">
        <v>209.041</v>
      </c>
      <c r="AH92" s="58">
        <v>159.44999999999999</v>
      </c>
      <c r="AI92" s="58">
        <v>49.591000000000001</v>
      </c>
      <c r="AJ92" s="58">
        <v>333.50900000000001</v>
      </c>
      <c r="AK92" s="58">
        <v>142.11799999999999</v>
      </c>
      <c r="AL92" s="58">
        <v>191.39</v>
      </c>
      <c r="AM92" s="58">
        <v>334.959</v>
      </c>
      <c r="AN92" s="58">
        <v>152.006</v>
      </c>
      <c r="AO92" s="58">
        <v>182.953</v>
      </c>
      <c r="AP92" s="58">
        <v>3420.1390000000001</v>
      </c>
      <c r="AQ92" s="58">
        <v>1807.49</v>
      </c>
      <c r="AR92" s="58">
        <v>1612.6489999999999</v>
      </c>
      <c r="AS92" s="58">
        <v>2309.0749999999998</v>
      </c>
      <c r="AT92" s="58">
        <v>1440.8240000000001</v>
      </c>
      <c r="AU92" s="58">
        <v>868.25099999999998</v>
      </c>
      <c r="AV92" s="58">
        <v>1111.0640000000001</v>
      </c>
      <c r="AW92" s="58">
        <v>366.666</v>
      </c>
      <c r="AX92" s="58">
        <v>744.39800000000002</v>
      </c>
      <c r="AY92" s="58">
        <v>434.21199999999999</v>
      </c>
      <c r="AZ92" s="58">
        <v>241.02199999999999</v>
      </c>
      <c r="BA92" s="58">
        <v>193.19</v>
      </c>
      <c r="BB92" s="58">
        <v>96.034999999999997</v>
      </c>
      <c r="BC92" s="58">
        <v>50.92</v>
      </c>
      <c r="BD92" s="58">
        <v>45.115000000000002</v>
      </c>
      <c r="BE92" s="58">
        <v>38.366</v>
      </c>
      <c r="BF92" s="58">
        <v>28.25</v>
      </c>
      <c r="BG92" s="58">
        <v>10.116</v>
      </c>
      <c r="BH92" s="58">
        <v>23.646000000000001</v>
      </c>
      <c r="BI92" s="58">
        <v>14.737</v>
      </c>
      <c r="BJ92" s="58">
        <v>8.9079999999999995</v>
      </c>
      <c r="BK92" s="58">
        <v>14.721</v>
      </c>
      <c r="BL92" s="58">
        <v>13.513</v>
      </c>
      <c r="BM92" s="58">
        <v>1.208</v>
      </c>
      <c r="BN92" s="58">
        <v>57.668999999999997</v>
      </c>
      <c r="BO92" s="58">
        <v>22.67</v>
      </c>
      <c r="BP92" s="58">
        <v>34.997999999999998</v>
      </c>
      <c r="BQ92" s="58">
        <v>383.41199999999998</v>
      </c>
      <c r="BR92" s="58">
        <v>213.20699999999999</v>
      </c>
      <c r="BS92" s="58">
        <v>170.20500000000001</v>
      </c>
      <c r="BT92" s="58">
        <v>138.56100000000001</v>
      </c>
      <c r="BU92" s="58">
        <v>109.238</v>
      </c>
      <c r="BV92" s="58">
        <v>29.321999999999999</v>
      </c>
      <c r="BW92" s="58">
        <v>244.852</v>
      </c>
      <c r="BX92" s="58">
        <v>103.96899999999999</v>
      </c>
      <c r="BY92" s="58">
        <v>140.88300000000001</v>
      </c>
      <c r="BZ92" s="58">
        <v>165.679</v>
      </c>
      <c r="CA92" s="58">
        <v>127.91500000000001</v>
      </c>
      <c r="CB92" s="58">
        <v>37.765000000000001</v>
      </c>
      <c r="CC92" s="58">
        <v>268.53199999999998</v>
      </c>
      <c r="CD92" s="58">
        <v>113.107</v>
      </c>
      <c r="CE92" s="58">
        <v>155.42500000000001</v>
      </c>
      <c r="CF92" s="58">
        <v>268.49700000000001</v>
      </c>
      <c r="CG92" s="58">
        <v>118.706</v>
      </c>
      <c r="CH92" s="58">
        <v>149.791</v>
      </c>
      <c r="CI92" s="58">
        <v>2614.2350000000001</v>
      </c>
      <c r="CJ92" s="58">
        <v>1363.4190000000001</v>
      </c>
      <c r="CK92" s="58">
        <v>1250.816</v>
      </c>
      <c r="CL92" s="58">
        <v>1773.566</v>
      </c>
      <c r="CM92" s="58">
        <v>1090.9929999999999</v>
      </c>
      <c r="CN92" s="58">
        <v>682.57299999999998</v>
      </c>
      <c r="CO92" s="58">
        <v>840.66899999999998</v>
      </c>
      <c r="CP92" s="58">
        <v>272.42599999999999</v>
      </c>
      <c r="CQ92" s="58">
        <v>568.24300000000005</v>
      </c>
      <c r="CR92" s="58">
        <v>371.51499999999999</v>
      </c>
      <c r="CS92" s="58">
        <v>194.47300000000001</v>
      </c>
      <c r="CT92" s="58">
        <v>177.042</v>
      </c>
      <c r="CU92" s="58">
        <v>74.403000000000006</v>
      </c>
      <c r="CV92" s="58">
        <v>42.628</v>
      </c>
      <c r="CW92" s="58">
        <v>31.774999999999999</v>
      </c>
      <c r="CX92" s="58">
        <v>28.166</v>
      </c>
      <c r="CY92" s="58">
        <v>20.754999999999999</v>
      </c>
      <c r="CZ92" s="58">
        <v>7.4109999999999996</v>
      </c>
      <c r="DA92" s="58">
        <v>21.920999999999999</v>
      </c>
      <c r="DB92" s="58">
        <v>15.256</v>
      </c>
      <c r="DC92" s="58">
        <v>6.665</v>
      </c>
      <c r="DD92" s="58">
        <v>6.2450000000000001</v>
      </c>
      <c r="DE92" s="58">
        <v>5.4989999999999997</v>
      </c>
      <c r="DF92" s="58">
        <v>0.746</v>
      </c>
      <c r="DG92" s="58">
        <v>46.238</v>
      </c>
      <c r="DH92" s="58">
        <v>21.873999999999999</v>
      </c>
      <c r="DI92" s="58">
        <v>24.364000000000001</v>
      </c>
      <c r="DJ92" s="58">
        <v>335.53800000000001</v>
      </c>
      <c r="DK92" s="58">
        <v>173.06399999999999</v>
      </c>
      <c r="DL92" s="58">
        <v>162.47399999999999</v>
      </c>
      <c r="DM92" s="58">
        <v>116.67</v>
      </c>
      <c r="DN92" s="58">
        <v>84.897000000000006</v>
      </c>
      <c r="DO92" s="58">
        <v>31.773</v>
      </c>
      <c r="DP92" s="58">
        <v>218.86799999999999</v>
      </c>
      <c r="DQ92" s="58">
        <v>88.167000000000002</v>
      </c>
      <c r="DR92" s="58">
        <v>130.702</v>
      </c>
      <c r="DS92" s="58">
        <v>133.702</v>
      </c>
      <c r="DT92" s="58">
        <v>98.644999999999996</v>
      </c>
      <c r="DU92" s="58">
        <v>35.055999999999997</v>
      </c>
      <c r="DV92" s="58">
        <v>237.81299999999999</v>
      </c>
      <c r="DW92" s="58">
        <v>95.826999999999998</v>
      </c>
      <c r="DX92" s="58">
        <v>141.98500000000001</v>
      </c>
      <c r="DY92" s="58">
        <v>240.78899999999999</v>
      </c>
      <c r="DZ92" s="58">
        <v>103.423</v>
      </c>
      <c r="EA92" s="58">
        <v>137.36699999999999</v>
      </c>
      <c r="EB92" s="58">
        <v>868.04399999999998</v>
      </c>
      <c r="EC92" s="58">
        <v>451.16300000000001</v>
      </c>
      <c r="ED92" s="58">
        <v>416.88200000000001</v>
      </c>
      <c r="EE92" s="58">
        <v>565.69399999999996</v>
      </c>
      <c r="EF92" s="58">
        <v>354.37200000000001</v>
      </c>
      <c r="EG92" s="58">
        <v>211.322</v>
      </c>
      <c r="EH92" s="58">
        <v>302.35000000000002</v>
      </c>
      <c r="EI92" s="58">
        <v>96.79</v>
      </c>
      <c r="EJ92" s="58">
        <v>205.56</v>
      </c>
      <c r="EK92" s="58">
        <v>115.096</v>
      </c>
      <c r="EL92" s="58">
        <v>62.529000000000003</v>
      </c>
      <c r="EM92" s="58">
        <v>52.567</v>
      </c>
      <c r="EN92" s="58">
        <v>27.48</v>
      </c>
      <c r="EO92" s="58">
        <v>18.788</v>
      </c>
      <c r="EP92" s="58">
        <v>8.6920000000000002</v>
      </c>
      <c r="EQ92" s="58">
        <v>12.907</v>
      </c>
      <c r="ER92" s="58">
        <v>10.407999999999999</v>
      </c>
      <c r="ES92" s="58">
        <v>2.4980000000000002</v>
      </c>
      <c r="ET92" s="58">
        <v>7.7130000000000001</v>
      </c>
      <c r="EU92" s="58">
        <v>5.9770000000000003</v>
      </c>
      <c r="EV92" s="58">
        <v>1.736</v>
      </c>
      <c r="EW92" s="58">
        <v>5.194</v>
      </c>
      <c r="EX92" s="58">
        <v>4.431</v>
      </c>
      <c r="EY92" s="58">
        <v>0.76300000000000001</v>
      </c>
      <c r="EZ92" s="58">
        <v>14.573</v>
      </c>
      <c r="FA92" s="58">
        <v>8.3800000000000008</v>
      </c>
      <c r="FB92" s="58">
        <v>6.194</v>
      </c>
      <c r="FC92" s="58">
        <v>97.700999999999993</v>
      </c>
      <c r="FD92" s="58">
        <v>49.884999999999998</v>
      </c>
      <c r="FE92" s="58">
        <v>47.816000000000003</v>
      </c>
      <c r="FF92" s="58">
        <v>31.126999999999999</v>
      </c>
      <c r="FG92" s="58">
        <v>22.702999999999999</v>
      </c>
      <c r="FH92" s="58">
        <v>8.4239999999999995</v>
      </c>
      <c r="FI92" s="58">
        <v>66.573999999999998</v>
      </c>
      <c r="FJ92" s="58">
        <v>27.181999999999999</v>
      </c>
      <c r="FK92" s="58">
        <v>39.392000000000003</v>
      </c>
      <c r="FL92" s="58">
        <v>41.787999999999997</v>
      </c>
      <c r="FM92" s="58">
        <v>31.135000000000002</v>
      </c>
      <c r="FN92" s="58">
        <v>10.653</v>
      </c>
      <c r="FO92" s="58">
        <v>73.308000000000007</v>
      </c>
      <c r="FP92" s="58">
        <v>31.393999999999998</v>
      </c>
      <c r="FQ92" s="58">
        <v>41.914000000000001</v>
      </c>
      <c r="FR92" s="58">
        <v>74.287000000000006</v>
      </c>
      <c r="FS92" s="58">
        <v>33.158999999999999</v>
      </c>
      <c r="FT92" s="58">
        <v>41.128</v>
      </c>
      <c r="FU92" s="58">
        <v>1394.492</v>
      </c>
      <c r="FV92" s="58">
        <v>744.73400000000004</v>
      </c>
      <c r="FW92" s="58">
        <v>649.75800000000004</v>
      </c>
      <c r="FX92" s="58">
        <v>921.471</v>
      </c>
      <c r="FY92" s="58">
        <v>610.79</v>
      </c>
      <c r="FZ92" s="58">
        <v>310.68099999999998</v>
      </c>
      <c r="GA92" s="58">
        <v>473.02100000000002</v>
      </c>
      <c r="GB92" s="58">
        <v>133.94399999999999</v>
      </c>
      <c r="GC92" s="58">
        <v>339.077</v>
      </c>
      <c r="GD92" s="58">
        <v>166.02099999999999</v>
      </c>
      <c r="GE92" s="58">
        <v>86.212000000000003</v>
      </c>
      <c r="GF92" s="58">
        <v>79.808999999999997</v>
      </c>
      <c r="GG92" s="58">
        <v>31.495000000000001</v>
      </c>
      <c r="GH92" s="58">
        <v>19.904</v>
      </c>
      <c r="GI92" s="58">
        <v>11.590999999999999</v>
      </c>
      <c r="GJ92" s="58">
        <v>11.102</v>
      </c>
      <c r="GK92" s="58">
        <v>8.2080000000000002</v>
      </c>
      <c r="GL92" s="58">
        <v>2.8940000000000001</v>
      </c>
      <c r="GM92" s="58">
        <v>6.5949999999999998</v>
      </c>
      <c r="GN92" s="58">
        <v>4.9729999999999999</v>
      </c>
      <c r="GO92" s="58">
        <v>1.6220000000000001</v>
      </c>
      <c r="GP92" s="58">
        <v>4.5069999999999997</v>
      </c>
      <c r="GQ92" s="58">
        <v>3.2349999999999999</v>
      </c>
      <c r="GR92" s="58">
        <v>1.272</v>
      </c>
      <c r="GS92" s="58">
        <v>20.393000000000001</v>
      </c>
      <c r="GT92" s="58">
        <v>11.696</v>
      </c>
      <c r="GU92" s="58">
        <v>8.6969999999999992</v>
      </c>
      <c r="GV92" s="58">
        <v>147.72399999999999</v>
      </c>
      <c r="GW92" s="58">
        <v>74.168000000000006</v>
      </c>
      <c r="GX92" s="58">
        <v>73.555999999999997</v>
      </c>
      <c r="GY92" s="58">
        <v>48.866999999999997</v>
      </c>
      <c r="GZ92" s="58">
        <v>37.414000000000001</v>
      </c>
      <c r="HA92" s="58">
        <v>11.454000000000001</v>
      </c>
      <c r="HB92" s="58">
        <v>98.856999999999999</v>
      </c>
      <c r="HC92" s="58">
        <v>36.753999999999998</v>
      </c>
      <c r="HD92" s="58">
        <v>62.103000000000002</v>
      </c>
      <c r="HE92" s="58">
        <v>57.393999999999998</v>
      </c>
      <c r="HF92" s="58">
        <v>44.186</v>
      </c>
      <c r="HG92" s="58">
        <v>13.208</v>
      </c>
      <c r="HH92" s="58">
        <v>108.627</v>
      </c>
      <c r="HI92" s="58">
        <v>42.026000000000003</v>
      </c>
      <c r="HJ92" s="58">
        <v>66.600999999999999</v>
      </c>
      <c r="HK92" s="58">
        <v>105.452</v>
      </c>
      <c r="HL92" s="58">
        <v>41.726999999999997</v>
      </c>
      <c r="HM92" s="58">
        <v>63.725000000000001</v>
      </c>
      <c r="HN92" s="58">
        <v>259.18099999999998</v>
      </c>
      <c r="HO92" s="58">
        <v>136.273</v>
      </c>
      <c r="HP92" s="58">
        <v>122.90900000000001</v>
      </c>
      <c r="HQ92" s="58">
        <v>159.976</v>
      </c>
      <c r="HR92" s="58">
        <v>102.06</v>
      </c>
      <c r="HS92" s="58">
        <v>57.915999999999997</v>
      </c>
      <c r="HT92" s="58">
        <v>99.204999999999998</v>
      </c>
      <c r="HU92" s="58">
        <v>34.213000000000001</v>
      </c>
      <c r="HV92" s="58">
        <v>64.992999999999995</v>
      </c>
      <c r="HW92" s="58">
        <v>35.704999999999998</v>
      </c>
      <c r="HX92" s="58">
        <v>18.765000000000001</v>
      </c>
      <c r="HY92" s="58">
        <v>16.940000000000001</v>
      </c>
      <c r="HZ92" s="58">
        <v>5.694</v>
      </c>
      <c r="IA92" s="58">
        <v>2.6819999999999999</v>
      </c>
      <c r="IB92" s="58">
        <v>3.012</v>
      </c>
      <c r="IC92" s="58">
        <v>0.879</v>
      </c>
      <c r="ID92" s="58">
        <v>0.46899999999999997</v>
      </c>
      <c r="IE92" s="58">
        <v>0.41</v>
      </c>
      <c r="IF92" s="58">
        <v>0.79200000000000004</v>
      </c>
      <c r="IG92" s="58">
        <v>0.38300000000000001</v>
      </c>
      <c r="IH92" s="58">
        <v>0.41</v>
      </c>
      <c r="II92" s="58">
        <v>8.6999999999999994E-2</v>
      </c>
      <c r="IJ92" s="58">
        <v>8.6999999999999994E-2</v>
      </c>
      <c r="IK92" s="58">
        <v>0</v>
      </c>
      <c r="IL92" s="58">
        <v>4.8150000000000004</v>
      </c>
      <c r="IM92" s="58">
        <v>2.2130000000000001</v>
      </c>
      <c r="IN92" s="58">
        <v>2.6019999999999999</v>
      </c>
      <c r="IO92" s="58">
        <v>32.465000000000003</v>
      </c>
      <c r="IP92" s="58">
        <v>17.242999999999999</v>
      </c>
      <c r="IQ92" s="58">
        <v>15.222</v>
      </c>
    </row>
    <row r="93" spans="1:251">
      <c r="A93" s="5">
        <v>44317</v>
      </c>
      <c r="B93" s="58">
        <v>1162.056</v>
      </c>
      <c r="C93" s="58">
        <v>1288.663</v>
      </c>
      <c r="D93" s="58">
        <v>444.005</v>
      </c>
      <c r="E93" s="58">
        <v>844.65800000000002</v>
      </c>
      <c r="F93" s="58">
        <v>538.4</v>
      </c>
      <c r="G93" s="58">
        <v>299.875</v>
      </c>
      <c r="H93" s="58">
        <v>238.52500000000001</v>
      </c>
      <c r="I93" s="58">
        <v>116.539</v>
      </c>
      <c r="J93" s="58">
        <v>67.230999999999995</v>
      </c>
      <c r="K93" s="58">
        <v>49.308</v>
      </c>
      <c r="L93" s="58">
        <v>35.68</v>
      </c>
      <c r="M93" s="58">
        <v>27.111000000000001</v>
      </c>
      <c r="N93" s="58">
        <v>8.5690000000000008</v>
      </c>
      <c r="O93" s="58">
        <v>23.806000000000001</v>
      </c>
      <c r="P93" s="58">
        <v>17.411999999999999</v>
      </c>
      <c r="Q93" s="58">
        <v>6.3940000000000001</v>
      </c>
      <c r="R93" s="58">
        <v>11.874000000000001</v>
      </c>
      <c r="S93" s="58">
        <v>9.6989999999999998</v>
      </c>
      <c r="T93" s="58">
        <v>2.1749999999999998</v>
      </c>
      <c r="U93" s="58">
        <v>80.858999999999995</v>
      </c>
      <c r="V93" s="58">
        <v>40.119999999999997</v>
      </c>
      <c r="W93" s="58">
        <v>40.738999999999997</v>
      </c>
      <c r="X93" s="58">
        <v>479.03899999999999</v>
      </c>
      <c r="Y93" s="58">
        <v>261.59399999999999</v>
      </c>
      <c r="Z93" s="58">
        <v>217.44499999999999</v>
      </c>
      <c r="AA93" s="58">
        <v>182.41800000000001</v>
      </c>
      <c r="AB93" s="58">
        <v>132.59</v>
      </c>
      <c r="AC93" s="58">
        <v>49.826999999999998</v>
      </c>
      <c r="AD93" s="58">
        <v>296.62099999999998</v>
      </c>
      <c r="AE93" s="58">
        <v>129.00399999999999</v>
      </c>
      <c r="AF93" s="58">
        <v>167.61799999999999</v>
      </c>
      <c r="AG93" s="58">
        <v>207.422</v>
      </c>
      <c r="AH93" s="58">
        <v>152.77000000000001</v>
      </c>
      <c r="AI93" s="58">
        <v>54.652000000000001</v>
      </c>
      <c r="AJ93" s="58">
        <v>330.97800000000001</v>
      </c>
      <c r="AK93" s="58">
        <v>147.10499999999999</v>
      </c>
      <c r="AL93" s="58">
        <v>183.87299999999999</v>
      </c>
      <c r="AM93" s="58">
        <v>320.42700000000002</v>
      </c>
      <c r="AN93" s="58">
        <v>146.41499999999999</v>
      </c>
      <c r="AO93" s="58">
        <v>174.012</v>
      </c>
      <c r="AP93" s="58">
        <v>3467.1030000000001</v>
      </c>
      <c r="AQ93" s="58">
        <v>1834.1669999999999</v>
      </c>
      <c r="AR93" s="58">
        <v>1632.9359999999999</v>
      </c>
      <c r="AS93" s="58">
        <v>2343.395</v>
      </c>
      <c r="AT93" s="58">
        <v>1468.18</v>
      </c>
      <c r="AU93" s="58">
        <v>875.21600000000001</v>
      </c>
      <c r="AV93" s="58">
        <v>1123.7070000000001</v>
      </c>
      <c r="AW93" s="58">
        <v>365.98700000000002</v>
      </c>
      <c r="AX93" s="58">
        <v>757.72</v>
      </c>
      <c r="AY93" s="58">
        <v>443.91899999999998</v>
      </c>
      <c r="AZ93" s="58">
        <v>244.67099999999999</v>
      </c>
      <c r="BA93" s="58">
        <v>199.24799999999999</v>
      </c>
      <c r="BB93" s="58">
        <v>98.305000000000007</v>
      </c>
      <c r="BC93" s="58">
        <v>52.557000000000002</v>
      </c>
      <c r="BD93" s="58">
        <v>45.747999999999998</v>
      </c>
      <c r="BE93" s="58">
        <v>44.814999999999998</v>
      </c>
      <c r="BF93" s="58">
        <v>30.428999999999998</v>
      </c>
      <c r="BG93" s="58">
        <v>14.387</v>
      </c>
      <c r="BH93" s="58">
        <v>29.172999999999998</v>
      </c>
      <c r="BI93" s="58">
        <v>20.567</v>
      </c>
      <c r="BJ93" s="58">
        <v>8.6059999999999999</v>
      </c>
      <c r="BK93" s="58">
        <v>15.641999999999999</v>
      </c>
      <c r="BL93" s="58">
        <v>9.8620000000000001</v>
      </c>
      <c r="BM93" s="58">
        <v>5.7809999999999997</v>
      </c>
      <c r="BN93" s="58">
        <v>53.49</v>
      </c>
      <c r="BO93" s="58">
        <v>22.129000000000001</v>
      </c>
      <c r="BP93" s="58">
        <v>31.361000000000001</v>
      </c>
      <c r="BQ93" s="58">
        <v>387.45100000000002</v>
      </c>
      <c r="BR93" s="58">
        <v>215.518</v>
      </c>
      <c r="BS93" s="58">
        <v>171.93299999999999</v>
      </c>
      <c r="BT93" s="58">
        <v>143.79499999999999</v>
      </c>
      <c r="BU93" s="58">
        <v>107.339</v>
      </c>
      <c r="BV93" s="58">
        <v>36.457000000000001</v>
      </c>
      <c r="BW93" s="58">
        <v>243.65600000000001</v>
      </c>
      <c r="BX93" s="58">
        <v>108.179</v>
      </c>
      <c r="BY93" s="58">
        <v>135.477</v>
      </c>
      <c r="BZ93" s="58">
        <v>177.55199999999999</v>
      </c>
      <c r="CA93" s="58">
        <v>129.535</v>
      </c>
      <c r="CB93" s="58">
        <v>48.017000000000003</v>
      </c>
      <c r="CC93" s="58">
        <v>266.36599999999999</v>
      </c>
      <c r="CD93" s="58">
        <v>115.136</v>
      </c>
      <c r="CE93" s="58">
        <v>151.23099999999999</v>
      </c>
      <c r="CF93" s="58">
        <v>272.82900000000001</v>
      </c>
      <c r="CG93" s="58">
        <v>128.74600000000001</v>
      </c>
      <c r="CH93" s="58">
        <v>144.083</v>
      </c>
      <c r="CI93" s="58">
        <v>2646.7759999999998</v>
      </c>
      <c r="CJ93" s="58">
        <v>1367.2260000000001</v>
      </c>
      <c r="CK93" s="58">
        <v>1279.55</v>
      </c>
      <c r="CL93" s="58">
        <v>1805.454</v>
      </c>
      <c r="CM93" s="58">
        <v>1100.329</v>
      </c>
      <c r="CN93" s="58">
        <v>705.12400000000002</v>
      </c>
      <c r="CO93" s="58">
        <v>841.322</v>
      </c>
      <c r="CP93" s="58">
        <v>266.89699999999999</v>
      </c>
      <c r="CQ93" s="58">
        <v>574.42600000000004</v>
      </c>
      <c r="CR93" s="58">
        <v>348.30900000000003</v>
      </c>
      <c r="CS93" s="58">
        <v>176.99700000000001</v>
      </c>
      <c r="CT93" s="58">
        <v>171.31200000000001</v>
      </c>
      <c r="CU93" s="58">
        <v>58.165999999999997</v>
      </c>
      <c r="CV93" s="58">
        <v>33.304000000000002</v>
      </c>
      <c r="CW93" s="58">
        <v>24.861999999999998</v>
      </c>
      <c r="CX93" s="58">
        <v>20.922999999999998</v>
      </c>
      <c r="CY93" s="58">
        <v>16.268000000000001</v>
      </c>
      <c r="CZ93" s="58">
        <v>4.6550000000000002</v>
      </c>
      <c r="DA93" s="58">
        <v>15.292</v>
      </c>
      <c r="DB93" s="58">
        <v>11.834</v>
      </c>
      <c r="DC93" s="58">
        <v>3.4580000000000002</v>
      </c>
      <c r="DD93" s="58">
        <v>5.6310000000000002</v>
      </c>
      <c r="DE93" s="58">
        <v>4.4340000000000002</v>
      </c>
      <c r="DF93" s="58">
        <v>1.196</v>
      </c>
      <c r="DG93" s="58">
        <v>37.243000000000002</v>
      </c>
      <c r="DH93" s="58">
        <v>17.036000000000001</v>
      </c>
      <c r="DI93" s="58">
        <v>20.207000000000001</v>
      </c>
      <c r="DJ93" s="58">
        <v>314.89100000000002</v>
      </c>
      <c r="DK93" s="58">
        <v>157.51900000000001</v>
      </c>
      <c r="DL93" s="58">
        <v>157.37200000000001</v>
      </c>
      <c r="DM93" s="58">
        <v>112.235</v>
      </c>
      <c r="DN93" s="58">
        <v>75.998000000000005</v>
      </c>
      <c r="DO93" s="58">
        <v>36.237000000000002</v>
      </c>
      <c r="DP93" s="58">
        <v>202.65600000000001</v>
      </c>
      <c r="DQ93" s="58">
        <v>81.521000000000001</v>
      </c>
      <c r="DR93" s="58">
        <v>121.13500000000001</v>
      </c>
      <c r="DS93" s="58">
        <v>127.447</v>
      </c>
      <c r="DT93" s="58">
        <v>87.21</v>
      </c>
      <c r="DU93" s="58">
        <v>40.238</v>
      </c>
      <c r="DV93" s="58">
        <v>220.86199999999999</v>
      </c>
      <c r="DW93" s="58">
        <v>89.787999999999997</v>
      </c>
      <c r="DX93" s="58">
        <v>131.07400000000001</v>
      </c>
      <c r="DY93" s="58">
        <v>217.947</v>
      </c>
      <c r="DZ93" s="58">
        <v>93.353999999999999</v>
      </c>
      <c r="EA93" s="58">
        <v>124.593</v>
      </c>
      <c r="EB93" s="58">
        <v>872.31600000000003</v>
      </c>
      <c r="EC93" s="58">
        <v>453.57799999999997</v>
      </c>
      <c r="ED93" s="58">
        <v>418.738</v>
      </c>
      <c r="EE93" s="58">
        <v>561.49300000000005</v>
      </c>
      <c r="EF93" s="58">
        <v>354.30900000000003</v>
      </c>
      <c r="EG93" s="58">
        <v>207.184</v>
      </c>
      <c r="EH93" s="58">
        <v>310.82299999999998</v>
      </c>
      <c r="EI93" s="58">
        <v>99.269000000000005</v>
      </c>
      <c r="EJ93" s="58">
        <v>211.55500000000001</v>
      </c>
      <c r="EK93" s="58">
        <v>117.06399999999999</v>
      </c>
      <c r="EL93" s="58">
        <v>63.74</v>
      </c>
      <c r="EM93" s="58">
        <v>53.323</v>
      </c>
      <c r="EN93" s="58">
        <v>26.783000000000001</v>
      </c>
      <c r="EO93" s="58">
        <v>14.916</v>
      </c>
      <c r="EP93" s="58">
        <v>11.866</v>
      </c>
      <c r="EQ93" s="58">
        <v>8.1590000000000007</v>
      </c>
      <c r="ER93" s="58">
        <v>6.6459999999999999</v>
      </c>
      <c r="ES93" s="58">
        <v>1.5129999999999999</v>
      </c>
      <c r="ET93" s="58">
        <v>4.2619999999999996</v>
      </c>
      <c r="EU93" s="58">
        <v>3.008</v>
      </c>
      <c r="EV93" s="58">
        <v>1.254</v>
      </c>
      <c r="EW93" s="58">
        <v>3.8969999999999998</v>
      </c>
      <c r="EX93" s="58">
        <v>3.6379999999999999</v>
      </c>
      <c r="EY93" s="58">
        <v>0.26</v>
      </c>
      <c r="EZ93" s="58">
        <v>18.623999999999999</v>
      </c>
      <c r="FA93" s="58">
        <v>8.2710000000000008</v>
      </c>
      <c r="FB93" s="58">
        <v>10.353</v>
      </c>
      <c r="FC93" s="58">
        <v>102.241</v>
      </c>
      <c r="FD93" s="58">
        <v>55.011000000000003</v>
      </c>
      <c r="FE93" s="58">
        <v>47.23</v>
      </c>
      <c r="FF93" s="58">
        <v>33.918999999999997</v>
      </c>
      <c r="FG93" s="58">
        <v>24.361000000000001</v>
      </c>
      <c r="FH93" s="58">
        <v>9.5579999999999998</v>
      </c>
      <c r="FI93" s="58">
        <v>68.322000000000003</v>
      </c>
      <c r="FJ93" s="58">
        <v>30.65</v>
      </c>
      <c r="FK93" s="58">
        <v>37.671999999999997</v>
      </c>
      <c r="FL93" s="58">
        <v>40.612000000000002</v>
      </c>
      <c r="FM93" s="58">
        <v>29.541</v>
      </c>
      <c r="FN93" s="58">
        <v>11.071</v>
      </c>
      <c r="FO93" s="58">
        <v>76.451999999999998</v>
      </c>
      <c r="FP93" s="58">
        <v>34.198999999999998</v>
      </c>
      <c r="FQ93" s="58">
        <v>42.252000000000002</v>
      </c>
      <c r="FR93" s="58">
        <v>72.584000000000003</v>
      </c>
      <c r="FS93" s="58">
        <v>33.658000000000001</v>
      </c>
      <c r="FT93" s="58">
        <v>38.926000000000002</v>
      </c>
      <c r="FU93" s="58">
        <v>1401.556</v>
      </c>
      <c r="FV93" s="58">
        <v>744.14499999999998</v>
      </c>
      <c r="FW93" s="58">
        <v>657.41099999999994</v>
      </c>
      <c r="FX93" s="58">
        <v>917.92200000000003</v>
      </c>
      <c r="FY93" s="58">
        <v>602.38699999999994</v>
      </c>
      <c r="FZ93" s="58">
        <v>315.536</v>
      </c>
      <c r="GA93" s="58">
        <v>483.63400000000001</v>
      </c>
      <c r="GB93" s="58">
        <v>141.75899999999999</v>
      </c>
      <c r="GC93" s="58">
        <v>341.875</v>
      </c>
      <c r="GD93" s="58">
        <v>169.96</v>
      </c>
      <c r="GE93" s="58">
        <v>89.516999999999996</v>
      </c>
      <c r="GF93" s="58">
        <v>80.442999999999998</v>
      </c>
      <c r="GG93" s="58">
        <v>32.89</v>
      </c>
      <c r="GH93" s="58">
        <v>17.652999999999999</v>
      </c>
      <c r="GI93" s="58">
        <v>15.236000000000001</v>
      </c>
      <c r="GJ93" s="58">
        <v>11.265000000000001</v>
      </c>
      <c r="GK93" s="58">
        <v>7.4690000000000003</v>
      </c>
      <c r="GL93" s="58">
        <v>3.7959999999999998</v>
      </c>
      <c r="GM93" s="58">
        <v>7.2960000000000003</v>
      </c>
      <c r="GN93" s="58">
        <v>4.4569999999999999</v>
      </c>
      <c r="GO93" s="58">
        <v>2.839</v>
      </c>
      <c r="GP93" s="58">
        <v>3.9689999999999999</v>
      </c>
      <c r="GQ93" s="58">
        <v>3.012</v>
      </c>
      <c r="GR93" s="58">
        <v>0.95699999999999996</v>
      </c>
      <c r="GS93" s="58">
        <v>21.625</v>
      </c>
      <c r="GT93" s="58">
        <v>10.183999999999999</v>
      </c>
      <c r="GU93" s="58">
        <v>11.44</v>
      </c>
      <c r="GV93" s="58">
        <v>150.05699999999999</v>
      </c>
      <c r="GW93" s="58">
        <v>78.033000000000001</v>
      </c>
      <c r="GX93" s="58">
        <v>72.024000000000001</v>
      </c>
      <c r="GY93" s="58">
        <v>52.612000000000002</v>
      </c>
      <c r="GZ93" s="58">
        <v>39.090000000000003</v>
      </c>
      <c r="HA93" s="58">
        <v>13.522</v>
      </c>
      <c r="HB93" s="58">
        <v>97.444999999999993</v>
      </c>
      <c r="HC93" s="58">
        <v>38.942999999999998</v>
      </c>
      <c r="HD93" s="58">
        <v>58.502000000000002</v>
      </c>
      <c r="HE93" s="58">
        <v>62.503</v>
      </c>
      <c r="HF93" s="58">
        <v>46.215000000000003</v>
      </c>
      <c r="HG93" s="58">
        <v>16.288</v>
      </c>
      <c r="HH93" s="58">
        <v>107.45699999999999</v>
      </c>
      <c r="HI93" s="58">
        <v>43.302</v>
      </c>
      <c r="HJ93" s="58">
        <v>64.155000000000001</v>
      </c>
      <c r="HK93" s="58">
        <v>104.741</v>
      </c>
      <c r="HL93" s="58">
        <v>43.4</v>
      </c>
      <c r="HM93" s="58">
        <v>61.341000000000001</v>
      </c>
      <c r="HN93" s="58">
        <v>260.322</v>
      </c>
      <c r="HO93" s="58">
        <v>136.80199999999999</v>
      </c>
      <c r="HP93" s="58">
        <v>123.52</v>
      </c>
      <c r="HQ93" s="58">
        <v>159.875</v>
      </c>
      <c r="HR93" s="58">
        <v>102.12</v>
      </c>
      <c r="HS93" s="58">
        <v>57.755000000000003</v>
      </c>
      <c r="HT93" s="58">
        <v>100.447</v>
      </c>
      <c r="HU93" s="58">
        <v>34.682000000000002</v>
      </c>
      <c r="HV93" s="58">
        <v>65.765000000000001</v>
      </c>
      <c r="HW93" s="58">
        <v>36.707999999999998</v>
      </c>
      <c r="HX93" s="58">
        <v>19.969000000000001</v>
      </c>
      <c r="HY93" s="58">
        <v>16.738</v>
      </c>
      <c r="HZ93" s="58">
        <v>6.0140000000000002</v>
      </c>
      <c r="IA93" s="58">
        <v>2.9870000000000001</v>
      </c>
      <c r="IB93" s="58">
        <v>3.0270000000000001</v>
      </c>
      <c r="IC93" s="58">
        <v>2.0840000000000001</v>
      </c>
      <c r="ID93" s="58">
        <v>1.3140000000000001</v>
      </c>
      <c r="IE93" s="58">
        <v>0.77</v>
      </c>
      <c r="IF93" s="58">
        <v>1.2669999999999999</v>
      </c>
      <c r="IG93" s="58">
        <v>0.80100000000000005</v>
      </c>
      <c r="IH93" s="58">
        <v>0.46500000000000002</v>
      </c>
      <c r="II93" s="58">
        <v>0.81699999999999995</v>
      </c>
      <c r="IJ93" s="58">
        <v>0.51200000000000001</v>
      </c>
      <c r="IK93" s="58">
        <v>0.30499999999999999</v>
      </c>
      <c r="IL93" s="58">
        <v>3.931</v>
      </c>
      <c r="IM93" s="58">
        <v>1.673</v>
      </c>
      <c r="IN93" s="58">
        <v>2.2570000000000001</v>
      </c>
      <c r="IO93" s="58">
        <v>32.837000000000003</v>
      </c>
      <c r="IP93" s="58">
        <v>18.096</v>
      </c>
      <c r="IQ93" s="58">
        <v>14.741</v>
      </c>
    </row>
    <row r="94" spans="1:251">
      <c r="A94" s="5">
        <v>44348</v>
      </c>
      <c r="B94" s="58">
        <v>1174.482</v>
      </c>
      <c r="C94" s="58">
        <v>1264.998</v>
      </c>
      <c r="D94" s="58">
        <v>435.26799999999997</v>
      </c>
      <c r="E94" s="58">
        <v>829.73</v>
      </c>
      <c r="F94" s="58">
        <v>529.30999999999995</v>
      </c>
      <c r="G94" s="58">
        <v>281.23500000000001</v>
      </c>
      <c r="H94" s="58">
        <v>248.07499999999999</v>
      </c>
      <c r="I94" s="58">
        <v>90.367000000000004</v>
      </c>
      <c r="J94" s="58">
        <v>49.734999999999999</v>
      </c>
      <c r="K94" s="58">
        <v>40.631</v>
      </c>
      <c r="L94" s="58">
        <v>37.274999999999999</v>
      </c>
      <c r="M94" s="58">
        <v>26.815000000000001</v>
      </c>
      <c r="N94" s="58">
        <v>10.46</v>
      </c>
      <c r="O94" s="58">
        <v>21.628</v>
      </c>
      <c r="P94" s="58">
        <v>13.88</v>
      </c>
      <c r="Q94" s="58">
        <v>7.7480000000000002</v>
      </c>
      <c r="R94" s="58">
        <v>15.647</v>
      </c>
      <c r="S94" s="58">
        <v>12.935</v>
      </c>
      <c r="T94" s="58">
        <v>2.7120000000000002</v>
      </c>
      <c r="U94" s="58">
        <v>53.091000000000001</v>
      </c>
      <c r="V94" s="58">
        <v>22.92</v>
      </c>
      <c r="W94" s="58">
        <v>30.170999999999999</v>
      </c>
      <c r="X94" s="58">
        <v>475.33800000000002</v>
      </c>
      <c r="Y94" s="58">
        <v>251.554</v>
      </c>
      <c r="Z94" s="58">
        <v>223.78399999999999</v>
      </c>
      <c r="AA94" s="58">
        <v>178.76300000000001</v>
      </c>
      <c r="AB94" s="58">
        <v>127.977</v>
      </c>
      <c r="AC94" s="58">
        <v>50.786000000000001</v>
      </c>
      <c r="AD94" s="58">
        <v>296.57499999999999</v>
      </c>
      <c r="AE94" s="58">
        <v>123.577</v>
      </c>
      <c r="AF94" s="58">
        <v>172.99799999999999</v>
      </c>
      <c r="AG94" s="58">
        <v>206.59100000000001</v>
      </c>
      <c r="AH94" s="58">
        <v>147.77799999999999</v>
      </c>
      <c r="AI94" s="58">
        <v>58.813000000000002</v>
      </c>
      <c r="AJ94" s="58">
        <v>322.71899999999999</v>
      </c>
      <c r="AK94" s="58">
        <v>133.45699999999999</v>
      </c>
      <c r="AL94" s="58">
        <v>189.262</v>
      </c>
      <c r="AM94" s="58">
        <v>318.20299999999997</v>
      </c>
      <c r="AN94" s="58">
        <v>137.45699999999999</v>
      </c>
      <c r="AO94" s="58">
        <v>180.74700000000001</v>
      </c>
      <c r="AP94" s="58">
        <v>3447.2750000000001</v>
      </c>
      <c r="AQ94" s="58">
        <v>1833.9010000000001</v>
      </c>
      <c r="AR94" s="58">
        <v>1613.373</v>
      </c>
      <c r="AS94" s="58">
        <v>2334.4450000000002</v>
      </c>
      <c r="AT94" s="58">
        <v>1474.259</v>
      </c>
      <c r="AU94" s="58">
        <v>860.18700000000001</v>
      </c>
      <c r="AV94" s="58">
        <v>1112.829</v>
      </c>
      <c r="AW94" s="58">
        <v>359.642</v>
      </c>
      <c r="AX94" s="58">
        <v>753.18700000000001</v>
      </c>
      <c r="AY94" s="58">
        <v>620.99300000000005</v>
      </c>
      <c r="AZ94" s="58">
        <v>335.375</v>
      </c>
      <c r="BA94" s="58">
        <v>285.61799999999999</v>
      </c>
      <c r="BB94" s="58">
        <v>290.68099999999998</v>
      </c>
      <c r="BC94" s="58">
        <v>152.16</v>
      </c>
      <c r="BD94" s="58">
        <v>138.52099999999999</v>
      </c>
      <c r="BE94" s="58">
        <v>131.94900000000001</v>
      </c>
      <c r="BF94" s="58">
        <v>86.18</v>
      </c>
      <c r="BG94" s="58">
        <v>45.768999999999998</v>
      </c>
      <c r="BH94" s="58">
        <v>92.662000000000006</v>
      </c>
      <c r="BI94" s="58">
        <v>54.902000000000001</v>
      </c>
      <c r="BJ94" s="58">
        <v>37.76</v>
      </c>
      <c r="BK94" s="58">
        <v>39.286999999999999</v>
      </c>
      <c r="BL94" s="58">
        <v>31.277999999999999</v>
      </c>
      <c r="BM94" s="58">
        <v>8.0090000000000003</v>
      </c>
      <c r="BN94" s="58">
        <v>158.732</v>
      </c>
      <c r="BO94" s="58">
        <v>65.98</v>
      </c>
      <c r="BP94" s="58">
        <v>92.751999999999995</v>
      </c>
      <c r="BQ94" s="58">
        <v>414.74099999999999</v>
      </c>
      <c r="BR94" s="58">
        <v>227.751</v>
      </c>
      <c r="BS94" s="58">
        <v>186.99</v>
      </c>
      <c r="BT94" s="58">
        <v>158.29499999999999</v>
      </c>
      <c r="BU94" s="58">
        <v>117.452</v>
      </c>
      <c r="BV94" s="58">
        <v>40.843000000000004</v>
      </c>
      <c r="BW94" s="58">
        <v>256.44600000000003</v>
      </c>
      <c r="BX94" s="58">
        <v>110.29900000000001</v>
      </c>
      <c r="BY94" s="58">
        <v>146.14599999999999</v>
      </c>
      <c r="BZ94" s="58">
        <v>269.60000000000002</v>
      </c>
      <c r="CA94" s="58">
        <v>186.934</v>
      </c>
      <c r="CB94" s="58">
        <v>82.665999999999997</v>
      </c>
      <c r="CC94" s="58">
        <v>351.392</v>
      </c>
      <c r="CD94" s="58">
        <v>148.441</v>
      </c>
      <c r="CE94" s="58">
        <v>202.952</v>
      </c>
      <c r="CF94" s="58">
        <v>349.10700000000003</v>
      </c>
      <c r="CG94" s="58">
        <v>165.20099999999999</v>
      </c>
      <c r="CH94" s="58">
        <v>183.90700000000001</v>
      </c>
      <c r="CI94" s="58">
        <v>2659.0590000000002</v>
      </c>
      <c r="CJ94" s="58">
        <v>1379.1759999999999</v>
      </c>
      <c r="CK94" s="58">
        <v>1279.883</v>
      </c>
      <c r="CL94" s="58">
        <v>1826.932</v>
      </c>
      <c r="CM94" s="58">
        <v>1128.077</v>
      </c>
      <c r="CN94" s="58">
        <v>698.85500000000002</v>
      </c>
      <c r="CO94" s="58">
        <v>832.12699999999995</v>
      </c>
      <c r="CP94" s="58">
        <v>251.09899999999999</v>
      </c>
      <c r="CQ94" s="58">
        <v>581.02800000000002</v>
      </c>
      <c r="CR94" s="58">
        <v>346.92399999999998</v>
      </c>
      <c r="CS94" s="58">
        <v>195.91399999999999</v>
      </c>
      <c r="CT94" s="58">
        <v>151.01</v>
      </c>
      <c r="CU94" s="58">
        <v>69.358000000000004</v>
      </c>
      <c r="CV94" s="58">
        <v>42.805</v>
      </c>
      <c r="CW94" s="58">
        <v>26.553999999999998</v>
      </c>
      <c r="CX94" s="58">
        <v>30.53</v>
      </c>
      <c r="CY94" s="58">
        <v>21.93</v>
      </c>
      <c r="CZ94" s="58">
        <v>8.6</v>
      </c>
      <c r="DA94" s="58">
        <v>18.251000000000001</v>
      </c>
      <c r="DB94" s="58">
        <v>11.853</v>
      </c>
      <c r="DC94" s="58">
        <v>6.399</v>
      </c>
      <c r="DD94" s="58">
        <v>12.278</v>
      </c>
      <c r="DE94" s="58">
        <v>10.077</v>
      </c>
      <c r="DF94" s="58">
        <v>2.2010000000000001</v>
      </c>
      <c r="DG94" s="58">
        <v>38.829000000000001</v>
      </c>
      <c r="DH94" s="58">
        <v>20.875</v>
      </c>
      <c r="DI94" s="58">
        <v>17.954000000000001</v>
      </c>
      <c r="DJ94" s="58">
        <v>305.63099999999997</v>
      </c>
      <c r="DK94" s="58">
        <v>171.285</v>
      </c>
      <c r="DL94" s="58">
        <v>134.34700000000001</v>
      </c>
      <c r="DM94" s="58">
        <v>126.352</v>
      </c>
      <c r="DN94" s="58">
        <v>96.725999999999999</v>
      </c>
      <c r="DO94" s="58">
        <v>29.626000000000001</v>
      </c>
      <c r="DP94" s="58">
        <v>179.28</v>
      </c>
      <c r="DQ94" s="58">
        <v>74.558999999999997</v>
      </c>
      <c r="DR94" s="58">
        <v>104.721</v>
      </c>
      <c r="DS94" s="58">
        <v>147.893</v>
      </c>
      <c r="DT94" s="58">
        <v>111.755</v>
      </c>
      <c r="DU94" s="58">
        <v>36.139000000000003</v>
      </c>
      <c r="DV94" s="58">
        <v>199.03100000000001</v>
      </c>
      <c r="DW94" s="58">
        <v>84.159000000000006</v>
      </c>
      <c r="DX94" s="58">
        <v>114.872</v>
      </c>
      <c r="DY94" s="58">
        <v>197.53100000000001</v>
      </c>
      <c r="DZ94" s="58">
        <v>86.412000000000006</v>
      </c>
      <c r="EA94" s="58">
        <v>111.12</v>
      </c>
      <c r="EB94" s="58">
        <v>870.13800000000003</v>
      </c>
      <c r="EC94" s="58">
        <v>452.86500000000001</v>
      </c>
      <c r="ED94" s="58">
        <v>417.27300000000002</v>
      </c>
      <c r="EE94" s="58">
        <v>557.74599999999998</v>
      </c>
      <c r="EF94" s="58">
        <v>355.17</v>
      </c>
      <c r="EG94" s="58">
        <v>202.57599999999999</v>
      </c>
      <c r="EH94" s="58">
        <v>312.392</v>
      </c>
      <c r="EI94" s="58">
        <v>97.694999999999993</v>
      </c>
      <c r="EJ94" s="58">
        <v>214.697</v>
      </c>
      <c r="EK94" s="58">
        <v>114.536</v>
      </c>
      <c r="EL94" s="58">
        <v>60.648000000000003</v>
      </c>
      <c r="EM94" s="58">
        <v>53.887999999999998</v>
      </c>
      <c r="EN94" s="58">
        <v>23.446999999999999</v>
      </c>
      <c r="EO94" s="58">
        <v>12.106999999999999</v>
      </c>
      <c r="EP94" s="58">
        <v>11.34</v>
      </c>
      <c r="EQ94" s="58">
        <v>6.1369999999999996</v>
      </c>
      <c r="ER94" s="58">
        <v>5.3810000000000002</v>
      </c>
      <c r="ES94" s="58">
        <v>0.75600000000000001</v>
      </c>
      <c r="ET94" s="58">
        <v>3.3849999999999998</v>
      </c>
      <c r="EU94" s="58">
        <v>2.8660000000000001</v>
      </c>
      <c r="EV94" s="58">
        <v>0.51900000000000002</v>
      </c>
      <c r="EW94" s="58">
        <v>2.7519999999999998</v>
      </c>
      <c r="EX94" s="58">
        <v>2.5150000000000001</v>
      </c>
      <c r="EY94" s="58">
        <v>0.23599999999999999</v>
      </c>
      <c r="EZ94" s="58">
        <v>17.309999999999999</v>
      </c>
      <c r="FA94" s="58">
        <v>6.7249999999999996</v>
      </c>
      <c r="FB94" s="58">
        <v>10.584</v>
      </c>
      <c r="FC94" s="58">
        <v>101.032</v>
      </c>
      <c r="FD94" s="58">
        <v>54.542999999999999</v>
      </c>
      <c r="FE94" s="58">
        <v>46.488</v>
      </c>
      <c r="FF94" s="58">
        <v>32.119</v>
      </c>
      <c r="FG94" s="58">
        <v>22.081</v>
      </c>
      <c r="FH94" s="58">
        <v>10.038</v>
      </c>
      <c r="FI94" s="58">
        <v>68.912999999999997</v>
      </c>
      <c r="FJ94" s="58">
        <v>32.462000000000003</v>
      </c>
      <c r="FK94" s="58">
        <v>36.451000000000001</v>
      </c>
      <c r="FL94" s="58">
        <v>36.052</v>
      </c>
      <c r="FM94" s="58">
        <v>25.777999999999999</v>
      </c>
      <c r="FN94" s="58">
        <v>10.273999999999999</v>
      </c>
      <c r="FO94" s="58">
        <v>78.484999999999999</v>
      </c>
      <c r="FP94" s="58">
        <v>34.869999999999997</v>
      </c>
      <c r="FQ94" s="58">
        <v>43.613999999999997</v>
      </c>
      <c r="FR94" s="58">
        <v>72.298000000000002</v>
      </c>
      <c r="FS94" s="58">
        <v>35.328000000000003</v>
      </c>
      <c r="FT94" s="58">
        <v>36.97</v>
      </c>
      <c r="FU94" s="58">
        <v>1409.04</v>
      </c>
      <c r="FV94" s="58">
        <v>751.27</v>
      </c>
      <c r="FW94" s="58">
        <v>657.77</v>
      </c>
      <c r="FX94" s="58">
        <v>938.55200000000002</v>
      </c>
      <c r="FY94" s="58">
        <v>613.04100000000005</v>
      </c>
      <c r="FZ94" s="58">
        <v>325.51100000000002</v>
      </c>
      <c r="GA94" s="58">
        <v>470.488</v>
      </c>
      <c r="GB94" s="58">
        <v>138.22900000000001</v>
      </c>
      <c r="GC94" s="58">
        <v>332.25900000000001</v>
      </c>
      <c r="GD94" s="58">
        <v>178.17500000000001</v>
      </c>
      <c r="GE94" s="58">
        <v>96.266000000000005</v>
      </c>
      <c r="GF94" s="58">
        <v>81.909000000000006</v>
      </c>
      <c r="GG94" s="58">
        <v>31.166</v>
      </c>
      <c r="GH94" s="58">
        <v>17.821999999999999</v>
      </c>
      <c r="GI94" s="58">
        <v>13.343999999999999</v>
      </c>
      <c r="GJ94" s="58">
        <v>13.167999999999999</v>
      </c>
      <c r="GK94" s="58">
        <v>9.5510000000000002</v>
      </c>
      <c r="GL94" s="58">
        <v>3.617</v>
      </c>
      <c r="GM94" s="58">
        <v>6.65</v>
      </c>
      <c r="GN94" s="58">
        <v>4.5049999999999999</v>
      </c>
      <c r="GO94" s="58">
        <v>2.145</v>
      </c>
      <c r="GP94" s="58">
        <v>6.5179999999999998</v>
      </c>
      <c r="GQ94" s="58">
        <v>5.0460000000000003</v>
      </c>
      <c r="GR94" s="58">
        <v>1.472</v>
      </c>
      <c r="GS94" s="58">
        <v>17.998000000000001</v>
      </c>
      <c r="GT94" s="58">
        <v>8.2710000000000008</v>
      </c>
      <c r="GU94" s="58">
        <v>9.7270000000000003</v>
      </c>
      <c r="GV94" s="58">
        <v>158.94800000000001</v>
      </c>
      <c r="GW94" s="58">
        <v>84.784999999999997</v>
      </c>
      <c r="GX94" s="58">
        <v>74.164000000000001</v>
      </c>
      <c r="GY94" s="58">
        <v>54.856000000000002</v>
      </c>
      <c r="GZ94" s="58">
        <v>38.960999999999999</v>
      </c>
      <c r="HA94" s="58">
        <v>15.895</v>
      </c>
      <c r="HB94" s="58">
        <v>104.093</v>
      </c>
      <c r="HC94" s="58">
        <v>45.823999999999998</v>
      </c>
      <c r="HD94" s="58">
        <v>58.268999999999998</v>
      </c>
      <c r="HE94" s="58">
        <v>65.953999999999994</v>
      </c>
      <c r="HF94" s="58">
        <v>47.195</v>
      </c>
      <c r="HG94" s="58">
        <v>18.759</v>
      </c>
      <c r="HH94" s="58">
        <v>112.221</v>
      </c>
      <c r="HI94" s="58">
        <v>49.070999999999998</v>
      </c>
      <c r="HJ94" s="58">
        <v>63.15</v>
      </c>
      <c r="HK94" s="58">
        <v>110.74299999999999</v>
      </c>
      <c r="HL94" s="58">
        <v>50.329000000000001</v>
      </c>
      <c r="HM94" s="58">
        <v>60.412999999999997</v>
      </c>
      <c r="HN94" s="58">
        <v>260.38200000000001</v>
      </c>
      <c r="HO94" s="58">
        <v>136.142</v>
      </c>
      <c r="HP94" s="58">
        <v>124.24</v>
      </c>
      <c r="HQ94" s="58">
        <v>158.977</v>
      </c>
      <c r="HR94" s="58">
        <v>102.002</v>
      </c>
      <c r="HS94" s="58">
        <v>56.975000000000001</v>
      </c>
      <c r="HT94" s="58">
        <v>101.405</v>
      </c>
      <c r="HU94" s="58">
        <v>34.14</v>
      </c>
      <c r="HV94" s="58">
        <v>67.265000000000001</v>
      </c>
      <c r="HW94" s="58">
        <v>36.506</v>
      </c>
      <c r="HX94" s="58">
        <v>20.04</v>
      </c>
      <c r="HY94" s="58">
        <v>16.466000000000001</v>
      </c>
      <c r="HZ94" s="58">
        <v>8.5500000000000007</v>
      </c>
      <c r="IA94" s="58">
        <v>4.806</v>
      </c>
      <c r="IB94" s="58">
        <v>3.7440000000000002</v>
      </c>
      <c r="IC94" s="58">
        <v>3.2040000000000002</v>
      </c>
      <c r="ID94" s="58">
        <v>2.2229999999999999</v>
      </c>
      <c r="IE94" s="58">
        <v>0.98199999999999998</v>
      </c>
      <c r="IF94" s="58">
        <v>1.643</v>
      </c>
      <c r="IG94" s="58">
        <v>0.84399999999999997</v>
      </c>
      <c r="IH94" s="58">
        <v>0.79900000000000004</v>
      </c>
      <c r="II94" s="58">
        <v>1.5609999999999999</v>
      </c>
      <c r="IJ94" s="58">
        <v>1.3779999999999999</v>
      </c>
      <c r="IK94" s="58">
        <v>0.183</v>
      </c>
      <c r="IL94" s="58">
        <v>5.3460000000000001</v>
      </c>
      <c r="IM94" s="58">
        <v>2.5840000000000001</v>
      </c>
      <c r="IN94" s="58">
        <v>2.7629999999999999</v>
      </c>
      <c r="IO94" s="58">
        <v>31.044</v>
      </c>
      <c r="IP94" s="58">
        <v>16.837</v>
      </c>
      <c r="IQ94" s="58">
        <v>14.207000000000001</v>
      </c>
    </row>
    <row r="95" spans="1:251">
      <c r="A95" s="5">
        <v>44378</v>
      </c>
      <c r="B95" s="58">
        <v>1163.818</v>
      </c>
      <c r="C95" s="58">
        <v>1205.98</v>
      </c>
      <c r="D95" s="58">
        <v>407.71800000000002</v>
      </c>
      <c r="E95" s="58">
        <v>798.26199999999994</v>
      </c>
      <c r="F95" s="58">
        <v>716.71699999999998</v>
      </c>
      <c r="G95" s="58">
        <v>374.26</v>
      </c>
      <c r="H95" s="58">
        <v>342.45699999999999</v>
      </c>
      <c r="I95" s="58">
        <v>316.834</v>
      </c>
      <c r="J95" s="58">
        <v>168.708</v>
      </c>
      <c r="K95" s="58">
        <v>148.126</v>
      </c>
      <c r="L95" s="58">
        <v>150.00299999999999</v>
      </c>
      <c r="M95" s="58">
        <v>97.320999999999998</v>
      </c>
      <c r="N95" s="58">
        <v>52.683</v>
      </c>
      <c r="O95" s="58">
        <v>113.258</v>
      </c>
      <c r="P95" s="58">
        <v>72.212000000000003</v>
      </c>
      <c r="Q95" s="58">
        <v>41.045999999999999</v>
      </c>
      <c r="R95" s="58">
        <v>36.744999999999997</v>
      </c>
      <c r="S95" s="58">
        <v>25.108000000000001</v>
      </c>
      <c r="T95" s="58">
        <v>11.637</v>
      </c>
      <c r="U95" s="58">
        <v>166.83</v>
      </c>
      <c r="V95" s="58">
        <v>71.387</v>
      </c>
      <c r="W95" s="58">
        <v>95.442999999999998</v>
      </c>
      <c r="X95" s="58">
        <v>504.01799999999997</v>
      </c>
      <c r="Y95" s="58">
        <v>266.74799999999999</v>
      </c>
      <c r="Z95" s="58">
        <v>237.26900000000001</v>
      </c>
      <c r="AA95" s="58">
        <v>209.136</v>
      </c>
      <c r="AB95" s="58">
        <v>152.31700000000001</v>
      </c>
      <c r="AC95" s="58">
        <v>56.819000000000003</v>
      </c>
      <c r="AD95" s="58">
        <v>294.88200000000001</v>
      </c>
      <c r="AE95" s="58">
        <v>114.432</v>
      </c>
      <c r="AF95" s="58">
        <v>180.45</v>
      </c>
      <c r="AG95" s="58">
        <v>326.56400000000002</v>
      </c>
      <c r="AH95" s="58">
        <v>224.11699999999999</v>
      </c>
      <c r="AI95" s="58">
        <v>102.447</v>
      </c>
      <c r="AJ95" s="58">
        <v>390.15300000000002</v>
      </c>
      <c r="AK95" s="58">
        <v>150.143</v>
      </c>
      <c r="AL95" s="58">
        <v>240.01</v>
      </c>
      <c r="AM95" s="58">
        <v>408.14</v>
      </c>
      <c r="AN95" s="58">
        <v>186.64400000000001</v>
      </c>
      <c r="AO95" s="58">
        <v>221.49600000000001</v>
      </c>
      <c r="AP95" s="58">
        <v>3456.607</v>
      </c>
      <c r="AQ95" s="58">
        <v>1834.384</v>
      </c>
      <c r="AR95" s="58">
        <v>1622.223</v>
      </c>
      <c r="AS95" s="58">
        <v>2350.748</v>
      </c>
      <c r="AT95" s="58">
        <v>1478.741</v>
      </c>
      <c r="AU95" s="58">
        <v>872.00699999999995</v>
      </c>
      <c r="AV95" s="58">
        <v>1105.8589999999999</v>
      </c>
      <c r="AW95" s="58">
        <v>355.64299999999997</v>
      </c>
      <c r="AX95" s="58">
        <v>750.21600000000001</v>
      </c>
      <c r="AY95" s="58">
        <v>516.11099999999999</v>
      </c>
      <c r="AZ95" s="58">
        <v>269.18</v>
      </c>
      <c r="BA95" s="58">
        <v>246.93100000000001</v>
      </c>
      <c r="BB95" s="58">
        <v>171.00200000000001</v>
      </c>
      <c r="BC95" s="58">
        <v>93.658000000000001</v>
      </c>
      <c r="BD95" s="58">
        <v>77.344999999999999</v>
      </c>
      <c r="BE95" s="58">
        <v>71.917000000000002</v>
      </c>
      <c r="BF95" s="58">
        <v>51.125999999999998</v>
      </c>
      <c r="BG95" s="58">
        <v>20.791</v>
      </c>
      <c r="BH95" s="58">
        <v>46.942999999999998</v>
      </c>
      <c r="BI95" s="58">
        <v>32.863</v>
      </c>
      <c r="BJ95" s="58">
        <v>14.08</v>
      </c>
      <c r="BK95" s="58">
        <v>24.975000000000001</v>
      </c>
      <c r="BL95" s="58">
        <v>18.263000000000002</v>
      </c>
      <c r="BM95" s="58">
        <v>6.7119999999999997</v>
      </c>
      <c r="BN95" s="58">
        <v>99.084999999999994</v>
      </c>
      <c r="BO95" s="58">
        <v>42.531999999999996</v>
      </c>
      <c r="BP95" s="58">
        <v>56.552999999999997</v>
      </c>
      <c r="BQ95" s="58">
        <v>405.029</v>
      </c>
      <c r="BR95" s="58">
        <v>210.203</v>
      </c>
      <c r="BS95" s="58">
        <v>194.827</v>
      </c>
      <c r="BT95" s="58">
        <v>161.768</v>
      </c>
      <c r="BU95" s="58">
        <v>116.086</v>
      </c>
      <c r="BV95" s="58">
        <v>45.682000000000002</v>
      </c>
      <c r="BW95" s="58">
        <v>243.262</v>
      </c>
      <c r="BX95" s="58">
        <v>94.117000000000004</v>
      </c>
      <c r="BY95" s="58">
        <v>149.14500000000001</v>
      </c>
      <c r="BZ95" s="58">
        <v>219.161</v>
      </c>
      <c r="CA95" s="58">
        <v>155.61000000000001</v>
      </c>
      <c r="CB95" s="58">
        <v>63.55</v>
      </c>
      <c r="CC95" s="58">
        <v>296.95100000000002</v>
      </c>
      <c r="CD95" s="58">
        <v>113.57</v>
      </c>
      <c r="CE95" s="58">
        <v>183.381</v>
      </c>
      <c r="CF95" s="58">
        <v>290.20400000000001</v>
      </c>
      <c r="CG95" s="58">
        <v>126.979</v>
      </c>
      <c r="CH95" s="58">
        <v>163.22499999999999</v>
      </c>
      <c r="CI95" s="58">
        <v>2660.7350000000001</v>
      </c>
      <c r="CJ95" s="58">
        <v>1380.1669999999999</v>
      </c>
      <c r="CK95" s="58">
        <v>1280.568</v>
      </c>
      <c r="CL95" s="58">
        <v>1815.691</v>
      </c>
      <c r="CM95" s="58">
        <v>1116.617</v>
      </c>
      <c r="CN95" s="58">
        <v>699.07399999999996</v>
      </c>
      <c r="CO95" s="58">
        <v>845.04399999999998</v>
      </c>
      <c r="CP95" s="58">
        <v>263.55</v>
      </c>
      <c r="CQ95" s="58">
        <v>581.49400000000003</v>
      </c>
      <c r="CR95" s="58">
        <v>360.74400000000003</v>
      </c>
      <c r="CS95" s="58">
        <v>203.874</v>
      </c>
      <c r="CT95" s="58">
        <v>156.87100000000001</v>
      </c>
      <c r="CU95" s="58">
        <v>75.61</v>
      </c>
      <c r="CV95" s="58">
        <v>44.423000000000002</v>
      </c>
      <c r="CW95" s="58">
        <v>31.187000000000001</v>
      </c>
      <c r="CX95" s="58">
        <v>30.132999999999999</v>
      </c>
      <c r="CY95" s="58">
        <v>22.04</v>
      </c>
      <c r="CZ95" s="58">
        <v>8.093</v>
      </c>
      <c r="DA95" s="58">
        <v>19.606000000000002</v>
      </c>
      <c r="DB95" s="58">
        <v>14.138</v>
      </c>
      <c r="DC95" s="58">
        <v>5.4690000000000003</v>
      </c>
      <c r="DD95" s="58">
        <v>10.526999999999999</v>
      </c>
      <c r="DE95" s="58">
        <v>7.9020000000000001</v>
      </c>
      <c r="DF95" s="58">
        <v>2.625</v>
      </c>
      <c r="DG95" s="58">
        <v>45.476999999999997</v>
      </c>
      <c r="DH95" s="58">
        <v>22.382999999999999</v>
      </c>
      <c r="DI95" s="58">
        <v>23.093</v>
      </c>
      <c r="DJ95" s="58">
        <v>316.94900000000001</v>
      </c>
      <c r="DK95" s="58">
        <v>179.221</v>
      </c>
      <c r="DL95" s="58">
        <v>137.727</v>
      </c>
      <c r="DM95" s="58">
        <v>120.4</v>
      </c>
      <c r="DN95" s="58">
        <v>92.531000000000006</v>
      </c>
      <c r="DO95" s="58">
        <v>27.869</v>
      </c>
      <c r="DP95" s="58">
        <v>196.54900000000001</v>
      </c>
      <c r="DQ95" s="58">
        <v>86.69</v>
      </c>
      <c r="DR95" s="58">
        <v>109.858</v>
      </c>
      <c r="DS95" s="58">
        <v>141.57900000000001</v>
      </c>
      <c r="DT95" s="58">
        <v>107.578</v>
      </c>
      <c r="DU95" s="58">
        <v>34.000999999999998</v>
      </c>
      <c r="DV95" s="58">
        <v>219.166</v>
      </c>
      <c r="DW95" s="58">
        <v>96.296000000000006</v>
      </c>
      <c r="DX95" s="58">
        <v>122.87</v>
      </c>
      <c r="DY95" s="58">
        <v>216.155</v>
      </c>
      <c r="DZ95" s="58">
        <v>100.828</v>
      </c>
      <c r="EA95" s="58">
        <v>115.327</v>
      </c>
      <c r="EB95" s="58">
        <v>876.25</v>
      </c>
      <c r="EC95" s="58">
        <v>456.83800000000002</v>
      </c>
      <c r="ED95" s="58">
        <v>419.41199999999998</v>
      </c>
      <c r="EE95" s="58">
        <v>561.577</v>
      </c>
      <c r="EF95" s="58">
        <v>356.22199999999998</v>
      </c>
      <c r="EG95" s="58">
        <v>205.35499999999999</v>
      </c>
      <c r="EH95" s="58">
        <v>314.673</v>
      </c>
      <c r="EI95" s="58">
        <v>100.616</v>
      </c>
      <c r="EJ95" s="58">
        <v>214.05699999999999</v>
      </c>
      <c r="EK95" s="58">
        <v>125.941</v>
      </c>
      <c r="EL95" s="58">
        <v>69.501999999999995</v>
      </c>
      <c r="EM95" s="58">
        <v>56.44</v>
      </c>
      <c r="EN95" s="58">
        <v>31.539000000000001</v>
      </c>
      <c r="EO95" s="58">
        <v>18.972999999999999</v>
      </c>
      <c r="EP95" s="58">
        <v>12.567</v>
      </c>
      <c r="EQ95" s="58">
        <v>11.263999999999999</v>
      </c>
      <c r="ER95" s="58">
        <v>10.3</v>
      </c>
      <c r="ES95" s="58">
        <v>0.96399999999999997</v>
      </c>
      <c r="ET95" s="58">
        <v>7.2430000000000003</v>
      </c>
      <c r="EU95" s="58">
        <v>6.5</v>
      </c>
      <c r="EV95" s="58">
        <v>0.74399999999999999</v>
      </c>
      <c r="EW95" s="58">
        <v>4.0199999999999996</v>
      </c>
      <c r="EX95" s="58">
        <v>3.8</v>
      </c>
      <c r="EY95" s="58">
        <v>0.22</v>
      </c>
      <c r="EZ95" s="58">
        <v>20.276</v>
      </c>
      <c r="FA95" s="58">
        <v>8.673</v>
      </c>
      <c r="FB95" s="58">
        <v>11.603</v>
      </c>
      <c r="FC95" s="58">
        <v>107.94799999999999</v>
      </c>
      <c r="FD95" s="58">
        <v>58.006999999999998</v>
      </c>
      <c r="FE95" s="58">
        <v>49.941000000000003</v>
      </c>
      <c r="FF95" s="58">
        <v>35.203000000000003</v>
      </c>
      <c r="FG95" s="58">
        <v>25.916</v>
      </c>
      <c r="FH95" s="58">
        <v>9.2870000000000008</v>
      </c>
      <c r="FI95" s="58">
        <v>72.745000000000005</v>
      </c>
      <c r="FJ95" s="58">
        <v>32.091999999999999</v>
      </c>
      <c r="FK95" s="58">
        <v>40.652999999999999</v>
      </c>
      <c r="FL95" s="58">
        <v>44.122999999999998</v>
      </c>
      <c r="FM95" s="58">
        <v>34.094999999999999</v>
      </c>
      <c r="FN95" s="58">
        <v>10.028</v>
      </c>
      <c r="FO95" s="58">
        <v>81.817999999999998</v>
      </c>
      <c r="FP95" s="58">
        <v>35.406999999999996</v>
      </c>
      <c r="FQ95" s="58">
        <v>46.411999999999999</v>
      </c>
      <c r="FR95" s="58">
        <v>79.988</v>
      </c>
      <c r="FS95" s="58">
        <v>38.591999999999999</v>
      </c>
      <c r="FT95" s="58">
        <v>41.396999999999998</v>
      </c>
      <c r="FU95" s="58">
        <v>1412.5820000000001</v>
      </c>
      <c r="FV95" s="58">
        <v>754.42200000000003</v>
      </c>
      <c r="FW95" s="58">
        <v>658.16</v>
      </c>
      <c r="FX95" s="58">
        <v>949.71500000000003</v>
      </c>
      <c r="FY95" s="58">
        <v>614.95600000000002</v>
      </c>
      <c r="FZ95" s="58">
        <v>334.75900000000001</v>
      </c>
      <c r="GA95" s="58">
        <v>462.86700000000002</v>
      </c>
      <c r="GB95" s="58">
        <v>139.465</v>
      </c>
      <c r="GC95" s="58">
        <v>323.40100000000001</v>
      </c>
      <c r="GD95" s="58">
        <v>172.68700000000001</v>
      </c>
      <c r="GE95" s="58">
        <v>89.900999999999996</v>
      </c>
      <c r="GF95" s="58">
        <v>82.786000000000001</v>
      </c>
      <c r="GG95" s="58">
        <v>32.180999999999997</v>
      </c>
      <c r="GH95" s="58">
        <v>13.949</v>
      </c>
      <c r="GI95" s="58">
        <v>18.231999999999999</v>
      </c>
      <c r="GJ95" s="58">
        <v>9.5060000000000002</v>
      </c>
      <c r="GK95" s="58">
        <v>4.8369999999999997</v>
      </c>
      <c r="GL95" s="58">
        <v>4.6689999999999996</v>
      </c>
      <c r="GM95" s="58">
        <v>5.2489999999999997</v>
      </c>
      <c r="GN95" s="58">
        <v>1.994</v>
      </c>
      <c r="GO95" s="58">
        <v>3.2549999999999999</v>
      </c>
      <c r="GP95" s="58">
        <v>4.2569999999999997</v>
      </c>
      <c r="GQ95" s="58">
        <v>2.843</v>
      </c>
      <c r="GR95" s="58">
        <v>1.4139999999999999</v>
      </c>
      <c r="GS95" s="58">
        <v>22.675000000000001</v>
      </c>
      <c r="GT95" s="58">
        <v>9.1120000000000001</v>
      </c>
      <c r="GU95" s="58">
        <v>13.561999999999999</v>
      </c>
      <c r="GV95" s="58">
        <v>154.66200000000001</v>
      </c>
      <c r="GW95" s="58">
        <v>81.768000000000001</v>
      </c>
      <c r="GX95" s="58">
        <v>72.894999999999996</v>
      </c>
      <c r="GY95" s="58">
        <v>55.991</v>
      </c>
      <c r="GZ95" s="58">
        <v>40.619</v>
      </c>
      <c r="HA95" s="58">
        <v>15.372</v>
      </c>
      <c r="HB95" s="58">
        <v>98.671000000000006</v>
      </c>
      <c r="HC95" s="58">
        <v>41.149000000000001</v>
      </c>
      <c r="HD95" s="58">
        <v>57.521999999999998</v>
      </c>
      <c r="HE95" s="58">
        <v>63.953000000000003</v>
      </c>
      <c r="HF95" s="58">
        <v>45.456000000000003</v>
      </c>
      <c r="HG95" s="58">
        <v>18.497</v>
      </c>
      <c r="HH95" s="58">
        <v>108.73399999999999</v>
      </c>
      <c r="HI95" s="58">
        <v>44.444000000000003</v>
      </c>
      <c r="HJ95" s="58">
        <v>64.290000000000006</v>
      </c>
      <c r="HK95" s="58">
        <v>103.92</v>
      </c>
      <c r="HL95" s="58">
        <v>43.142000000000003</v>
      </c>
      <c r="HM95" s="58">
        <v>60.777999999999999</v>
      </c>
      <c r="HN95" s="58">
        <v>260.33300000000003</v>
      </c>
      <c r="HO95" s="58">
        <v>135.733</v>
      </c>
      <c r="HP95" s="58">
        <v>124.6</v>
      </c>
      <c r="HQ95" s="58">
        <v>160.03399999999999</v>
      </c>
      <c r="HR95" s="58">
        <v>101.66200000000001</v>
      </c>
      <c r="HS95" s="58">
        <v>58.372</v>
      </c>
      <c r="HT95" s="58">
        <v>100.29900000000001</v>
      </c>
      <c r="HU95" s="58">
        <v>34.070999999999998</v>
      </c>
      <c r="HV95" s="58">
        <v>66.227999999999994</v>
      </c>
      <c r="HW95" s="58">
        <v>33.616</v>
      </c>
      <c r="HX95" s="58">
        <v>19.091999999999999</v>
      </c>
      <c r="HY95" s="58">
        <v>14.523999999999999</v>
      </c>
      <c r="HZ95" s="58">
        <v>9.9030000000000005</v>
      </c>
      <c r="IA95" s="58">
        <v>5.9240000000000004</v>
      </c>
      <c r="IB95" s="58">
        <v>3.9790000000000001</v>
      </c>
      <c r="IC95" s="58">
        <v>3.5249999999999999</v>
      </c>
      <c r="ID95" s="58">
        <v>2.403</v>
      </c>
      <c r="IE95" s="58">
        <v>1.1220000000000001</v>
      </c>
      <c r="IF95" s="58">
        <v>1.8740000000000001</v>
      </c>
      <c r="IG95" s="58">
        <v>1.2709999999999999</v>
      </c>
      <c r="IH95" s="58">
        <v>0.60299999999999998</v>
      </c>
      <c r="II95" s="58">
        <v>1.6519999999999999</v>
      </c>
      <c r="IJ95" s="58">
        <v>1.1319999999999999</v>
      </c>
      <c r="IK95" s="58">
        <v>0.52</v>
      </c>
      <c r="IL95" s="58">
        <v>6.3780000000000001</v>
      </c>
      <c r="IM95" s="58">
        <v>3.5209999999999999</v>
      </c>
      <c r="IN95" s="58">
        <v>2.8570000000000002</v>
      </c>
      <c r="IO95" s="58">
        <v>27.943000000000001</v>
      </c>
      <c r="IP95" s="58">
        <v>15.888</v>
      </c>
      <c r="IQ95" s="58">
        <v>12.055</v>
      </c>
    </row>
    <row r="96" spans="1:251">
      <c r="A96" s="5">
        <v>44409</v>
      </c>
      <c r="B96" s="58">
        <v>1123.9870000000001</v>
      </c>
      <c r="C96" s="58">
        <v>1138.9760000000001</v>
      </c>
      <c r="D96" s="58">
        <v>399.245</v>
      </c>
      <c r="E96" s="58">
        <v>739.73099999999999</v>
      </c>
      <c r="F96" s="58">
        <v>686.125</v>
      </c>
      <c r="G96" s="58">
        <v>383.42399999999998</v>
      </c>
      <c r="H96" s="58">
        <v>302.70100000000002</v>
      </c>
      <c r="I96" s="58">
        <v>354.52199999999999</v>
      </c>
      <c r="J96" s="58">
        <v>203.14699999999999</v>
      </c>
      <c r="K96" s="58">
        <v>151.375</v>
      </c>
      <c r="L96" s="58">
        <v>211.11500000000001</v>
      </c>
      <c r="M96" s="58">
        <v>148.15199999999999</v>
      </c>
      <c r="N96" s="58">
        <v>62.963000000000001</v>
      </c>
      <c r="O96" s="58">
        <v>179.61799999999999</v>
      </c>
      <c r="P96" s="58">
        <v>122.99</v>
      </c>
      <c r="Q96" s="58">
        <v>56.628</v>
      </c>
      <c r="R96" s="58">
        <v>31.497</v>
      </c>
      <c r="S96" s="58">
        <v>25.161999999999999</v>
      </c>
      <c r="T96" s="58">
        <v>6.335</v>
      </c>
      <c r="U96" s="58">
        <v>143.40700000000001</v>
      </c>
      <c r="V96" s="58">
        <v>54.994</v>
      </c>
      <c r="W96" s="58">
        <v>88.412000000000006</v>
      </c>
      <c r="X96" s="58">
        <v>416.46899999999999</v>
      </c>
      <c r="Y96" s="58">
        <v>224.131</v>
      </c>
      <c r="Z96" s="58">
        <v>192.339</v>
      </c>
      <c r="AA96" s="58">
        <v>163.22499999999999</v>
      </c>
      <c r="AB96" s="58">
        <v>119.334</v>
      </c>
      <c r="AC96" s="58">
        <v>43.89</v>
      </c>
      <c r="AD96" s="58">
        <v>253.245</v>
      </c>
      <c r="AE96" s="58">
        <v>104.79600000000001</v>
      </c>
      <c r="AF96" s="58">
        <v>148.44900000000001</v>
      </c>
      <c r="AG96" s="58">
        <v>340.74900000000002</v>
      </c>
      <c r="AH96" s="58">
        <v>243.822</v>
      </c>
      <c r="AI96" s="58">
        <v>96.927000000000007</v>
      </c>
      <c r="AJ96" s="58">
        <v>345.37599999999998</v>
      </c>
      <c r="AK96" s="58">
        <v>139.602</v>
      </c>
      <c r="AL96" s="58">
        <v>205.773</v>
      </c>
      <c r="AM96" s="58">
        <v>432.863</v>
      </c>
      <c r="AN96" s="58">
        <v>227.786</v>
      </c>
      <c r="AO96" s="58">
        <v>205.077</v>
      </c>
      <c r="AP96" s="58">
        <v>3471.2020000000002</v>
      </c>
      <c r="AQ96" s="58">
        <v>1833.92</v>
      </c>
      <c r="AR96" s="58">
        <v>1637.2819999999999</v>
      </c>
      <c r="AS96" s="58">
        <v>2348.1030000000001</v>
      </c>
      <c r="AT96" s="58">
        <v>1486.874</v>
      </c>
      <c r="AU96" s="58">
        <v>861.23</v>
      </c>
      <c r="AV96" s="58">
        <v>1123.0989999999999</v>
      </c>
      <c r="AW96" s="58">
        <v>347.04599999999999</v>
      </c>
      <c r="AX96" s="58">
        <v>776.053</v>
      </c>
      <c r="AY96" s="58">
        <v>569.23199999999997</v>
      </c>
      <c r="AZ96" s="58">
        <v>301.62200000000001</v>
      </c>
      <c r="BA96" s="58">
        <v>267.61</v>
      </c>
      <c r="BB96" s="58">
        <v>260.25200000000001</v>
      </c>
      <c r="BC96" s="58">
        <v>133.44</v>
      </c>
      <c r="BD96" s="58">
        <v>126.813</v>
      </c>
      <c r="BE96" s="58">
        <v>124.172</v>
      </c>
      <c r="BF96" s="58">
        <v>85.402000000000001</v>
      </c>
      <c r="BG96" s="58">
        <v>38.770000000000003</v>
      </c>
      <c r="BH96" s="58">
        <v>86.41</v>
      </c>
      <c r="BI96" s="58">
        <v>59.268000000000001</v>
      </c>
      <c r="BJ96" s="58">
        <v>27.141999999999999</v>
      </c>
      <c r="BK96" s="58">
        <v>37.762</v>
      </c>
      <c r="BL96" s="58">
        <v>26.134</v>
      </c>
      <c r="BM96" s="58">
        <v>11.628</v>
      </c>
      <c r="BN96" s="58">
        <v>136.08000000000001</v>
      </c>
      <c r="BO96" s="58">
        <v>48.037999999999997</v>
      </c>
      <c r="BP96" s="58">
        <v>88.043000000000006</v>
      </c>
      <c r="BQ96" s="58">
        <v>395.113</v>
      </c>
      <c r="BR96" s="58">
        <v>209.12299999999999</v>
      </c>
      <c r="BS96" s="58">
        <v>185.99100000000001</v>
      </c>
      <c r="BT96" s="58">
        <v>147.99199999999999</v>
      </c>
      <c r="BU96" s="58">
        <v>115.806</v>
      </c>
      <c r="BV96" s="58">
        <v>32.185000000000002</v>
      </c>
      <c r="BW96" s="58">
        <v>247.12200000000001</v>
      </c>
      <c r="BX96" s="58">
        <v>93.316000000000003</v>
      </c>
      <c r="BY96" s="58">
        <v>153.80500000000001</v>
      </c>
      <c r="BZ96" s="58">
        <v>244.93100000000001</v>
      </c>
      <c r="CA96" s="58">
        <v>182.52699999999999</v>
      </c>
      <c r="CB96" s="58">
        <v>62.404000000000003</v>
      </c>
      <c r="CC96" s="58">
        <v>324.30099999999999</v>
      </c>
      <c r="CD96" s="58">
        <v>119.095</v>
      </c>
      <c r="CE96" s="58">
        <v>205.20599999999999</v>
      </c>
      <c r="CF96" s="58">
        <v>333.53100000000001</v>
      </c>
      <c r="CG96" s="58">
        <v>152.584</v>
      </c>
      <c r="CH96" s="58">
        <v>180.94800000000001</v>
      </c>
      <c r="CI96" s="58">
        <v>2623.9749999999999</v>
      </c>
      <c r="CJ96" s="58">
        <v>1367.5440000000001</v>
      </c>
      <c r="CK96" s="58">
        <v>1256.431</v>
      </c>
      <c r="CL96" s="58">
        <v>1782.346</v>
      </c>
      <c r="CM96" s="58">
        <v>1097.6020000000001</v>
      </c>
      <c r="CN96" s="58">
        <v>684.745</v>
      </c>
      <c r="CO96" s="58">
        <v>841.62900000000002</v>
      </c>
      <c r="CP96" s="58">
        <v>269.94200000000001</v>
      </c>
      <c r="CQ96" s="58">
        <v>571.68700000000001</v>
      </c>
      <c r="CR96" s="58">
        <v>392.94299999999998</v>
      </c>
      <c r="CS96" s="58">
        <v>213.32</v>
      </c>
      <c r="CT96" s="58">
        <v>179.62299999999999</v>
      </c>
      <c r="CU96" s="58">
        <v>131.19800000000001</v>
      </c>
      <c r="CV96" s="58">
        <v>68.084000000000003</v>
      </c>
      <c r="CW96" s="58">
        <v>63.113999999999997</v>
      </c>
      <c r="CX96" s="58">
        <v>52.218000000000004</v>
      </c>
      <c r="CY96" s="58">
        <v>33.274000000000001</v>
      </c>
      <c r="CZ96" s="58">
        <v>18.943999999999999</v>
      </c>
      <c r="DA96" s="58">
        <v>37.078000000000003</v>
      </c>
      <c r="DB96" s="58">
        <v>21.893999999999998</v>
      </c>
      <c r="DC96" s="58">
        <v>15.183999999999999</v>
      </c>
      <c r="DD96" s="58">
        <v>15.14</v>
      </c>
      <c r="DE96" s="58">
        <v>11.38</v>
      </c>
      <c r="DF96" s="58">
        <v>3.76</v>
      </c>
      <c r="DG96" s="58">
        <v>78.98</v>
      </c>
      <c r="DH96" s="58">
        <v>34.81</v>
      </c>
      <c r="DI96" s="58">
        <v>44.17</v>
      </c>
      <c r="DJ96" s="58">
        <v>307.53199999999998</v>
      </c>
      <c r="DK96" s="58">
        <v>169.364</v>
      </c>
      <c r="DL96" s="58">
        <v>138.16800000000001</v>
      </c>
      <c r="DM96" s="58">
        <v>110.36799999999999</v>
      </c>
      <c r="DN96" s="58">
        <v>78.721999999999994</v>
      </c>
      <c r="DO96" s="58">
        <v>31.646000000000001</v>
      </c>
      <c r="DP96" s="58">
        <v>197.16499999999999</v>
      </c>
      <c r="DQ96" s="58">
        <v>90.641999999999996</v>
      </c>
      <c r="DR96" s="58">
        <v>106.523</v>
      </c>
      <c r="DS96" s="58">
        <v>155.27600000000001</v>
      </c>
      <c r="DT96" s="58">
        <v>108.223</v>
      </c>
      <c r="DU96" s="58">
        <v>47.052999999999997</v>
      </c>
      <c r="DV96" s="58">
        <v>237.667</v>
      </c>
      <c r="DW96" s="58">
        <v>105.09699999999999</v>
      </c>
      <c r="DX96" s="58">
        <v>132.57</v>
      </c>
      <c r="DY96" s="58">
        <v>234.24199999999999</v>
      </c>
      <c r="DZ96" s="58">
        <v>112.536</v>
      </c>
      <c r="EA96" s="58">
        <v>121.706</v>
      </c>
      <c r="EB96" s="58">
        <v>869.99900000000002</v>
      </c>
      <c r="EC96" s="58">
        <v>452.92500000000001</v>
      </c>
      <c r="ED96" s="58">
        <v>417.07400000000001</v>
      </c>
      <c r="EE96" s="58">
        <v>566.66600000000005</v>
      </c>
      <c r="EF96" s="58">
        <v>362.214</v>
      </c>
      <c r="EG96" s="58">
        <v>204.452</v>
      </c>
      <c r="EH96" s="58">
        <v>303.33300000000003</v>
      </c>
      <c r="EI96" s="58">
        <v>90.710999999999999</v>
      </c>
      <c r="EJ96" s="58">
        <v>212.62200000000001</v>
      </c>
      <c r="EK96" s="58">
        <v>124.607</v>
      </c>
      <c r="EL96" s="58">
        <v>63.277000000000001</v>
      </c>
      <c r="EM96" s="58">
        <v>61.33</v>
      </c>
      <c r="EN96" s="58">
        <v>32.463000000000001</v>
      </c>
      <c r="EO96" s="58">
        <v>15.295999999999999</v>
      </c>
      <c r="EP96" s="58">
        <v>17.167000000000002</v>
      </c>
      <c r="EQ96" s="58">
        <v>11.66</v>
      </c>
      <c r="ER96" s="58">
        <v>8.4600000000000009</v>
      </c>
      <c r="ES96" s="58">
        <v>3.2</v>
      </c>
      <c r="ET96" s="58">
        <v>6.53</v>
      </c>
      <c r="EU96" s="58">
        <v>4.2939999999999996</v>
      </c>
      <c r="EV96" s="58">
        <v>2.2360000000000002</v>
      </c>
      <c r="EW96" s="58">
        <v>5.13</v>
      </c>
      <c r="EX96" s="58">
        <v>4.1660000000000004</v>
      </c>
      <c r="EY96" s="58">
        <v>0.96399999999999997</v>
      </c>
      <c r="EZ96" s="58">
        <v>20.803000000000001</v>
      </c>
      <c r="FA96" s="58">
        <v>6.8360000000000003</v>
      </c>
      <c r="FB96" s="58">
        <v>13.965999999999999</v>
      </c>
      <c r="FC96" s="58">
        <v>104.21899999999999</v>
      </c>
      <c r="FD96" s="58">
        <v>53.045000000000002</v>
      </c>
      <c r="FE96" s="58">
        <v>51.173999999999999</v>
      </c>
      <c r="FF96" s="58">
        <v>35.125</v>
      </c>
      <c r="FG96" s="58">
        <v>25.981999999999999</v>
      </c>
      <c r="FH96" s="58">
        <v>9.1430000000000007</v>
      </c>
      <c r="FI96" s="58">
        <v>69.093999999999994</v>
      </c>
      <c r="FJ96" s="58">
        <v>27.062999999999999</v>
      </c>
      <c r="FK96" s="58">
        <v>42.030999999999999</v>
      </c>
      <c r="FL96" s="58">
        <v>43.475999999999999</v>
      </c>
      <c r="FM96" s="58">
        <v>32.179000000000002</v>
      </c>
      <c r="FN96" s="58">
        <v>11.297000000000001</v>
      </c>
      <c r="FO96" s="58">
        <v>81.131</v>
      </c>
      <c r="FP96" s="58">
        <v>31.097999999999999</v>
      </c>
      <c r="FQ96" s="58">
        <v>50.033000000000001</v>
      </c>
      <c r="FR96" s="58">
        <v>75.623999999999995</v>
      </c>
      <c r="FS96" s="58">
        <v>31.356000000000002</v>
      </c>
      <c r="FT96" s="58">
        <v>44.267000000000003</v>
      </c>
      <c r="FU96" s="58">
        <v>1423.87</v>
      </c>
      <c r="FV96" s="58">
        <v>753.21199999999999</v>
      </c>
      <c r="FW96" s="58">
        <v>670.65800000000002</v>
      </c>
      <c r="FX96" s="58">
        <v>943.38599999999997</v>
      </c>
      <c r="FY96" s="58">
        <v>615.80600000000004</v>
      </c>
      <c r="FZ96" s="58">
        <v>327.57900000000001</v>
      </c>
      <c r="GA96" s="58">
        <v>480.48399999999998</v>
      </c>
      <c r="GB96" s="58">
        <v>137.40600000000001</v>
      </c>
      <c r="GC96" s="58">
        <v>343.07900000000001</v>
      </c>
      <c r="GD96" s="58">
        <v>172.179</v>
      </c>
      <c r="GE96" s="58">
        <v>90.528000000000006</v>
      </c>
      <c r="GF96" s="58">
        <v>81.650999999999996</v>
      </c>
      <c r="GG96" s="58">
        <v>34.356999999999999</v>
      </c>
      <c r="GH96" s="58">
        <v>20.007999999999999</v>
      </c>
      <c r="GI96" s="58">
        <v>14.349</v>
      </c>
      <c r="GJ96" s="58">
        <v>12.039</v>
      </c>
      <c r="GK96" s="58">
        <v>9.1059999999999999</v>
      </c>
      <c r="GL96" s="58">
        <v>2.9319999999999999</v>
      </c>
      <c r="GM96" s="58">
        <v>7.1749999999999998</v>
      </c>
      <c r="GN96" s="58">
        <v>5.0750000000000002</v>
      </c>
      <c r="GO96" s="58">
        <v>2.1</v>
      </c>
      <c r="GP96" s="58">
        <v>4.8639999999999999</v>
      </c>
      <c r="GQ96" s="58">
        <v>4.0309999999999997</v>
      </c>
      <c r="GR96" s="58">
        <v>0.83199999999999996</v>
      </c>
      <c r="GS96" s="58">
        <v>22.318000000000001</v>
      </c>
      <c r="GT96" s="58">
        <v>10.901999999999999</v>
      </c>
      <c r="GU96" s="58">
        <v>11.417</v>
      </c>
      <c r="GV96" s="58">
        <v>150.92500000000001</v>
      </c>
      <c r="GW96" s="58">
        <v>78.427000000000007</v>
      </c>
      <c r="GX96" s="58">
        <v>72.498000000000005</v>
      </c>
      <c r="GY96" s="58">
        <v>52.5</v>
      </c>
      <c r="GZ96" s="58">
        <v>41.1</v>
      </c>
      <c r="HA96" s="58">
        <v>11.401</v>
      </c>
      <c r="HB96" s="58">
        <v>98.424000000000007</v>
      </c>
      <c r="HC96" s="58">
        <v>37.326999999999998</v>
      </c>
      <c r="HD96" s="58">
        <v>61.097000000000001</v>
      </c>
      <c r="HE96" s="58">
        <v>63.015000000000001</v>
      </c>
      <c r="HF96" s="58">
        <v>49.203000000000003</v>
      </c>
      <c r="HG96" s="58">
        <v>13.811999999999999</v>
      </c>
      <c r="HH96" s="58">
        <v>109.164</v>
      </c>
      <c r="HI96" s="58">
        <v>41.325000000000003</v>
      </c>
      <c r="HJ96" s="58">
        <v>67.838999999999999</v>
      </c>
      <c r="HK96" s="58">
        <v>105.6</v>
      </c>
      <c r="HL96" s="58">
        <v>42.402000000000001</v>
      </c>
      <c r="HM96" s="58">
        <v>63.197000000000003</v>
      </c>
      <c r="HN96" s="58">
        <v>259.19299999999998</v>
      </c>
      <c r="HO96" s="58">
        <v>136.91200000000001</v>
      </c>
      <c r="HP96" s="58">
        <v>122.28100000000001</v>
      </c>
      <c r="HQ96" s="58">
        <v>159.102</v>
      </c>
      <c r="HR96" s="58">
        <v>102.36799999999999</v>
      </c>
      <c r="HS96" s="58">
        <v>56.732999999999997</v>
      </c>
      <c r="HT96" s="58">
        <v>100.09099999999999</v>
      </c>
      <c r="HU96" s="58">
        <v>34.543999999999997</v>
      </c>
      <c r="HV96" s="58">
        <v>65.548000000000002</v>
      </c>
      <c r="HW96" s="58">
        <v>35.972000000000001</v>
      </c>
      <c r="HX96" s="58">
        <v>17.14</v>
      </c>
      <c r="HY96" s="58">
        <v>18.832000000000001</v>
      </c>
      <c r="HZ96" s="58">
        <v>7.8390000000000004</v>
      </c>
      <c r="IA96" s="58">
        <v>3.6970000000000001</v>
      </c>
      <c r="IB96" s="58">
        <v>4.1420000000000003</v>
      </c>
      <c r="IC96" s="58">
        <v>2.4239999999999999</v>
      </c>
      <c r="ID96" s="58">
        <v>1.296</v>
      </c>
      <c r="IE96" s="58">
        <v>1.1279999999999999</v>
      </c>
      <c r="IF96" s="58">
        <v>1.7789999999999999</v>
      </c>
      <c r="IG96" s="58">
        <v>0.79400000000000004</v>
      </c>
      <c r="IH96" s="58">
        <v>0.98499999999999999</v>
      </c>
      <c r="II96" s="58">
        <v>0.64600000000000002</v>
      </c>
      <c r="IJ96" s="58">
        <v>0.502</v>
      </c>
      <c r="IK96" s="58">
        <v>0.14299999999999999</v>
      </c>
      <c r="IL96" s="58">
        <v>5.415</v>
      </c>
      <c r="IM96" s="58">
        <v>2.4009999999999998</v>
      </c>
      <c r="IN96" s="58">
        <v>3.0129999999999999</v>
      </c>
      <c r="IO96" s="58">
        <v>31.74</v>
      </c>
      <c r="IP96" s="58">
        <v>15.62</v>
      </c>
      <c r="IQ96" s="58">
        <v>16.119</v>
      </c>
    </row>
    <row r="97" spans="1:251">
      <c r="A97" s="5">
        <v>44440</v>
      </c>
      <c r="B97" s="58">
        <v>1125.1310000000001</v>
      </c>
      <c r="C97" s="58">
        <v>1111.627</v>
      </c>
      <c r="D97" s="58">
        <v>378.42500000000001</v>
      </c>
      <c r="E97" s="58">
        <v>733.202</v>
      </c>
      <c r="F97" s="58">
        <v>678.73400000000004</v>
      </c>
      <c r="G97" s="58">
        <v>367.56900000000002</v>
      </c>
      <c r="H97" s="58">
        <v>311.16500000000002</v>
      </c>
      <c r="I97" s="58">
        <v>356.54</v>
      </c>
      <c r="J97" s="58">
        <v>191.43700000000001</v>
      </c>
      <c r="K97" s="58">
        <v>165.10300000000001</v>
      </c>
      <c r="L97" s="58">
        <v>200.06299999999999</v>
      </c>
      <c r="M97" s="58">
        <v>134.51400000000001</v>
      </c>
      <c r="N97" s="58">
        <v>65.549000000000007</v>
      </c>
      <c r="O97" s="58">
        <v>157.959</v>
      </c>
      <c r="P97" s="58">
        <v>98.451999999999998</v>
      </c>
      <c r="Q97" s="58">
        <v>59.506999999999998</v>
      </c>
      <c r="R97" s="58">
        <v>42.103999999999999</v>
      </c>
      <c r="S97" s="58">
        <v>36.061</v>
      </c>
      <c r="T97" s="58">
        <v>6.0419999999999998</v>
      </c>
      <c r="U97" s="58">
        <v>156.477</v>
      </c>
      <c r="V97" s="58">
        <v>56.923000000000002</v>
      </c>
      <c r="W97" s="58">
        <v>99.554000000000002</v>
      </c>
      <c r="X97" s="58">
        <v>400.84899999999999</v>
      </c>
      <c r="Y97" s="58">
        <v>222.006</v>
      </c>
      <c r="Z97" s="58">
        <v>178.84299999999999</v>
      </c>
      <c r="AA97" s="58">
        <v>146.32499999999999</v>
      </c>
      <c r="AB97" s="58">
        <v>108.30800000000001</v>
      </c>
      <c r="AC97" s="58">
        <v>38.018000000000001</v>
      </c>
      <c r="AD97" s="58">
        <v>254.524</v>
      </c>
      <c r="AE97" s="58">
        <v>113.69799999999999</v>
      </c>
      <c r="AF97" s="58">
        <v>140.82499999999999</v>
      </c>
      <c r="AG97" s="58">
        <v>321.48399999999998</v>
      </c>
      <c r="AH97" s="58">
        <v>223.29300000000001</v>
      </c>
      <c r="AI97" s="58">
        <v>98.191000000000003</v>
      </c>
      <c r="AJ97" s="58">
        <v>357.25</v>
      </c>
      <c r="AK97" s="58">
        <v>144.27500000000001</v>
      </c>
      <c r="AL97" s="58">
        <v>212.97399999999999</v>
      </c>
      <c r="AM97" s="58">
        <v>412.483</v>
      </c>
      <c r="AN97" s="58">
        <v>212.15100000000001</v>
      </c>
      <c r="AO97" s="58">
        <v>200.33199999999999</v>
      </c>
      <c r="AP97" s="58">
        <v>3350.7559999999999</v>
      </c>
      <c r="AQ97" s="58">
        <v>1788.16</v>
      </c>
      <c r="AR97" s="58">
        <v>1562.596</v>
      </c>
      <c r="AS97" s="58">
        <v>2330.6419999999998</v>
      </c>
      <c r="AT97" s="58">
        <v>1467.2750000000001</v>
      </c>
      <c r="AU97" s="58">
        <v>863.36699999999996</v>
      </c>
      <c r="AV97" s="58">
        <v>1020.114</v>
      </c>
      <c r="AW97" s="58">
        <v>320.88499999999999</v>
      </c>
      <c r="AX97" s="58">
        <v>699.22900000000004</v>
      </c>
      <c r="AY97" s="58">
        <v>562.49</v>
      </c>
      <c r="AZ97" s="58">
        <v>296.58</v>
      </c>
      <c r="BA97" s="58">
        <v>265.91000000000003</v>
      </c>
      <c r="BB97" s="58">
        <v>286.685</v>
      </c>
      <c r="BC97" s="58">
        <v>146.357</v>
      </c>
      <c r="BD97" s="58">
        <v>140.328</v>
      </c>
      <c r="BE97" s="58">
        <v>156.773</v>
      </c>
      <c r="BF97" s="58">
        <v>100.404</v>
      </c>
      <c r="BG97" s="58">
        <v>56.369</v>
      </c>
      <c r="BH97" s="58">
        <v>127.886</v>
      </c>
      <c r="BI97" s="58">
        <v>79.918000000000006</v>
      </c>
      <c r="BJ97" s="58">
        <v>47.968000000000004</v>
      </c>
      <c r="BK97" s="58">
        <v>28.887</v>
      </c>
      <c r="BL97" s="58">
        <v>20.486000000000001</v>
      </c>
      <c r="BM97" s="58">
        <v>8.4009999999999998</v>
      </c>
      <c r="BN97" s="58">
        <v>129.91200000000001</v>
      </c>
      <c r="BO97" s="58">
        <v>45.953000000000003</v>
      </c>
      <c r="BP97" s="58">
        <v>83.959000000000003</v>
      </c>
      <c r="BQ97" s="58">
        <v>353.11500000000001</v>
      </c>
      <c r="BR97" s="58">
        <v>195.13300000000001</v>
      </c>
      <c r="BS97" s="58">
        <v>157.982</v>
      </c>
      <c r="BT97" s="58">
        <v>146.33000000000001</v>
      </c>
      <c r="BU97" s="58">
        <v>113.43300000000001</v>
      </c>
      <c r="BV97" s="58">
        <v>32.896999999999998</v>
      </c>
      <c r="BW97" s="58">
        <v>206.786</v>
      </c>
      <c r="BX97" s="58">
        <v>81.7</v>
      </c>
      <c r="BY97" s="58">
        <v>125.08499999999999</v>
      </c>
      <c r="BZ97" s="58">
        <v>276.15699999999998</v>
      </c>
      <c r="CA97" s="58">
        <v>191.97200000000001</v>
      </c>
      <c r="CB97" s="58">
        <v>84.185000000000002</v>
      </c>
      <c r="CC97" s="58">
        <v>286.33300000000003</v>
      </c>
      <c r="CD97" s="58">
        <v>104.608</v>
      </c>
      <c r="CE97" s="58">
        <v>181.72499999999999</v>
      </c>
      <c r="CF97" s="58">
        <v>334.67200000000003</v>
      </c>
      <c r="CG97" s="58">
        <v>161.619</v>
      </c>
      <c r="CH97" s="58">
        <v>173.053</v>
      </c>
      <c r="CI97" s="58">
        <v>2659.154</v>
      </c>
      <c r="CJ97" s="58">
        <v>1384.0050000000001</v>
      </c>
      <c r="CK97" s="58">
        <v>1275.1500000000001</v>
      </c>
      <c r="CL97" s="58">
        <v>1832.5060000000001</v>
      </c>
      <c r="CM97" s="58">
        <v>1117.78</v>
      </c>
      <c r="CN97" s="58">
        <v>714.72699999999998</v>
      </c>
      <c r="CO97" s="58">
        <v>826.64800000000002</v>
      </c>
      <c r="CP97" s="58">
        <v>266.22500000000002</v>
      </c>
      <c r="CQ97" s="58">
        <v>560.423</v>
      </c>
      <c r="CR97" s="58">
        <v>360.94099999999997</v>
      </c>
      <c r="CS97" s="58">
        <v>198.66300000000001</v>
      </c>
      <c r="CT97" s="58">
        <v>162.27799999999999</v>
      </c>
      <c r="CU97" s="58">
        <v>89.902000000000001</v>
      </c>
      <c r="CV97" s="58">
        <v>52.31</v>
      </c>
      <c r="CW97" s="58">
        <v>37.591999999999999</v>
      </c>
      <c r="CX97" s="58">
        <v>38.459000000000003</v>
      </c>
      <c r="CY97" s="58">
        <v>27.542000000000002</v>
      </c>
      <c r="CZ97" s="58">
        <v>10.917</v>
      </c>
      <c r="DA97" s="58">
        <v>21.312000000000001</v>
      </c>
      <c r="DB97" s="58">
        <v>12.83</v>
      </c>
      <c r="DC97" s="58">
        <v>8.4819999999999993</v>
      </c>
      <c r="DD97" s="58">
        <v>17.146999999999998</v>
      </c>
      <c r="DE97" s="58">
        <v>14.712</v>
      </c>
      <c r="DF97" s="58">
        <v>2.4350000000000001</v>
      </c>
      <c r="DG97" s="58">
        <v>51.442</v>
      </c>
      <c r="DH97" s="58">
        <v>24.768000000000001</v>
      </c>
      <c r="DI97" s="58">
        <v>26.673999999999999</v>
      </c>
      <c r="DJ97" s="58">
        <v>307.31900000000002</v>
      </c>
      <c r="DK97" s="58">
        <v>167.31299999999999</v>
      </c>
      <c r="DL97" s="58">
        <v>140.005</v>
      </c>
      <c r="DM97" s="58">
        <v>112.741</v>
      </c>
      <c r="DN97" s="58">
        <v>82.119</v>
      </c>
      <c r="DO97" s="58">
        <v>30.622</v>
      </c>
      <c r="DP97" s="58">
        <v>194.578</v>
      </c>
      <c r="DQ97" s="58">
        <v>85.194000000000003</v>
      </c>
      <c r="DR97" s="58">
        <v>109.384</v>
      </c>
      <c r="DS97" s="58">
        <v>142.21199999999999</v>
      </c>
      <c r="DT97" s="58">
        <v>103.446</v>
      </c>
      <c r="DU97" s="58">
        <v>38.765999999999998</v>
      </c>
      <c r="DV97" s="58">
        <v>218.72900000000001</v>
      </c>
      <c r="DW97" s="58">
        <v>95.216999999999999</v>
      </c>
      <c r="DX97" s="58">
        <v>123.512</v>
      </c>
      <c r="DY97" s="58">
        <v>215.89</v>
      </c>
      <c r="DZ97" s="58">
        <v>98.024000000000001</v>
      </c>
      <c r="EA97" s="58">
        <v>117.866</v>
      </c>
      <c r="EB97" s="58">
        <v>872.42600000000004</v>
      </c>
      <c r="EC97" s="58">
        <v>454.44400000000002</v>
      </c>
      <c r="ED97" s="58">
        <v>417.98200000000003</v>
      </c>
      <c r="EE97" s="58">
        <v>559.39800000000002</v>
      </c>
      <c r="EF97" s="58">
        <v>355.83699999999999</v>
      </c>
      <c r="EG97" s="58">
        <v>203.56100000000001</v>
      </c>
      <c r="EH97" s="58">
        <v>313.029</v>
      </c>
      <c r="EI97" s="58">
        <v>98.606999999999999</v>
      </c>
      <c r="EJ97" s="58">
        <v>214.42099999999999</v>
      </c>
      <c r="EK97" s="58">
        <v>116.937</v>
      </c>
      <c r="EL97" s="58">
        <v>56.619</v>
      </c>
      <c r="EM97" s="58">
        <v>60.319000000000003</v>
      </c>
      <c r="EN97" s="58">
        <v>29.065000000000001</v>
      </c>
      <c r="EO97" s="58">
        <v>16.888000000000002</v>
      </c>
      <c r="EP97" s="58">
        <v>12.178000000000001</v>
      </c>
      <c r="EQ97" s="58">
        <v>10.186</v>
      </c>
      <c r="ER97" s="58">
        <v>7.3159999999999998</v>
      </c>
      <c r="ES97" s="58">
        <v>2.871</v>
      </c>
      <c r="ET97" s="58">
        <v>5.0129999999999999</v>
      </c>
      <c r="EU97" s="58">
        <v>3.3940000000000001</v>
      </c>
      <c r="EV97" s="58">
        <v>1.619</v>
      </c>
      <c r="EW97" s="58">
        <v>5.173</v>
      </c>
      <c r="EX97" s="58">
        <v>3.9209999999999998</v>
      </c>
      <c r="EY97" s="58">
        <v>1.252</v>
      </c>
      <c r="EZ97" s="58">
        <v>18.879000000000001</v>
      </c>
      <c r="FA97" s="58">
        <v>9.5719999999999992</v>
      </c>
      <c r="FB97" s="58">
        <v>9.3070000000000004</v>
      </c>
      <c r="FC97" s="58">
        <v>97.710999999999999</v>
      </c>
      <c r="FD97" s="58">
        <v>44.73</v>
      </c>
      <c r="FE97" s="58">
        <v>52.981000000000002</v>
      </c>
      <c r="FF97" s="58">
        <v>28.632999999999999</v>
      </c>
      <c r="FG97" s="58">
        <v>19.059000000000001</v>
      </c>
      <c r="FH97" s="58">
        <v>9.5730000000000004</v>
      </c>
      <c r="FI97" s="58">
        <v>69.078000000000003</v>
      </c>
      <c r="FJ97" s="58">
        <v>25.670999999999999</v>
      </c>
      <c r="FK97" s="58">
        <v>43.408000000000001</v>
      </c>
      <c r="FL97" s="58">
        <v>37.436</v>
      </c>
      <c r="FM97" s="58">
        <v>25.808</v>
      </c>
      <c r="FN97" s="58">
        <v>11.628</v>
      </c>
      <c r="FO97" s="58">
        <v>79.501000000000005</v>
      </c>
      <c r="FP97" s="58">
        <v>30.811</v>
      </c>
      <c r="FQ97" s="58">
        <v>48.691000000000003</v>
      </c>
      <c r="FR97" s="58">
        <v>74.090999999999994</v>
      </c>
      <c r="FS97" s="58">
        <v>29.065000000000001</v>
      </c>
      <c r="FT97" s="58">
        <v>45.026000000000003</v>
      </c>
      <c r="FU97" s="58">
        <v>1423.114</v>
      </c>
      <c r="FV97" s="58">
        <v>756.54300000000001</v>
      </c>
      <c r="FW97" s="58">
        <v>666.57</v>
      </c>
      <c r="FX97" s="58">
        <v>952.72400000000005</v>
      </c>
      <c r="FY97" s="58">
        <v>614.80399999999997</v>
      </c>
      <c r="FZ97" s="58">
        <v>337.92</v>
      </c>
      <c r="GA97" s="58">
        <v>470.39</v>
      </c>
      <c r="GB97" s="58">
        <v>141.739</v>
      </c>
      <c r="GC97" s="58">
        <v>328.65100000000001</v>
      </c>
      <c r="GD97" s="58">
        <v>169.20400000000001</v>
      </c>
      <c r="GE97" s="58">
        <v>94.846999999999994</v>
      </c>
      <c r="GF97" s="58">
        <v>74.356999999999999</v>
      </c>
      <c r="GG97" s="58">
        <v>38.218000000000004</v>
      </c>
      <c r="GH97" s="58">
        <v>22.431999999999999</v>
      </c>
      <c r="GI97" s="58">
        <v>15.786</v>
      </c>
      <c r="GJ97" s="58">
        <v>19.23</v>
      </c>
      <c r="GK97" s="58">
        <v>13.945</v>
      </c>
      <c r="GL97" s="58">
        <v>5.2850000000000001</v>
      </c>
      <c r="GM97" s="58">
        <v>11.961</v>
      </c>
      <c r="GN97" s="58">
        <v>8.843</v>
      </c>
      <c r="GO97" s="58">
        <v>3.1179999999999999</v>
      </c>
      <c r="GP97" s="58">
        <v>7.27</v>
      </c>
      <c r="GQ97" s="58">
        <v>5.1020000000000003</v>
      </c>
      <c r="GR97" s="58">
        <v>2.1669999999999998</v>
      </c>
      <c r="GS97" s="58">
        <v>18.988</v>
      </c>
      <c r="GT97" s="58">
        <v>8.4870000000000001</v>
      </c>
      <c r="GU97" s="58">
        <v>10.500999999999999</v>
      </c>
      <c r="GV97" s="58">
        <v>144.06700000000001</v>
      </c>
      <c r="GW97" s="58">
        <v>81.614000000000004</v>
      </c>
      <c r="GX97" s="58">
        <v>62.453000000000003</v>
      </c>
      <c r="GY97" s="58">
        <v>54.454999999999998</v>
      </c>
      <c r="GZ97" s="58">
        <v>42.04</v>
      </c>
      <c r="HA97" s="58">
        <v>12.414999999999999</v>
      </c>
      <c r="HB97" s="58">
        <v>89.611999999999995</v>
      </c>
      <c r="HC97" s="58">
        <v>39.573999999999998</v>
      </c>
      <c r="HD97" s="58">
        <v>50.037999999999997</v>
      </c>
      <c r="HE97" s="58">
        <v>68.997</v>
      </c>
      <c r="HF97" s="58">
        <v>52.737000000000002</v>
      </c>
      <c r="HG97" s="58">
        <v>16.260000000000002</v>
      </c>
      <c r="HH97" s="58">
        <v>100.20699999999999</v>
      </c>
      <c r="HI97" s="58">
        <v>42.109000000000002</v>
      </c>
      <c r="HJ97" s="58">
        <v>58.097000000000001</v>
      </c>
      <c r="HK97" s="58">
        <v>101.57299999999999</v>
      </c>
      <c r="HL97" s="58">
        <v>48.417000000000002</v>
      </c>
      <c r="HM97" s="58">
        <v>53.155999999999999</v>
      </c>
      <c r="HN97" s="58">
        <v>259.80599999999998</v>
      </c>
      <c r="HO97" s="58">
        <v>135.72499999999999</v>
      </c>
      <c r="HP97" s="58">
        <v>124.081</v>
      </c>
      <c r="HQ97" s="58">
        <v>162.24700000000001</v>
      </c>
      <c r="HR97" s="58">
        <v>104.123</v>
      </c>
      <c r="HS97" s="58">
        <v>58.124000000000002</v>
      </c>
      <c r="HT97" s="58">
        <v>97.558999999999997</v>
      </c>
      <c r="HU97" s="58">
        <v>31.602</v>
      </c>
      <c r="HV97" s="58">
        <v>65.956999999999994</v>
      </c>
      <c r="HW97" s="58">
        <v>36.639000000000003</v>
      </c>
      <c r="HX97" s="58">
        <v>18.713999999999999</v>
      </c>
      <c r="HY97" s="58">
        <v>17.925000000000001</v>
      </c>
      <c r="HZ97" s="58">
        <v>8.8719999999999999</v>
      </c>
      <c r="IA97" s="58">
        <v>5.1189999999999998</v>
      </c>
      <c r="IB97" s="58">
        <v>3.7530000000000001</v>
      </c>
      <c r="IC97" s="58">
        <v>2.7240000000000002</v>
      </c>
      <c r="ID97" s="58">
        <v>1.825</v>
      </c>
      <c r="IE97" s="58">
        <v>0.89900000000000002</v>
      </c>
      <c r="IF97" s="58">
        <v>1.056</v>
      </c>
      <c r="IG97" s="58">
        <v>0.61099999999999999</v>
      </c>
      <c r="IH97" s="58">
        <v>0.44500000000000001</v>
      </c>
      <c r="II97" s="58">
        <v>1.6679999999999999</v>
      </c>
      <c r="IJ97" s="58">
        <v>1.214</v>
      </c>
      <c r="IK97" s="58">
        <v>0.45400000000000001</v>
      </c>
      <c r="IL97" s="58">
        <v>6.1479999999999997</v>
      </c>
      <c r="IM97" s="58">
        <v>3.294</v>
      </c>
      <c r="IN97" s="58">
        <v>2.8540000000000001</v>
      </c>
      <c r="IO97" s="58">
        <v>32.851999999999997</v>
      </c>
      <c r="IP97" s="58">
        <v>16.792000000000002</v>
      </c>
      <c r="IQ97" s="58">
        <v>16.059000000000001</v>
      </c>
    </row>
    <row r="98" spans="1:251">
      <c r="A98" s="5">
        <v>44470</v>
      </c>
      <c r="B98" s="58">
        <v>1121.2829999999999</v>
      </c>
      <c r="C98" s="58">
        <v>1131.0920000000001</v>
      </c>
      <c r="D98" s="58">
        <v>396.26799999999997</v>
      </c>
      <c r="E98" s="58">
        <v>734.82399999999996</v>
      </c>
      <c r="F98" s="58">
        <v>667.77700000000004</v>
      </c>
      <c r="G98" s="58">
        <v>367.43099999999998</v>
      </c>
      <c r="H98" s="58">
        <v>300.346</v>
      </c>
      <c r="I98" s="58">
        <v>319.83199999999999</v>
      </c>
      <c r="J98" s="58">
        <v>177.608</v>
      </c>
      <c r="K98" s="58">
        <v>142.22399999999999</v>
      </c>
      <c r="L98" s="58">
        <v>186.09899999999999</v>
      </c>
      <c r="M98" s="58">
        <v>123.82</v>
      </c>
      <c r="N98" s="58">
        <v>62.279000000000003</v>
      </c>
      <c r="O98" s="58">
        <v>157.91300000000001</v>
      </c>
      <c r="P98" s="58">
        <v>100.738</v>
      </c>
      <c r="Q98" s="58">
        <v>57.173999999999999</v>
      </c>
      <c r="R98" s="58">
        <v>28.186</v>
      </c>
      <c r="S98" s="58">
        <v>23.082000000000001</v>
      </c>
      <c r="T98" s="58">
        <v>5.1040000000000001</v>
      </c>
      <c r="U98" s="58">
        <v>133.733</v>
      </c>
      <c r="V98" s="58">
        <v>53.787999999999997</v>
      </c>
      <c r="W98" s="58">
        <v>79.945999999999998</v>
      </c>
      <c r="X98" s="58">
        <v>429.673</v>
      </c>
      <c r="Y98" s="58">
        <v>232.04900000000001</v>
      </c>
      <c r="Z98" s="58">
        <v>197.624</v>
      </c>
      <c r="AA98" s="58">
        <v>169.04599999999999</v>
      </c>
      <c r="AB98" s="58">
        <v>119.325</v>
      </c>
      <c r="AC98" s="58">
        <v>49.720999999999997</v>
      </c>
      <c r="AD98" s="58">
        <v>260.62700000000001</v>
      </c>
      <c r="AE98" s="58">
        <v>112.724</v>
      </c>
      <c r="AF98" s="58">
        <v>147.90299999999999</v>
      </c>
      <c r="AG98" s="58">
        <v>325.66899999999998</v>
      </c>
      <c r="AH98" s="58">
        <v>223.39500000000001</v>
      </c>
      <c r="AI98" s="58">
        <v>102.274</v>
      </c>
      <c r="AJ98" s="58">
        <v>342.108</v>
      </c>
      <c r="AK98" s="58">
        <v>144.036</v>
      </c>
      <c r="AL98" s="58">
        <v>198.072</v>
      </c>
      <c r="AM98" s="58">
        <v>418.54</v>
      </c>
      <c r="AN98" s="58">
        <v>213.46299999999999</v>
      </c>
      <c r="AO98" s="58">
        <v>205.077</v>
      </c>
      <c r="AP98" s="58">
        <v>3300.6790000000001</v>
      </c>
      <c r="AQ98" s="58">
        <v>1759.7840000000001</v>
      </c>
      <c r="AR98" s="58">
        <v>1540.896</v>
      </c>
      <c r="AS98" s="58">
        <v>2292.442</v>
      </c>
      <c r="AT98" s="58">
        <v>1444.5229999999999</v>
      </c>
      <c r="AU98" s="58">
        <v>847.91899999999998</v>
      </c>
      <c r="AV98" s="58">
        <v>1008.237</v>
      </c>
      <c r="AW98" s="58">
        <v>315.26100000000002</v>
      </c>
      <c r="AX98" s="58">
        <v>692.97699999999998</v>
      </c>
      <c r="AY98" s="58">
        <v>595.74800000000005</v>
      </c>
      <c r="AZ98" s="58">
        <v>330.74200000000002</v>
      </c>
      <c r="BA98" s="58">
        <v>265.00700000000001</v>
      </c>
      <c r="BB98" s="58">
        <v>299.43799999999999</v>
      </c>
      <c r="BC98" s="58">
        <v>186.852</v>
      </c>
      <c r="BD98" s="58">
        <v>112.586</v>
      </c>
      <c r="BE98" s="58">
        <v>181.12799999999999</v>
      </c>
      <c r="BF98" s="58">
        <v>139.959</v>
      </c>
      <c r="BG98" s="58">
        <v>41.168999999999997</v>
      </c>
      <c r="BH98" s="58">
        <v>147.72800000000001</v>
      </c>
      <c r="BI98" s="58">
        <v>113.7</v>
      </c>
      <c r="BJ98" s="58">
        <v>34.027999999999999</v>
      </c>
      <c r="BK98" s="58">
        <v>33.4</v>
      </c>
      <c r="BL98" s="58">
        <v>26.259</v>
      </c>
      <c r="BM98" s="58">
        <v>7.141</v>
      </c>
      <c r="BN98" s="58">
        <v>118.31</v>
      </c>
      <c r="BO98" s="58">
        <v>46.893000000000001</v>
      </c>
      <c r="BP98" s="58">
        <v>71.415999999999997</v>
      </c>
      <c r="BQ98" s="58">
        <v>365.11700000000002</v>
      </c>
      <c r="BR98" s="58">
        <v>182.37799999999999</v>
      </c>
      <c r="BS98" s="58">
        <v>182.739</v>
      </c>
      <c r="BT98" s="58">
        <v>131.95099999999999</v>
      </c>
      <c r="BU98" s="58">
        <v>94.927000000000007</v>
      </c>
      <c r="BV98" s="58">
        <v>37.024000000000001</v>
      </c>
      <c r="BW98" s="58">
        <v>233.166</v>
      </c>
      <c r="BX98" s="58">
        <v>87.450999999999993</v>
      </c>
      <c r="BY98" s="58">
        <v>145.715</v>
      </c>
      <c r="BZ98" s="58">
        <v>291.01400000000001</v>
      </c>
      <c r="CA98" s="58">
        <v>215.22800000000001</v>
      </c>
      <c r="CB98" s="58">
        <v>75.786000000000001</v>
      </c>
      <c r="CC98" s="58">
        <v>304.73500000000001</v>
      </c>
      <c r="CD98" s="58">
        <v>115.514</v>
      </c>
      <c r="CE98" s="58">
        <v>189.221</v>
      </c>
      <c r="CF98" s="58">
        <v>380.89400000000001</v>
      </c>
      <c r="CG98" s="58">
        <v>201.15</v>
      </c>
      <c r="CH98" s="58">
        <v>179.744</v>
      </c>
      <c r="CI98" s="58">
        <v>2658.02</v>
      </c>
      <c r="CJ98" s="58">
        <v>1380.683</v>
      </c>
      <c r="CK98" s="58">
        <v>1277.337</v>
      </c>
      <c r="CL98" s="58">
        <v>1821.7470000000001</v>
      </c>
      <c r="CM98" s="58">
        <v>1121.2840000000001</v>
      </c>
      <c r="CN98" s="58">
        <v>700.46400000000006</v>
      </c>
      <c r="CO98" s="58">
        <v>836.27300000000002</v>
      </c>
      <c r="CP98" s="58">
        <v>259.399</v>
      </c>
      <c r="CQ98" s="58">
        <v>576.87400000000002</v>
      </c>
      <c r="CR98" s="58">
        <v>347.23700000000002</v>
      </c>
      <c r="CS98" s="58">
        <v>185.69499999999999</v>
      </c>
      <c r="CT98" s="58">
        <v>161.54300000000001</v>
      </c>
      <c r="CU98" s="58">
        <v>66.769000000000005</v>
      </c>
      <c r="CV98" s="58">
        <v>35.201000000000001</v>
      </c>
      <c r="CW98" s="58">
        <v>31.568000000000001</v>
      </c>
      <c r="CX98" s="58">
        <v>30.236000000000001</v>
      </c>
      <c r="CY98" s="58">
        <v>20.774000000000001</v>
      </c>
      <c r="CZ98" s="58">
        <v>9.4619999999999997</v>
      </c>
      <c r="DA98" s="58">
        <v>15.955</v>
      </c>
      <c r="DB98" s="58">
        <v>11.092000000000001</v>
      </c>
      <c r="DC98" s="58">
        <v>4.8630000000000004</v>
      </c>
      <c r="DD98" s="58">
        <v>14.281000000000001</v>
      </c>
      <c r="DE98" s="58">
        <v>9.6820000000000004</v>
      </c>
      <c r="DF98" s="58">
        <v>4.5990000000000002</v>
      </c>
      <c r="DG98" s="58">
        <v>36.533000000000001</v>
      </c>
      <c r="DH98" s="58">
        <v>14.428000000000001</v>
      </c>
      <c r="DI98" s="58">
        <v>22.105</v>
      </c>
      <c r="DJ98" s="58">
        <v>303.81799999999998</v>
      </c>
      <c r="DK98" s="58">
        <v>162.75899999999999</v>
      </c>
      <c r="DL98" s="58">
        <v>141.059</v>
      </c>
      <c r="DM98" s="58">
        <v>114.943</v>
      </c>
      <c r="DN98" s="58">
        <v>82.91</v>
      </c>
      <c r="DO98" s="58">
        <v>32.033000000000001</v>
      </c>
      <c r="DP98" s="58">
        <v>188.875</v>
      </c>
      <c r="DQ98" s="58">
        <v>79.849000000000004</v>
      </c>
      <c r="DR98" s="58">
        <v>109.026</v>
      </c>
      <c r="DS98" s="58">
        <v>138.73699999999999</v>
      </c>
      <c r="DT98" s="58">
        <v>98.432000000000002</v>
      </c>
      <c r="DU98" s="58">
        <v>40.305999999999997</v>
      </c>
      <c r="DV98" s="58">
        <v>208.5</v>
      </c>
      <c r="DW98" s="58">
        <v>87.263000000000005</v>
      </c>
      <c r="DX98" s="58">
        <v>121.23699999999999</v>
      </c>
      <c r="DY98" s="58">
        <v>204.83</v>
      </c>
      <c r="DZ98" s="58">
        <v>90.941000000000003</v>
      </c>
      <c r="EA98" s="58">
        <v>113.889</v>
      </c>
      <c r="EB98" s="58">
        <v>871.10699999999997</v>
      </c>
      <c r="EC98" s="58">
        <v>456.79599999999999</v>
      </c>
      <c r="ED98" s="58">
        <v>414.31099999999998</v>
      </c>
      <c r="EE98" s="58">
        <v>564.65200000000004</v>
      </c>
      <c r="EF98" s="58">
        <v>358.32900000000001</v>
      </c>
      <c r="EG98" s="58">
        <v>206.32300000000001</v>
      </c>
      <c r="EH98" s="58">
        <v>306.45499999999998</v>
      </c>
      <c r="EI98" s="58">
        <v>98.466999999999999</v>
      </c>
      <c r="EJ98" s="58">
        <v>207.988</v>
      </c>
      <c r="EK98" s="58">
        <v>112.065</v>
      </c>
      <c r="EL98" s="58">
        <v>57.395000000000003</v>
      </c>
      <c r="EM98" s="58">
        <v>54.668999999999997</v>
      </c>
      <c r="EN98" s="58">
        <v>21.587</v>
      </c>
      <c r="EO98" s="58">
        <v>12.791</v>
      </c>
      <c r="EP98" s="58">
        <v>8.7970000000000006</v>
      </c>
      <c r="EQ98" s="58">
        <v>8.3010000000000002</v>
      </c>
      <c r="ER98" s="58">
        <v>5.49</v>
      </c>
      <c r="ES98" s="58">
        <v>2.8109999999999999</v>
      </c>
      <c r="ET98" s="58">
        <v>5.1109999999999998</v>
      </c>
      <c r="EU98" s="58">
        <v>2.81</v>
      </c>
      <c r="EV98" s="58">
        <v>2.2999999999999998</v>
      </c>
      <c r="EW98" s="58">
        <v>3.1909999999999998</v>
      </c>
      <c r="EX98" s="58">
        <v>2.68</v>
      </c>
      <c r="EY98" s="58">
        <v>0.51100000000000001</v>
      </c>
      <c r="EZ98" s="58">
        <v>13.286</v>
      </c>
      <c r="FA98" s="58">
        <v>7.3010000000000002</v>
      </c>
      <c r="FB98" s="58">
        <v>5.9850000000000003</v>
      </c>
      <c r="FC98" s="58">
        <v>99.411000000000001</v>
      </c>
      <c r="FD98" s="58">
        <v>49.372</v>
      </c>
      <c r="FE98" s="58">
        <v>50.037999999999997</v>
      </c>
      <c r="FF98" s="58">
        <v>32.886000000000003</v>
      </c>
      <c r="FG98" s="58">
        <v>23.062000000000001</v>
      </c>
      <c r="FH98" s="58">
        <v>9.8239999999999998</v>
      </c>
      <c r="FI98" s="58">
        <v>66.525000000000006</v>
      </c>
      <c r="FJ98" s="58">
        <v>26.311</v>
      </c>
      <c r="FK98" s="58">
        <v>40.213999999999999</v>
      </c>
      <c r="FL98" s="58">
        <v>39.889000000000003</v>
      </c>
      <c r="FM98" s="58">
        <v>27.88</v>
      </c>
      <c r="FN98" s="58">
        <v>12.009</v>
      </c>
      <c r="FO98" s="58">
        <v>72.176000000000002</v>
      </c>
      <c r="FP98" s="58">
        <v>29.515999999999998</v>
      </c>
      <c r="FQ98" s="58">
        <v>42.66</v>
      </c>
      <c r="FR98" s="58">
        <v>71.635000000000005</v>
      </c>
      <c r="FS98" s="58">
        <v>29.120999999999999</v>
      </c>
      <c r="FT98" s="58">
        <v>42.514000000000003</v>
      </c>
      <c r="FU98" s="58">
        <v>1425.576</v>
      </c>
      <c r="FV98" s="58">
        <v>764.77300000000002</v>
      </c>
      <c r="FW98" s="58">
        <v>660.803</v>
      </c>
      <c r="FX98" s="58">
        <v>964.95699999999999</v>
      </c>
      <c r="FY98" s="58">
        <v>625.77200000000005</v>
      </c>
      <c r="FZ98" s="58">
        <v>339.185</v>
      </c>
      <c r="GA98" s="58">
        <v>460.61900000000003</v>
      </c>
      <c r="GB98" s="58">
        <v>139.001</v>
      </c>
      <c r="GC98" s="58">
        <v>321.61799999999999</v>
      </c>
      <c r="GD98" s="58">
        <v>158.96600000000001</v>
      </c>
      <c r="GE98" s="58">
        <v>90.97</v>
      </c>
      <c r="GF98" s="58">
        <v>67.995999999999995</v>
      </c>
      <c r="GG98" s="58">
        <v>34.549999999999997</v>
      </c>
      <c r="GH98" s="58">
        <v>21.547000000000001</v>
      </c>
      <c r="GI98" s="58">
        <v>13.003</v>
      </c>
      <c r="GJ98" s="58">
        <v>10.395</v>
      </c>
      <c r="GK98" s="58">
        <v>8.9130000000000003</v>
      </c>
      <c r="GL98" s="58">
        <v>1.482</v>
      </c>
      <c r="GM98" s="58">
        <v>7.3520000000000003</v>
      </c>
      <c r="GN98" s="58">
        <v>5.8689999999999998</v>
      </c>
      <c r="GO98" s="58">
        <v>1.482</v>
      </c>
      <c r="GP98" s="58">
        <v>3.044</v>
      </c>
      <c r="GQ98" s="58">
        <v>3.044</v>
      </c>
      <c r="GR98" s="58">
        <v>0</v>
      </c>
      <c r="GS98" s="58">
        <v>24.155000000000001</v>
      </c>
      <c r="GT98" s="58">
        <v>12.634</v>
      </c>
      <c r="GU98" s="58">
        <v>11.521000000000001</v>
      </c>
      <c r="GV98" s="58">
        <v>139.428</v>
      </c>
      <c r="GW98" s="58">
        <v>78.915999999999997</v>
      </c>
      <c r="GX98" s="58">
        <v>60.512</v>
      </c>
      <c r="GY98" s="58">
        <v>56.649000000000001</v>
      </c>
      <c r="GZ98" s="58">
        <v>44.476999999999997</v>
      </c>
      <c r="HA98" s="58">
        <v>12.172000000000001</v>
      </c>
      <c r="HB98" s="58">
        <v>82.778999999999996</v>
      </c>
      <c r="HC98" s="58">
        <v>34.439</v>
      </c>
      <c r="HD98" s="58">
        <v>48.341000000000001</v>
      </c>
      <c r="HE98" s="58">
        <v>64.212000000000003</v>
      </c>
      <c r="HF98" s="58">
        <v>50.905000000000001</v>
      </c>
      <c r="HG98" s="58">
        <v>13.305999999999999</v>
      </c>
      <c r="HH98" s="58">
        <v>94.754999999999995</v>
      </c>
      <c r="HI98" s="58">
        <v>40.064999999999998</v>
      </c>
      <c r="HJ98" s="58">
        <v>54.69</v>
      </c>
      <c r="HK98" s="58">
        <v>90.131</v>
      </c>
      <c r="HL98" s="58">
        <v>40.308</v>
      </c>
      <c r="HM98" s="58">
        <v>49.823</v>
      </c>
      <c r="HN98" s="58">
        <v>258.83499999999998</v>
      </c>
      <c r="HO98" s="58">
        <v>135.845</v>
      </c>
      <c r="HP98" s="58">
        <v>122.99</v>
      </c>
      <c r="HQ98" s="58">
        <v>162.20699999999999</v>
      </c>
      <c r="HR98" s="58">
        <v>103.67</v>
      </c>
      <c r="HS98" s="58">
        <v>58.536999999999999</v>
      </c>
      <c r="HT98" s="58">
        <v>96.628</v>
      </c>
      <c r="HU98" s="58">
        <v>32.173999999999999</v>
      </c>
      <c r="HV98" s="58">
        <v>64.453999999999994</v>
      </c>
      <c r="HW98" s="58">
        <v>33.189</v>
      </c>
      <c r="HX98" s="58">
        <v>16.091000000000001</v>
      </c>
      <c r="HY98" s="58">
        <v>17.097999999999999</v>
      </c>
      <c r="HZ98" s="58">
        <v>5.9870000000000001</v>
      </c>
      <c r="IA98" s="58">
        <v>2.92</v>
      </c>
      <c r="IB98" s="58">
        <v>3.0670000000000002</v>
      </c>
      <c r="IC98" s="58">
        <v>1.6890000000000001</v>
      </c>
      <c r="ID98" s="58">
        <v>1.1910000000000001</v>
      </c>
      <c r="IE98" s="58">
        <v>0.498</v>
      </c>
      <c r="IF98" s="58">
        <v>0.98499999999999999</v>
      </c>
      <c r="IG98" s="58">
        <v>0.68100000000000005</v>
      </c>
      <c r="IH98" s="58">
        <v>0.30399999999999999</v>
      </c>
      <c r="II98" s="58">
        <v>0.70399999999999996</v>
      </c>
      <c r="IJ98" s="58">
        <v>0.51</v>
      </c>
      <c r="IK98" s="58">
        <v>0.19400000000000001</v>
      </c>
      <c r="IL98" s="58">
        <v>4.298</v>
      </c>
      <c r="IM98" s="58">
        <v>1.73</v>
      </c>
      <c r="IN98" s="58">
        <v>2.5680000000000001</v>
      </c>
      <c r="IO98" s="58">
        <v>29.888999999999999</v>
      </c>
      <c r="IP98" s="58">
        <v>14.616</v>
      </c>
      <c r="IQ98" s="58">
        <v>15.273</v>
      </c>
    </row>
    <row r="99" spans="1:251">
      <c r="A99" s="5">
        <v>44501</v>
      </c>
      <c r="B99" s="58">
        <v>1158.4000000000001</v>
      </c>
      <c r="C99" s="58">
        <v>1218.7139999999999</v>
      </c>
      <c r="D99" s="58">
        <v>410.33100000000002</v>
      </c>
      <c r="E99" s="58">
        <v>808.38300000000004</v>
      </c>
      <c r="F99" s="58">
        <v>529.22900000000004</v>
      </c>
      <c r="G99" s="58">
        <v>276.86900000000003</v>
      </c>
      <c r="H99" s="58">
        <v>252.36</v>
      </c>
      <c r="I99" s="58">
        <v>147.22399999999999</v>
      </c>
      <c r="J99" s="58">
        <v>79.082999999999998</v>
      </c>
      <c r="K99" s="58">
        <v>68.141000000000005</v>
      </c>
      <c r="L99" s="58">
        <v>69.113</v>
      </c>
      <c r="M99" s="58">
        <v>47.134</v>
      </c>
      <c r="N99" s="58">
        <v>21.978999999999999</v>
      </c>
      <c r="O99" s="58">
        <v>55.738</v>
      </c>
      <c r="P99" s="58">
        <v>37.335000000000001</v>
      </c>
      <c r="Q99" s="58">
        <v>18.402999999999999</v>
      </c>
      <c r="R99" s="58">
        <v>13.375</v>
      </c>
      <c r="S99" s="58">
        <v>9.7989999999999995</v>
      </c>
      <c r="T99" s="58">
        <v>3.5760000000000001</v>
      </c>
      <c r="U99" s="58">
        <v>78.111000000000004</v>
      </c>
      <c r="V99" s="58">
        <v>31.949000000000002</v>
      </c>
      <c r="W99" s="58">
        <v>46.161999999999999</v>
      </c>
      <c r="X99" s="58">
        <v>426.52</v>
      </c>
      <c r="Y99" s="58">
        <v>222.24</v>
      </c>
      <c r="Z99" s="58">
        <v>204.279</v>
      </c>
      <c r="AA99" s="58">
        <v>163.16300000000001</v>
      </c>
      <c r="AB99" s="58">
        <v>112.47799999999999</v>
      </c>
      <c r="AC99" s="58">
        <v>50.685000000000002</v>
      </c>
      <c r="AD99" s="58">
        <v>263.35700000000003</v>
      </c>
      <c r="AE99" s="58">
        <v>109.762</v>
      </c>
      <c r="AF99" s="58">
        <v>153.59399999999999</v>
      </c>
      <c r="AG99" s="58">
        <v>219.63200000000001</v>
      </c>
      <c r="AH99" s="58">
        <v>149.607</v>
      </c>
      <c r="AI99" s="58">
        <v>70.025000000000006</v>
      </c>
      <c r="AJ99" s="58">
        <v>309.59800000000001</v>
      </c>
      <c r="AK99" s="58">
        <v>127.262</v>
      </c>
      <c r="AL99" s="58">
        <v>182.33600000000001</v>
      </c>
      <c r="AM99" s="58">
        <v>319.09399999999999</v>
      </c>
      <c r="AN99" s="58">
        <v>147.09700000000001</v>
      </c>
      <c r="AO99" s="58">
        <v>171.99700000000001</v>
      </c>
      <c r="AP99" s="58">
        <v>3466.203</v>
      </c>
      <c r="AQ99" s="58">
        <v>1828.3520000000001</v>
      </c>
      <c r="AR99" s="58">
        <v>1637.85</v>
      </c>
      <c r="AS99" s="58">
        <v>2348.4270000000001</v>
      </c>
      <c r="AT99" s="58">
        <v>1475.049</v>
      </c>
      <c r="AU99" s="58">
        <v>873.37800000000004</v>
      </c>
      <c r="AV99" s="58">
        <v>1117.7750000000001</v>
      </c>
      <c r="AW99" s="58">
        <v>353.303</v>
      </c>
      <c r="AX99" s="58">
        <v>764.47199999999998</v>
      </c>
      <c r="AY99" s="58">
        <v>460.66</v>
      </c>
      <c r="AZ99" s="58">
        <v>256.02800000000002</v>
      </c>
      <c r="BA99" s="58">
        <v>204.631</v>
      </c>
      <c r="BB99" s="58">
        <v>136.923</v>
      </c>
      <c r="BC99" s="58">
        <v>78.453999999999994</v>
      </c>
      <c r="BD99" s="58">
        <v>58.469000000000001</v>
      </c>
      <c r="BE99" s="58">
        <v>58.713000000000001</v>
      </c>
      <c r="BF99" s="58">
        <v>43.491999999999997</v>
      </c>
      <c r="BG99" s="58">
        <v>15.221</v>
      </c>
      <c r="BH99" s="58">
        <v>45.551000000000002</v>
      </c>
      <c r="BI99" s="58">
        <v>33.228000000000002</v>
      </c>
      <c r="BJ99" s="58">
        <v>12.323</v>
      </c>
      <c r="BK99" s="58">
        <v>13.163</v>
      </c>
      <c r="BL99" s="58">
        <v>10.265000000000001</v>
      </c>
      <c r="BM99" s="58">
        <v>2.8980000000000001</v>
      </c>
      <c r="BN99" s="58">
        <v>78.209000000000003</v>
      </c>
      <c r="BO99" s="58">
        <v>34.962000000000003</v>
      </c>
      <c r="BP99" s="58">
        <v>43.247</v>
      </c>
      <c r="BQ99" s="58">
        <v>383.25900000000001</v>
      </c>
      <c r="BR99" s="58">
        <v>208.989</v>
      </c>
      <c r="BS99" s="58">
        <v>174.27</v>
      </c>
      <c r="BT99" s="58">
        <v>151.06100000000001</v>
      </c>
      <c r="BU99" s="58">
        <v>115.21899999999999</v>
      </c>
      <c r="BV99" s="58">
        <v>35.841000000000001</v>
      </c>
      <c r="BW99" s="58">
        <v>232.19800000000001</v>
      </c>
      <c r="BX99" s="58">
        <v>93.77</v>
      </c>
      <c r="BY99" s="58">
        <v>138.428</v>
      </c>
      <c r="BZ99" s="58">
        <v>193.37299999999999</v>
      </c>
      <c r="CA99" s="58">
        <v>146.55699999999999</v>
      </c>
      <c r="CB99" s="58">
        <v>46.814999999999998</v>
      </c>
      <c r="CC99" s="58">
        <v>267.28699999999998</v>
      </c>
      <c r="CD99" s="58">
        <v>109.471</v>
      </c>
      <c r="CE99" s="58">
        <v>157.816</v>
      </c>
      <c r="CF99" s="58">
        <v>277.74900000000002</v>
      </c>
      <c r="CG99" s="58">
        <v>126.998</v>
      </c>
      <c r="CH99" s="58">
        <v>150.751</v>
      </c>
      <c r="CI99" s="58">
        <v>2682.4520000000002</v>
      </c>
      <c r="CJ99" s="58">
        <v>1385.941</v>
      </c>
      <c r="CK99" s="58">
        <v>1296.5119999999999</v>
      </c>
      <c r="CL99" s="58">
        <v>1827.7739999999999</v>
      </c>
      <c r="CM99" s="58">
        <v>1118.854</v>
      </c>
      <c r="CN99" s="58">
        <v>708.91899999999998</v>
      </c>
      <c r="CO99" s="58">
        <v>854.67899999999997</v>
      </c>
      <c r="CP99" s="58">
        <v>267.08600000000001</v>
      </c>
      <c r="CQ99" s="58">
        <v>587.59199999999998</v>
      </c>
      <c r="CR99" s="58">
        <v>353.43299999999999</v>
      </c>
      <c r="CS99" s="58">
        <v>182.14400000000001</v>
      </c>
      <c r="CT99" s="58">
        <v>171.28800000000001</v>
      </c>
      <c r="CU99" s="58">
        <v>65.165000000000006</v>
      </c>
      <c r="CV99" s="58">
        <v>40.459000000000003</v>
      </c>
      <c r="CW99" s="58">
        <v>24.706</v>
      </c>
      <c r="CX99" s="58">
        <v>24.518000000000001</v>
      </c>
      <c r="CY99" s="58">
        <v>18.195</v>
      </c>
      <c r="CZ99" s="58">
        <v>6.3230000000000004</v>
      </c>
      <c r="DA99" s="58">
        <v>15.603</v>
      </c>
      <c r="DB99" s="58">
        <v>11.781000000000001</v>
      </c>
      <c r="DC99" s="58">
        <v>3.8220000000000001</v>
      </c>
      <c r="DD99" s="58">
        <v>8.9149999999999991</v>
      </c>
      <c r="DE99" s="58">
        <v>6.415</v>
      </c>
      <c r="DF99" s="58">
        <v>2.5009999999999999</v>
      </c>
      <c r="DG99" s="58">
        <v>40.646999999999998</v>
      </c>
      <c r="DH99" s="58">
        <v>22.263000000000002</v>
      </c>
      <c r="DI99" s="58">
        <v>18.384</v>
      </c>
      <c r="DJ99" s="58">
        <v>314.161</v>
      </c>
      <c r="DK99" s="58">
        <v>157.11099999999999</v>
      </c>
      <c r="DL99" s="58">
        <v>157.05000000000001</v>
      </c>
      <c r="DM99" s="58">
        <v>109.322</v>
      </c>
      <c r="DN99" s="58">
        <v>77.677999999999997</v>
      </c>
      <c r="DO99" s="58">
        <v>31.643999999999998</v>
      </c>
      <c r="DP99" s="58">
        <v>204.839</v>
      </c>
      <c r="DQ99" s="58">
        <v>79.432000000000002</v>
      </c>
      <c r="DR99" s="58">
        <v>125.407</v>
      </c>
      <c r="DS99" s="58">
        <v>129.70699999999999</v>
      </c>
      <c r="DT99" s="58">
        <v>92.432000000000002</v>
      </c>
      <c r="DU99" s="58">
        <v>37.274999999999999</v>
      </c>
      <c r="DV99" s="58">
        <v>223.726</v>
      </c>
      <c r="DW99" s="58">
        <v>89.712000000000003</v>
      </c>
      <c r="DX99" s="58">
        <v>134.01400000000001</v>
      </c>
      <c r="DY99" s="58">
        <v>220.44200000000001</v>
      </c>
      <c r="DZ99" s="58">
        <v>91.212999999999994</v>
      </c>
      <c r="EA99" s="58">
        <v>129.22900000000001</v>
      </c>
      <c r="EB99" s="58">
        <v>885.22199999999998</v>
      </c>
      <c r="EC99" s="58">
        <v>466.1</v>
      </c>
      <c r="ED99" s="58">
        <v>419.12299999999999</v>
      </c>
      <c r="EE99" s="58">
        <v>579.07299999999998</v>
      </c>
      <c r="EF99" s="58">
        <v>369.67099999999999</v>
      </c>
      <c r="EG99" s="58">
        <v>209.40199999999999</v>
      </c>
      <c r="EH99" s="58">
        <v>306.149</v>
      </c>
      <c r="EI99" s="58">
        <v>96.429000000000002</v>
      </c>
      <c r="EJ99" s="58">
        <v>209.721</v>
      </c>
      <c r="EK99" s="58">
        <v>117.13</v>
      </c>
      <c r="EL99" s="58">
        <v>56.009</v>
      </c>
      <c r="EM99" s="58">
        <v>61.121000000000002</v>
      </c>
      <c r="EN99" s="58">
        <v>24.524999999999999</v>
      </c>
      <c r="EO99" s="58">
        <v>12.542999999999999</v>
      </c>
      <c r="EP99" s="58">
        <v>11.981999999999999</v>
      </c>
      <c r="EQ99" s="58">
        <v>9.1050000000000004</v>
      </c>
      <c r="ER99" s="58">
        <v>7.3079999999999998</v>
      </c>
      <c r="ES99" s="58">
        <v>1.7969999999999999</v>
      </c>
      <c r="ET99" s="58">
        <v>4.0069999999999997</v>
      </c>
      <c r="EU99" s="58">
        <v>2.9169999999999998</v>
      </c>
      <c r="EV99" s="58">
        <v>1.0900000000000001</v>
      </c>
      <c r="EW99" s="58">
        <v>5.0970000000000004</v>
      </c>
      <c r="EX99" s="58">
        <v>4.391</v>
      </c>
      <c r="EY99" s="58">
        <v>0.70699999999999996</v>
      </c>
      <c r="EZ99" s="58">
        <v>15.42</v>
      </c>
      <c r="FA99" s="58">
        <v>5.2350000000000003</v>
      </c>
      <c r="FB99" s="58">
        <v>10.185</v>
      </c>
      <c r="FC99" s="58">
        <v>101.32899999999999</v>
      </c>
      <c r="FD99" s="58">
        <v>47.612000000000002</v>
      </c>
      <c r="FE99" s="58">
        <v>53.716999999999999</v>
      </c>
      <c r="FF99" s="58">
        <v>31.951000000000001</v>
      </c>
      <c r="FG99" s="58">
        <v>21.12</v>
      </c>
      <c r="FH99" s="58">
        <v>10.831</v>
      </c>
      <c r="FI99" s="58">
        <v>69.378</v>
      </c>
      <c r="FJ99" s="58">
        <v>26.492000000000001</v>
      </c>
      <c r="FK99" s="58">
        <v>42.886000000000003</v>
      </c>
      <c r="FL99" s="58">
        <v>38.338999999999999</v>
      </c>
      <c r="FM99" s="58">
        <v>25.71</v>
      </c>
      <c r="FN99" s="58">
        <v>12.628</v>
      </c>
      <c r="FO99" s="58">
        <v>78.790999999999997</v>
      </c>
      <c r="FP99" s="58">
        <v>30.297999999999998</v>
      </c>
      <c r="FQ99" s="58">
        <v>48.493000000000002</v>
      </c>
      <c r="FR99" s="58">
        <v>73.385000000000005</v>
      </c>
      <c r="FS99" s="58">
        <v>29.408999999999999</v>
      </c>
      <c r="FT99" s="58">
        <v>43.975999999999999</v>
      </c>
      <c r="FU99" s="58">
        <v>1452.9639999999999</v>
      </c>
      <c r="FV99" s="58">
        <v>769.23800000000006</v>
      </c>
      <c r="FW99" s="58">
        <v>683.726</v>
      </c>
      <c r="FX99" s="58">
        <v>980.15700000000004</v>
      </c>
      <c r="FY99" s="58">
        <v>627.75800000000004</v>
      </c>
      <c r="FZ99" s="58">
        <v>352.399</v>
      </c>
      <c r="GA99" s="58">
        <v>472.80700000000002</v>
      </c>
      <c r="GB99" s="58">
        <v>141.47999999999999</v>
      </c>
      <c r="GC99" s="58">
        <v>331.327</v>
      </c>
      <c r="GD99" s="58">
        <v>155.608</v>
      </c>
      <c r="GE99" s="58">
        <v>80.046000000000006</v>
      </c>
      <c r="GF99" s="58">
        <v>75.561000000000007</v>
      </c>
      <c r="GG99" s="58">
        <v>29.456</v>
      </c>
      <c r="GH99" s="58">
        <v>17.725000000000001</v>
      </c>
      <c r="GI99" s="58">
        <v>11.731</v>
      </c>
      <c r="GJ99" s="58">
        <v>13.725</v>
      </c>
      <c r="GK99" s="58">
        <v>11.43</v>
      </c>
      <c r="GL99" s="58">
        <v>2.2959999999999998</v>
      </c>
      <c r="GM99" s="58">
        <v>5.4249999999999998</v>
      </c>
      <c r="GN99" s="58">
        <v>4.8239999999999998</v>
      </c>
      <c r="GO99" s="58">
        <v>0.60099999999999998</v>
      </c>
      <c r="GP99" s="58">
        <v>8.3000000000000007</v>
      </c>
      <c r="GQ99" s="58">
        <v>6.6059999999999999</v>
      </c>
      <c r="GR99" s="58">
        <v>1.694</v>
      </c>
      <c r="GS99" s="58">
        <v>15.731</v>
      </c>
      <c r="GT99" s="58">
        <v>6.2949999999999999</v>
      </c>
      <c r="GU99" s="58">
        <v>9.4359999999999999</v>
      </c>
      <c r="GV99" s="58">
        <v>135.37299999999999</v>
      </c>
      <c r="GW99" s="58">
        <v>68.367000000000004</v>
      </c>
      <c r="GX99" s="58">
        <v>67.007000000000005</v>
      </c>
      <c r="GY99" s="58">
        <v>46.006999999999998</v>
      </c>
      <c r="GZ99" s="58">
        <v>33.485999999999997</v>
      </c>
      <c r="HA99" s="58">
        <v>12.521000000000001</v>
      </c>
      <c r="HB99" s="58">
        <v>89.366</v>
      </c>
      <c r="HC99" s="58">
        <v>34.881</v>
      </c>
      <c r="HD99" s="58">
        <v>54.484999999999999</v>
      </c>
      <c r="HE99" s="58">
        <v>56.15</v>
      </c>
      <c r="HF99" s="58">
        <v>41.595999999999997</v>
      </c>
      <c r="HG99" s="58">
        <v>14.554</v>
      </c>
      <c r="HH99" s="58">
        <v>99.457999999999998</v>
      </c>
      <c r="HI99" s="58">
        <v>38.451000000000001</v>
      </c>
      <c r="HJ99" s="58">
        <v>61.006999999999998</v>
      </c>
      <c r="HK99" s="58">
        <v>94.790999999999997</v>
      </c>
      <c r="HL99" s="58">
        <v>39.704999999999998</v>
      </c>
      <c r="HM99" s="58">
        <v>55.087000000000003</v>
      </c>
      <c r="HN99" s="58">
        <v>261.66500000000002</v>
      </c>
      <c r="HO99" s="58">
        <v>136.16499999999999</v>
      </c>
      <c r="HP99" s="58">
        <v>125.5</v>
      </c>
      <c r="HQ99" s="58">
        <v>164.18</v>
      </c>
      <c r="HR99" s="58">
        <v>105.55200000000001</v>
      </c>
      <c r="HS99" s="58">
        <v>58.627000000000002</v>
      </c>
      <c r="HT99" s="58">
        <v>97.484999999999999</v>
      </c>
      <c r="HU99" s="58">
        <v>30.613</v>
      </c>
      <c r="HV99" s="58">
        <v>66.872</v>
      </c>
      <c r="HW99" s="58">
        <v>34.139000000000003</v>
      </c>
      <c r="HX99" s="58">
        <v>17.474</v>
      </c>
      <c r="HY99" s="58">
        <v>16.666</v>
      </c>
      <c r="HZ99" s="58">
        <v>5.4619999999999997</v>
      </c>
      <c r="IA99" s="58">
        <v>2.9609999999999999</v>
      </c>
      <c r="IB99" s="58">
        <v>2.5</v>
      </c>
      <c r="IC99" s="58">
        <v>1.4159999999999999</v>
      </c>
      <c r="ID99" s="58">
        <v>0.83899999999999997</v>
      </c>
      <c r="IE99" s="58">
        <v>0.57699999999999996</v>
      </c>
      <c r="IF99" s="58">
        <v>1.196</v>
      </c>
      <c r="IG99" s="58">
        <v>0.72899999999999998</v>
      </c>
      <c r="IH99" s="58">
        <v>0.46700000000000003</v>
      </c>
      <c r="II99" s="58">
        <v>0.22</v>
      </c>
      <c r="IJ99" s="58">
        <v>0.109</v>
      </c>
      <c r="IK99" s="58">
        <v>0.111</v>
      </c>
      <c r="IL99" s="58">
        <v>4.0460000000000003</v>
      </c>
      <c r="IM99" s="58">
        <v>2.1230000000000002</v>
      </c>
      <c r="IN99" s="58">
        <v>1.923</v>
      </c>
      <c r="IO99" s="58">
        <v>32.037999999999997</v>
      </c>
      <c r="IP99" s="58">
        <v>16.198</v>
      </c>
      <c r="IQ99" s="58">
        <v>15.84</v>
      </c>
    </row>
    <row r="100" spans="1:251">
      <c r="A100" s="5">
        <v>44531</v>
      </c>
      <c r="B100" s="58">
        <v>1195.9110000000001</v>
      </c>
      <c r="C100" s="58">
        <v>1236.883</v>
      </c>
      <c r="D100" s="58">
        <v>426.28100000000001</v>
      </c>
      <c r="E100" s="58">
        <v>810.60199999999998</v>
      </c>
      <c r="F100" s="58">
        <v>472.91500000000002</v>
      </c>
      <c r="G100" s="58">
        <v>257.91699999999997</v>
      </c>
      <c r="H100" s="58">
        <v>214.99799999999999</v>
      </c>
      <c r="I100" s="58">
        <v>104.86499999999999</v>
      </c>
      <c r="J100" s="58">
        <v>60.362000000000002</v>
      </c>
      <c r="K100" s="58">
        <v>44.503</v>
      </c>
      <c r="L100" s="58">
        <v>45.207000000000001</v>
      </c>
      <c r="M100" s="58">
        <v>32.814999999999998</v>
      </c>
      <c r="N100" s="58">
        <v>12.391999999999999</v>
      </c>
      <c r="O100" s="58">
        <v>32.268000000000001</v>
      </c>
      <c r="P100" s="58">
        <v>23.626999999999999</v>
      </c>
      <c r="Q100" s="58">
        <v>8.64</v>
      </c>
      <c r="R100" s="58">
        <v>12.94</v>
      </c>
      <c r="S100" s="58">
        <v>9.1880000000000006</v>
      </c>
      <c r="T100" s="58">
        <v>3.7519999999999998</v>
      </c>
      <c r="U100" s="58">
        <v>59.656999999999996</v>
      </c>
      <c r="V100" s="58">
        <v>27.545999999999999</v>
      </c>
      <c r="W100" s="58">
        <v>32.110999999999997</v>
      </c>
      <c r="X100" s="58">
        <v>404.56599999999997</v>
      </c>
      <c r="Y100" s="58">
        <v>217.95</v>
      </c>
      <c r="Z100" s="58">
        <v>186.61600000000001</v>
      </c>
      <c r="AA100" s="58">
        <v>156.30500000000001</v>
      </c>
      <c r="AB100" s="58">
        <v>105.82599999999999</v>
      </c>
      <c r="AC100" s="58">
        <v>50.478999999999999</v>
      </c>
      <c r="AD100" s="58">
        <v>248.261</v>
      </c>
      <c r="AE100" s="58">
        <v>112.124</v>
      </c>
      <c r="AF100" s="58">
        <v>136.137</v>
      </c>
      <c r="AG100" s="58">
        <v>188.30600000000001</v>
      </c>
      <c r="AH100" s="58">
        <v>129.27000000000001</v>
      </c>
      <c r="AI100" s="58">
        <v>59.036000000000001</v>
      </c>
      <c r="AJ100" s="58">
        <v>284.60899999999998</v>
      </c>
      <c r="AK100" s="58">
        <v>128.64699999999999</v>
      </c>
      <c r="AL100" s="58">
        <v>155.96199999999999</v>
      </c>
      <c r="AM100" s="58">
        <v>280.529</v>
      </c>
      <c r="AN100" s="58">
        <v>135.751</v>
      </c>
      <c r="AO100" s="58">
        <v>144.77699999999999</v>
      </c>
      <c r="AP100" s="58">
        <v>3517.0529999999999</v>
      </c>
      <c r="AQ100" s="58">
        <v>1862.41</v>
      </c>
      <c r="AR100" s="58">
        <v>1654.643</v>
      </c>
      <c r="AS100" s="58">
        <v>2405.8429999999998</v>
      </c>
      <c r="AT100" s="58">
        <v>1518.951</v>
      </c>
      <c r="AU100" s="58">
        <v>886.89200000000005</v>
      </c>
      <c r="AV100" s="58">
        <v>1111.211</v>
      </c>
      <c r="AW100" s="58">
        <v>343.459</v>
      </c>
      <c r="AX100" s="58">
        <v>767.75099999999998</v>
      </c>
      <c r="AY100" s="58">
        <v>437.29300000000001</v>
      </c>
      <c r="AZ100" s="58">
        <v>228.489</v>
      </c>
      <c r="BA100" s="58">
        <v>208.804</v>
      </c>
      <c r="BB100" s="58">
        <v>110.46599999999999</v>
      </c>
      <c r="BC100" s="58">
        <v>59.192</v>
      </c>
      <c r="BD100" s="58">
        <v>51.274000000000001</v>
      </c>
      <c r="BE100" s="58">
        <v>53.033999999999999</v>
      </c>
      <c r="BF100" s="58">
        <v>36.613</v>
      </c>
      <c r="BG100" s="58">
        <v>16.420999999999999</v>
      </c>
      <c r="BH100" s="58">
        <v>31.131</v>
      </c>
      <c r="BI100" s="58">
        <v>21.452000000000002</v>
      </c>
      <c r="BJ100" s="58">
        <v>9.6790000000000003</v>
      </c>
      <c r="BK100" s="58">
        <v>21.902999999999999</v>
      </c>
      <c r="BL100" s="58">
        <v>15.161</v>
      </c>
      <c r="BM100" s="58">
        <v>6.742</v>
      </c>
      <c r="BN100" s="58">
        <v>57.432000000000002</v>
      </c>
      <c r="BO100" s="58">
        <v>22.579000000000001</v>
      </c>
      <c r="BP100" s="58">
        <v>34.853000000000002</v>
      </c>
      <c r="BQ100" s="58">
        <v>362.96800000000002</v>
      </c>
      <c r="BR100" s="58">
        <v>188.48599999999999</v>
      </c>
      <c r="BS100" s="58">
        <v>174.482</v>
      </c>
      <c r="BT100" s="58">
        <v>140.95500000000001</v>
      </c>
      <c r="BU100" s="58">
        <v>102.512</v>
      </c>
      <c r="BV100" s="58">
        <v>38.442</v>
      </c>
      <c r="BW100" s="58">
        <v>222.01300000000001</v>
      </c>
      <c r="BX100" s="58">
        <v>85.974000000000004</v>
      </c>
      <c r="BY100" s="58">
        <v>136.04</v>
      </c>
      <c r="BZ100" s="58">
        <v>182.83600000000001</v>
      </c>
      <c r="CA100" s="58">
        <v>130.86500000000001</v>
      </c>
      <c r="CB100" s="58">
        <v>51.970999999999997</v>
      </c>
      <c r="CC100" s="58">
        <v>254.45599999999999</v>
      </c>
      <c r="CD100" s="58">
        <v>97.623999999999995</v>
      </c>
      <c r="CE100" s="58">
        <v>156.833</v>
      </c>
      <c r="CF100" s="58">
        <v>253.14400000000001</v>
      </c>
      <c r="CG100" s="58">
        <v>107.426</v>
      </c>
      <c r="CH100" s="58">
        <v>145.71899999999999</v>
      </c>
      <c r="CI100" s="58">
        <v>2701.6680000000001</v>
      </c>
      <c r="CJ100" s="58">
        <v>1396.616</v>
      </c>
      <c r="CK100" s="58">
        <v>1305.0509999999999</v>
      </c>
      <c r="CL100" s="58">
        <v>1871.3050000000001</v>
      </c>
      <c r="CM100" s="58">
        <v>1135.6890000000001</v>
      </c>
      <c r="CN100" s="58">
        <v>735.61599999999999</v>
      </c>
      <c r="CO100" s="58">
        <v>830.36300000000006</v>
      </c>
      <c r="CP100" s="58">
        <v>260.92700000000002</v>
      </c>
      <c r="CQ100" s="58">
        <v>569.43499999999995</v>
      </c>
      <c r="CR100" s="58">
        <v>342.73700000000002</v>
      </c>
      <c r="CS100" s="58">
        <v>177.06</v>
      </c>
      <c r="CT100" s="58">
        <v>165.67699999999999</v>
      </c>
      <c r="CU100" s="58">
        <v>71.256</v>
      </c>
      <c r="CV100" s="58">
        <v>35.203000000000003</v>
      </c>
      <c r="CW100" s="58">
        <v>36.052999999999997</v>
      </c>
      <c r="CX100" s="58">
        <v>25.867999999999999</v>
      </c>
      <c r="CY100" s="58">
        <v>17.887</v>
      </c>
      <c r="CZ100" s="58">
        <v>7.9809999999999999</v>
      </c>
      <c r="DA100" s="58">
        <v>14.907999999999999</v>
      </c>
      <c r="DB100" s="58">
        <v>9.6229999999999993</v>
      </c>
      <c r="DC100" s="58">
        <v>5.2859999999999996</v>
      </c>
      <c r="DD100" s="58">
        <v>10.96</v>
      </c>
      <c r="DE100" s="58">
        <v>8.2639999999999993</v>
      </c>
      <c r="DF100" s="58">
        <v>2.6960000000000002</v>
      </c>
      <c r="DG100" s="58">
        <v>45.387999999999998</v>
      </c>
      <c r="DH100" s="58">
        <v>17.315999999999999</v>
      </c>
      <c r="DI100" s="58">
        <v>28.071000000000002</v>
      </c>
      <c r="DJ100" s="58">
        <v>305.47399999999999</v>
      </c>
      <c r="DK100" s="58">
        <v>157.65299999999999</v>
      </c>
      <c r="DL100" s="58">
        <v>147.822</v>
      </c>
      <c r="DM100" s="58">
        <v>102.297</v>
      </c>
      <c r="DN100" s="58">
        <v>67.86</v>
      </c>
      <c r="DO100" s="58">
        <v>34.436999999999998</v>
      </c>
      <c r="DP100" s="58">
        <v>203.17699999999999</v>
      </c>
      <c r="DQ100" s="58">
        <v>89.792000000000002</v>
      </c>
      <c r="DR100" s="58">
        <v>113.38500000000001</v>
      </c>
      <c r="DS100" s="58">
        <v>123.378</v>
      </c>
      <c r="DT100" s="58">
        <v>82.697000000000003</v>
      </c>
      <c r="DU100" s="58">
        <v>40.680999999999997</v>
      </c>
      <c r="DV100" s="58">
        <v>219.35900000000001</v>
      </c>
      <c r="DW100" s="58">
        <v>94.363</v>
      </c>
      <c r="DX100" s="58">
        <v>124.997</v>
      </c>
      <c r="DY100" s="58">
        <v>218.08600000000001</v>
      </c>
      <c r="DZ100" s="58">
        <v>99.415000000000006</v>
      </c>
      <c r="EA100" s="58">
        <v>118.67</v>
      </c>
      <c r="EB100" s="58">
        <v>889.73699999999997</v>
      </c>
      <c r="EC100" s="58">
        <v>464.892</v>
      </c>
      <c r="ED100" s="58">
        <v>424.846</v>
      </c>
      <c r="EE100" s="58">
        <v>585.06399999999996</v>
      </c>
      <c r="EF100" s="58">
        <v>374.66199999999998</v>
      </c>
      <c r="EG100" s="58">
        <v>210.40199999999999</v>
      </c>
      <c r="EH100" s="58">
        <v>304.673</v>
      </c>
      <c r="EI100" s="58">
        <v>90.23</v>
      </c>
      <c r="EJ100" s="58">
        <v>214.44300000000001</v>
      </c>
      <c r="EK100" s="58">
        <v>123.95099999999999</v>
      </c>
      <c r="EL100" s="58">
        <v>56.685000000000002</v>
      </c>
      <c r="EM100" s="58">
        <v>67.266000000000005</v>
      </c>
      <c r="EN100" s="58">
        <v>27.093</v>
      </c>
      <c r="EO100" s="58">
        <v>12.494</v>
      </c>
      <c r="EP100" s="58">
        <v>14.599</v>
      </c>
      <c r="EQ100" s="58">
        <v>9.9879999999999995</v>
      </c>
      <c r="ER100" s="58">
        <v>6.3650000000000002</v>
      </c>
      <c r="ES100" s="58">
        <v>3.6230000000000002</v>
      </c>
      <c r="ET100" s="58">
        <v>3.9769999999999999</v>
      </c>
      <c r="EU100" s="58">
        <v>2.5659999999999998</v>
      </c>
      <c r="EV100" s="58">
        <v>1.41</v>
      </c>
      <c r="EW100" s="58">
        <v>6.0110000000000001</v>
      </c>
      <c r="EX100" s="58">
        <v>3.798</v>
      </c>
      <c r="EY100" s="58">
        <v>2.2130000000000001</v>
      </c>
      <c r="EZ100" s="58">
        <v>17.105</v>
      </c>
      <c r="FA100" s="58">
        <v>6.13</v>
      </c>
      <c r="FB100" s="58">
        <v>10.976000000000001</v>
      </c>
      <c r="FC100" s="58">
        <v>108.29600000000001</v>
      </c>
      <c r="FD100" s="58">
        <v>49.223999999999997</v>
      </c>
      <c r="FE100" s="58">
        <v>59.072000000000003</v>
      </c>
      <c r="FF100" s="58">
        <v>33.500999999999998</v>
      </c>
      <c r="FG100" s="58">
        <v>22.45</v>
      </c>
      <c r="FH100" s="58">
        <v>11.052</v>
      </c>
      <c r="FI100" s="58">
        <v>74.793999999999997</v>
      </c>
      <c r="FJ100" s="58">
        <v>26.774000000000001</v>
      </c>
      <c r="FK100" s="58">
        <v>48.02</v>
      </c>
      <c r="FL100" s="58">
        <v>40.329000000000001</v>
      </c>
      <c r="FM100" s="58">
        <v>26.946000000000002</v>
      </c>
      <c r="FN100" s="58">
        <v>13.382999999999999</v>
      </c>
      <c r="FO100" s="58">
        <v>83.622</v>
      </c>
      <c r="FP100" s="58">
        <v>29.739000000000001</v>
      </c>
      <c r="FQ100" s="58">
        <v>53.881999999999998</v>
      </c>
      <c r="FR100" s="58">
        <v>78.771000000000001</v>
      </c>
      <c r="FS100" s="58">
        <v>29.34</v>
      </c>
      <c r="FT100" s="58">
        <v>49.430999999999997</v>
      </c>
      <c r="FU100" s="58">
        <v>1458.731</v>
      </c>
      <c r="FV100" s="58">
        <v>778.65599999999995</v>
      </c>
      <c r="FW100" s="58">
        <v>680.07399999999996</v>
      </c>
      <c r="FX100" s="58">
        <v>992.58</v>
      </c>
      <c r="FY100" s="58">
        <v>639.10599999999999</v>
      </c>
      <c r="FZ100" s="58">
        <v>353.47399999999999</v>
      </c>
      <c r="GA100" s="58">
        <v>466.15100000000001</v>
      </c>
      <c r="GB100" s="58">
        <v>139.55000000000001</v>
      </c>
      <c r="GC100" s="58">
        <v>326.60000000000002</v>
      </c>
      <c r="GD100" s="58">
        <v>162.61199999999999</v>
      </c>
      <c r="GE100" s="58">
        <v>78.466999999999999</v>
      </c>
      <c r="GF100" s="58">
        <v>84.144999999999996</v>
      </c>
      <c r="GG100" s="58">
        <v>32.581000000000003</v>
      </c>
      <c r="GH100" s="58">
        <v>16.713000000000001</v>
      </c>
      <c r="GI100" s="58">
        <v>15.867000000000001</v>
      </c>
      <c r="GJ100" s="58">
        <v>14.579000000000001</v>
      </c>
      <c r="GK100" s="58">
        <v>9.8940000000000001</v>
      </c>
      <c r="GL100" s="58">
        <v>4.6849999999999996</v>
      </c>
      <c r="GM100" s="58">
        <v>5.8319999999999999</v>
      </c>
      <c r="GN100" s="58">
        <v>4.2750000000000004</v>
      </c>
      <c r="GO100" s="58">
        <v>1.556</v>
      </c>
      <c r="GP100" s="58">
        <v>8.7469999999999999</v>
      </c>
      <c r="GQ100" s="58">
        <v>5.6189999999999998</v>
      </c>
      <c r="GR100" s="58">
        <v>3.1280000000000001</v>
      </c>
      <c r="GS100" s="58">
        <v>18.001999999999999</v>
      </c>
      <c r="GT100" s="58">
        <v>6.819</v>
      </c>
      <c r="GU100" s="58">
        <v>11.183</v>
      </c>
      <c r="GV100" s="58">
        <v>140.24799999999999</v>
      </c>
      <c r="GW100" s="58">
        <v>65.481999999999999</v>
      </c>
      <c r="GX100" s="58">
        <v>74.766000000000005</v>
      </c>
      <c r="GY100" s="58">
        <v>46.52</v>
      </c>
      <c r="GZ100" s="58">
        <v>30.373000000000001</v>
      </c>
      <c r="HA100" s="58">
        <v>16.146999999999998</v>
      </c>
      <c r="HB100" s="58">
        <v>93.727999999999994</v>
      </c>
      <c r="HC100" s="58">
        <v>35.109000000000002</v>
      </c>
      <c r="HD100" s="58">
        <v>58.618000000000002</v>
      </c>
      <c r="HE100" s="58">
        <v>59.656999999999996</v>
      </c>
      <c r="HF100" s="58">
        <v>40.267000000000003</v>
      </c>
      <c r="HG100" s="58">
        <v>19.39</v>
      </c>
      <c r="HH100" s="58">
        <v>102.955</v>
      </c>
      <c r="HI100" s="58">
        <v>38.200000000000003</v>
      </c>
      <c r="HJ100" s="58">
        <v>64.754999999999995</v>
      </c>
      <c r="HK100" s="58">
        <v>99.558999999999997</v>
      </c>
      <c r="HL100" s="58">
        <v>39.384</v>
      </c>
      <c r="HM100" s="58">
        <v>60.174999999999997</v>
      </c>
      <c r="HN100" s="58">
        <v>263.44099999999997</v>
      </c>
      <c r="HO100" s="58">
        <v>137.386</v>
      </c>
      <c r="HP100" s="58">
        <v>126.05500000000001</v>
      </c>
      <c r="HQ100" s="58">
        <v>167.78800000000001</v>
      </c>
      <c r="HR100" s="58">
        <v>105.736</v>
      </c>
      <c r="HS100" s="58">
        <v>62.052</v>
      </c>
      <c r="HT100" s="58">
        <v>95.653000000000006</v>
      </c>
      <c r="HU100" s="58">
        <v>31.65</v>
      </c>
      <c r="HV100" s="58">
        <v>64.003</v>
      </c>
      <c r="HW100" s="58">
        <v>34.701000000000001</v>
      </c>
      <c r="HX100" s="58">
        <v>16.588999999999999</v>
      </c>
      <c r="HY100" s="58">
        <v>18.111999999999998</v>
      </c>
      <c r="HZ100" s="58">
        <v>5.806</v>
      </c>
      <c r="IA100" s="58">
        <v>2.6909999999999998</v>
      </c>
      <c r="IB100" s="58">
        <v>3.1150000000000002</v>
      </c>
      <c r="IC100" s="58">
        <v>1.875</v>
      </c>
      <c r="ID100" s="58">
        <v>1.032</v>
      </c>
      <c r="IE100" s="58">
        <v>0.84299999999999997</v>
      </c>
      <c r="IF100" s="58">
        <v>1.077</v>
      </c>
      <c r="IG100" s="58">
        <v>0.505</v>
      </c>
      <c r="IH100" s="58">
        <v>0.57199999999999995</v>
      </c>
      <c r="II100" s="58">
        <v>0.79800000000000004</v>
      </c>
      <c r="IJ100" s="58">
        <v>0.52700000000000002</v>
      </c>
      <c r="IK100" s="58">
        <v>0.27100000000000002</v>
      </c>
      <c r="IL100" s="58">
        <v>3.931</v>
      </c>
      <c r="IM100" s="58">
        <v>1.659</v>
      </c>
      <c r="IN100" s="58">
        <v>2.2730000000000001</v>
      </c>
      <c r="IO100" s="58">
        <v>31.17</v>
      </c>
      <c r="IP100" s="58">
        <v>14.858000000000001</v>
      </c>
      <c r="IQ100" s="58">
        <v>16.312000000000001</v>
      </c>
    </row>
    <row r="101" spans="1:251">
      <c r="A101" s="5">
        <v>44562</v>
      </c>
      <c r="B101" s="58">
        <v>1150.3209999999999</v>
      </c>
      <c r="C101" s="58">
        <v>1196.6969999999999</v>
      </c>
      <c r="D101" s="58">
        <v>393.48099999999999</v>
      </c>
      <c r="E101" s="58">
        <v>803.21600000000001</v>
      </c>
      <c r="F101" s="58">
        <v>473.38</v>
      </c>
      <c r="G101" s="58">
        <v>247.80199999999999</v>
      </c>
      <c r="H101" s="58">
        <v>225.578</v>
      </c>
      <c r="I101" s="58">
        <v>123.002</v>
      </c>
      <c r="J101" s="58">
        <v>68.292000000000002</v>
      </c>
      <c r="K101" s="58">
        <v>54.71</v>
      </c>
      <c r="L101" s="58">
        <v>50.383000000000003</v>
      </c>
      <c r="M101" s="58">
        <v>38.731000000000002</v>
      </c>
      <c r="N101" s="58">
        <v>11.651</v>
      </c>
      <c r="O101" s="58">
        <v>40.954000000000001</v>
      </c>
      <c r="P101" s="58">
        <v>30.446999999999999</v>
      </c>
      <c r="Q101" s="58">
        <v>10.506</v>
      </c>
      <c r="R101" s="58">
        <v>9.4290000000000003</v>
      </c>
      <c r="S101" s="58">
        <v>8.2840000000000007</v>
      </c>
      <c r="T101" s="58">
        <v>1.145</v>
      </c>
      <c r="U101" s="58">
        <v>72.619</v>
      </c>
      <c r="V101" s="58">
        <v>29.56</v>
      </c>
      <c r="W101" s="58">
        <v>43.058999999999997</v>
      </c>
      <c r="X101" s="58">
        <v>393.75200000000001</v>
      </c>
      <c r="Y101" s="58">
        <v>202.78299999999999</v>
      </c>
      <c r="Z101" s="58">
        <v>190.96899999999999</v>
      </c>
      <c r="AA101" s="58">
        <v>150.00200000000001</v>
      </c>
      <c r="AB101" s="58">
        <v>101.746</v>
      </c>
      <c r="AC101" s="58">
        <v>48.256</v>
      </c>
      <c r="AD101" s="58">
        <v>243.75</v>
      </c>
      <c r="AE101" s="58">
        <v>101.03700000000001</v>
      </c>
      <c r="AF101" s="58">
        <v>142.714</v>
      </c>
      <c r="AG101" s="58">
        <v>189.352</v>
      </c>
      <c r="AH101" s="58">
        <v>131.68899999999999</v>
      </c>
      <c r="AI101" s="58">
        <v>57.662999999999997</v>
      </c>
      <c r="AJ101" s="58">
        <v>284.02800000000002</v>
      </c>
      <c r="AK101" s="58">
        <v>116.113</v>
      </c>
      <c r="AL101" s="58">
        <v>167.91499999999999</v>
      </c>
      <c r="AM101" s="58">
        <v>284.70400000000001</v>
      </c>
      <c r="AN101" s="58">
        <v>131.48400000000001</v>
      </c>
      <c r="AO101" s="58">
        <v>153.22</v>
      </c>
      <c r="AP101" s="58">
        <v>3437.279</v>
      </c>
      <c r="AQ101" s="58">
        <v>1805.896</v>
      </c>
      <c r="AR101" s="58">
        <v>1631.383</v>
      </c>
      <c r="AS101" s="58">
        <v>2341.931</v>
      </c>
      <c r="AT101" s="58">
        <v>1456.616</v>
      </c>
      <c r="AU101" s="58">
        <v>885.31600000000003</v>
      </c>
      <c r="AV101" s="58">
        <v>1095.347</v>
      </c>
      <c r="AW101" s="58">
        <v>349.28</v>
      </c>
      <c r="AX101" s="58">
        <v>746.06700000000001</v>
      </c>
      <c r="AY101" s="58">
        <v>411.05700000000002</v>
      </c>
      <c r="AZ101" s="58">
        <v>214.77199999999999</v>
      </c>
      <c r="BA101" s="58">
        <v>196.285</v>
      </c>
      <c r="BB101" s="58">
        <v>93.376000000000005</v>
      </c>
      <c r="BC101" s="58">
        <v>53.22</v>
      </c>
      <c r="BD101" s="58">
        <v>40.155999999999999</v>
      </c>
      <c r="BE101" s="58">
        <v>33.408000000000001</v>
      </c>
      <c r="BF101" s="58">
        <v>25.855</v>
      </c>
      <c r="BG101" s="58">
        <v>7.5529999999999999</v>
      </c>
      <c r="BH101" s="58">
        <v>20.861000000000001</v>
      </c>
      <c r="BI101" s="58">
        <v>16.619</v>
      </c>
      <c r="BJ101" s="58">
        <v>4.242</v>
      </c>
      <c r="BK101" s="58">
        <v>12.547000000000001</v>
      </c>
      <c r="BL101" s="58">
        <v>9.2360000000000007</v>
      </c>
      <c r="BM101" s="58">
        <v>3.3109999999999999</v>
      </c>
      <c r="BN101" s="58">
        <v>59.968000000000004</v>
      </c>
      <c r="BO101" s="58">
        <v>27.364999999999998</v>
      </c>
      <c r="BP101" s="58">
        <v>32.603000000000002</v>
      </c>
      <c r="BQ101" s="58">
        <v>349.18799999999999</v>
      </c>
      <c r="BR101" s="58">
        <v>178.68799999999999</v>
      </c>
      <c r="BS101" s="58">
        <v>170.5</v>
      </c>
      <c r="BT101" s="58">
        <v>142.012</v>
      </c>
      <c r="BU101" s="58">
        <v>101.971</v>
      </c>
      <c r="BV101" s="58">
        <v>40.042000000000002</v>
      </c>
      <c r="BW101" s="58">
        <v>207.17500000000001</v>
      </c>
      <c r="BX101" s="58">
        <v>76.716999999999999</v>
      </c>
      <c r="BY101" s="58">
        <v>130.458</v>
      </c>
      <c r="BZ101" s="58">
        <v>170.21700000000001</v>
      </c>
      <c r="CA101" s="58">
        <v>123.41</v>
      </c>
      <c r="CB101" s="58">
        <v>46.807000000000002</v>
      </c>
      <c r="CC101" s="58">
        <v>240.84</v>
      </c>
      <c r="CD101" s="58">
        <v>91.361999999999995</v>
      </c>
      <c r="CE101" s="58">
        <v>149.47800000000001</v>
      </c>
      <c r="CF101" s="58">
        <v>228.036</v>
      </c>
      <c r="CG101" s="58">
        <v>93.335999999999999</v>
      </c>
      <c r="CH101" s="58">
        <v>134.69999999999999</v>
      </c>
      <c r="CI101" s="58">
        <v>2662.5610000000001</v>
      </c>
      <c r="CJ101" s="58">
        <v>1373.9280000000001</v>
      </c>
      <c r="CK101" s="58">
        <v>1288.633</v>
      </c>
      <c r="CL101" s="58">
        <v>1840.684</v>
      </c>
      <c r="CM101" s="58">
        <v>1122.932</v>
      </c>
      <c r="CN101" s="58">
        <v>717.75099999999998</v>
      </c>
      <c r="CO101" s="58">
        <v>821.87800000000004</v>
      </c>
      <c r="CP101" s="58">
        <v>250.99600000000001</v>
      </c>
      <c r="CQ101" s="58">
        <v>570.88199999999995</v>
      </c>
      <c r="CR101" s="58">
        <v>351.90300000000002</v>
      </c>
      <c r="CS101" s="58">
        <v>179.37700000000001</v>
      </c>
      <c r="CT101" s="58">
        <v>172.52600000000001</v>
      </c>
      <c r="CU101" s="58">
        <v>93.778000000000006</v>
      </c>
      <c r="CV101" s="58">
        <v>48.23</v>
      </c>
      <c r="CW101" s="58">
        <v>45.548000000000002</v>
      </c>
      <c r="CX101" s="58">
        <v>41.417999999999999</v>
      </c>
      <c r="CY101" s="58">
        <v>27.71</v>
      </c>
      <c r="CZ101" s="58">
        <v>13.709</v>
      </c>
      <c r="DA101" s="58">
        <v>23.902000000000001</v>
      </c>
      <c r="DB101" s="58">
        <v>15.683</v>
      </c>
      <c r="DC101" s="58">
        <v>8.2189999999999994</v>
      </c>
      <c r="DD101" s="58">
        <v>17.515999999999998</v>
      </c>
      <c r="DE101" s="58">
        <v>12.026</v>
      </c>
      <c r="DF101" s="58">
        <v>5.49</v>
      </c>
      <c r="DG101" s="58">
        <v>52.36</v>
      </c>
      <c r="DH101" s="58">
        <v>20.521000000000001</v>
      </c>
      <c r="DI101" s="58">
        <v>31.838999999999999</v>
      </c>
      <c r="DJ101" s="58">
        <v>288.90499999999997</v>
      </c>
      <c r="DK101" s="58">
        <v>146.95500000000001</v>
      </c>
      <c r="DL101" s="58">
        <v>141.94999999999999</v>
      </c>
      <c r="DM101" s="58">
        <v>104.471</v>
      </c>
      <c r="DN101" s="58">
        <v>69.712999999999994</v>
      </c>
      <c r="DO101" s="58">
        <v>34.759</v>
      </c>
      <c r="DP101" s="58">
        <v>184.434</v>
      </c>
      <c r="DQ101" s="58">
        <v>77.242999999999995</v>
      </c>
      <c r="DR101" s="58">
        <v>107.191</v>
      </c>
      <c r="DS101" s="58">
        <v>139.74299999999999</v>
      </c>
      <c r="DT101" s="58">
        <v>93.989000000000004</v>
      </c>
      <c r="DU101" s="58">
        <v>45.753999999999998</v>
      </c>
      <c r="DV101" s="58">
        <v>212.16</v>
      </c>
      <c r="DW101" s="58">
        <v>85.388000000000005</v>
      </c>
      <c r="DX101" s="58">
        <v>126.77200000000001</v>
      </c>
      <c r="DY101" s="58">
        <v>208.33600000000001</v>
      </c>
      <c r="DZ101" s="58">
        <v>92.926000000000002</v>
      </c>
      <c r="EA101" s="58">
        <v>115.41</v>
      </c>
      <c r="EB101" s="58">
        <v>860.15700000000004</v>
      </c>
      <c r="EC101" s="58">
        <v>446.22399999999999</v>
      </c>
      <c r="ED101" s="58">
        <v>413.93299999999999</v>
      </c>
      <c r="EE101" s="58">
        <v>567.82299999999998</v>
      </c>
      <c r="EF101" s="58">
        <v>363.86599999999999</v>
      </c>
      <c r="EG101" s="58">
        <v>203.95699999999999</v>
      </c>
      <c r="EH101" s="58">
        <v>292.334</v>
      </c>
      <c r="EI101" s="58">
        <v>82.358000000000004</v>
      </c>
      <c r="EJ101" s="58">
        <v>209.976</v>
      </c>
      <c r="EK101" s="58">
        <v>119.18899999999999</v>
      </c>
      <c r="EL101" s="58">
        <v>51.283999999999999</v>
      </c>
      <c r="EM101" s="58">
        <v>67.905000000000001</v>
      </c>
      <c r="EN101" s="58">
        <v>32.369999999999997</v>
      </c>
      <c r="EO101" s="58">
        <v>15.175000000000001</v>
      </c>
      <c r="EP101" s="58">
        <v>17.193999999999999</v>
      </c>
      <c r="EQ101" s="58">
        <v>10.196</v>
      </c>
      <c r="ER101" s="58">
        <v>7.4829999999999997</v>
      </c>
      <c r="ES101" s="58">
        <v>2.7130000000000001</v>
      </c>
      <c r="ET101" s="58">
        <v>7.0620000000000003</v>
      </c>
      <c r="EU101" s="58">
        <v>4.8239999999999998</v>
      </c>
      <c r="EV101" s="58">
        <v>2.238</v>
      </c>
      <c r="EW101" s="58">
        <v>3.1339999999999999</v>
      </c>
      <c r="EX101" s="58">
        <v>2.6589999999999998</v>
      </c>
      <c r="EY101" s="58">
        <v>0.47499999999999998</v>
      </c>
      <c r="EZ101" s="58">
        <v>22.173999999999999</v>
      </c>
      <c r="FA101" s="58">
        <v>7.6920000000000002</v>
      </c>
      <c r="FB101" s="58">
        <v>14.481</v>
      </c>
      <c r="FC101" s="58">
        <v>97.423000000000002</v>
      </c>
      <c r="FD101" s="58">
        <v>40.683</v>
      </c>
      <c r="FE101" s="58">
        <v>56.74</v>
      </c>
      <c r="FF101" s="58">
        <v>28.553000000000001</v>
      </c>
      <c r="FG101" s="58">
        <v>18.806999999999999</v>
      </c>
      <c r="FH101" s="58">
        <v>9.7449999999999992</v>
      </c>
      <c r="FI101" s="58">
        <v>68.870999999999995</v>
      </c>
      <c r="FJ101" s="58">
        <v>21.876000000000001</v>
      </c>
      <c r="FK101" s="58">
        <v>46.994</v>
      </c>
      <c r="FL101" s="58">
        <v>37.459000000000003</v>
      </c>
      <c r="FM101" s="58">
        <v>25.001000000000001</v>
      </c>
      <c r="FN101" s="58">
        <v>12.458</v>
      </c>
      <c r="FO101" s="58">
        <v>81.73</v>
      </c>
      <c r="FP101" s="58">
        <v>26.283000000000001</v>
      </c>
      <c r="FQ101" s="58">
        <v>55.447000000000003</v>
      </c>
      <c r="FR101" s="58">
        <v>75.932000000000002</v>
      </c>
      <c r="FS101" s="58">
        <v>26.7</v>
      </c>
      <c r="FT101" s="58">
        <v>49.231999999999999</v>
      </c>
      <c r="FU101" s="58">
        <v>1437.6120000000001</v>
      </c>
      <c r="FV101" s="58">
        <v>765.25300000000004</v>
      </c>
      <c r="FW101" s="58">
        <v>672.35900000000004</v>
      </c>
      <c r="FX101" s="58">
        <v>978.45299999999997</v>
      </c>
      <c r="FY101" s="58">
        <v>632.495</v>
      </c>
      <c r="FZ101" s="58">
        <v>345.95800000000003</v>
      </c>
      <c r="GA101" s="58">
        <v>459.15899999999999</v>
      </c>
      <c r="GB101" s="58">
        <v>132.75800000000001</v>
      </c>
      <c r="GC101" s="58">
        <v>326.40100000000001</v>
      </c>
      <c r="GD101" s="58">
        <v>176.25700000000001</v>
      </c>
      <c r="GE101" s="58">
        <v>95.265000000000001</v>
      </c>
      <c r="GF101" s="58">
        <v>80.992999999999995</v>
      </c>
      <c r="GG101" s="58">
        <v>40.79</v>
      </c>
      <c r="GH101" s="58">
        <v>24.018999999999998</v>
      </c>
      <c r="GI101" s="58">
        <v>16.771000000000001</v>
      </c>
      <c r="GJ101" s="58">
        <v>21.588999999999999</v>
      </c>
      <c r="GK101" s="58">
        <v>16.658000000000001</v>
      </c>
      <c r="GL101" s="58">
        <v>4.931</v>
      </c>
      <c r="GM101" s="58">
        <v>12.72</v>
      </c>
      <c r="GN101" s="58">
        <v>9.19</v>
      </c>
      <c r="GO101" s="58">
        <v>3.53</v>
      </c>
      <c r="GP101" s="58">
        <v>8.8689999999999998</v>
      </c>
      <c r="GQ101" s="58">
        <v>7.468</v>
      </c>
      <c r="GR101" s="58">
        <v>1.401</v>
      </c>
      <c r="GS101" s="58">
        <v>19.202000000000002</v>
      </c>
      <c r="GT101" s="58">
        <v>7.3609999999999998</v>
      </c>
      <c r="GU101" s="58">
        <v>11.840999999999999</v>
      </c>
      <c r="GV101" s="58">
        <v>149.672</v>
      </c>
      <c r="GW101" s="58">
        <v>78.703000000000003</v>
      </c>
      <c r="GX101" s="58">
        <v>70.968999999999994</v>
      </c>
      <c r="GY101" s="58">
        <v>53.12</v>
      </c>
      <c r="GZ101" s="58">
        <v>40.502000000000002</v>
      </c>
      <c r="HA101" s="58">
        <v>12.618</v>
      </c>
      <c r="HB101" s="58">
        <v>96.551000000000002</v>
      </c>
      <c r="HC101" s="58">
        <v>38.201000000000001</v>
      </c>
      <c r="HD101" s="58">
        <v>58.35</v>
      </c>
      <c r="HE101" s="58">
        <v>72.13</v>
      </c>
      <c r="HF101" s="58">
        <v>54.808</v>
      </c>
      <c r="HG101" s="58">
        <v>17.321999999999999</v>
      </c>
      <c r="HH101" s="58">
        <v>104.128</v>
      </c>
      <c r="HI101" s="58">
        <v>40.456000000000003</v>
      </c>
      <c r="HJ101" s="58">
        <v>63.670999999999999</v>
      </c>
      <c r="HK101" s="58">
        <v>109.271</v>
      </c>
      <c r="HL101" s="58">
        <v>47.390999999999998</v>
      </c>
      <c r="HM101" s="58">
        <v>61.88</v>
      </c>
      <c r="HN101" s="58">
        <v>257.447</v>
      </c>
      <c r="HO101" s="58">
        <v>134.52799999999999</v>
      </c>
      <c r="HP101" s="58">
        <v>122.91800000000001</v>
      </c>
      <c r="HQ101" s="58">
        <v>167.613</v>
      </c>
      <c r="HR101" s="58">
        <v>105.018</v>
      </c>
      <c r="HS101" s="58">
        <v>62.594999999999999</v>
      </c>
      <c r="HT101" s="58">
        <v>89.834000000000003</v>
      </c>
      <c r="HU101" s="58">
        <v>29.51</v>
      </c>
      <c r="HV101" s="58">
        <v>60.323999999999998</v>
      </c>
      <c r="HW101" s="58">
        <v>32.302</v>
      </c>
      <c r="HX101" s="58">
        <v>15.692</v>
      </c>
      <c r="HY101" s="58">
        <v>16.61</v>
      </c>
      <c r="HZ101" s="58">
        <v>8.0500000000000007</v>
      </c>
      <c r="IA101" s="58">
        <v>3.7789999999999999</v>
      </c>
      <c r="IB101" s="58">
        <v>4.2709999999999999</v>
      </c>
      <c r="IC101" s="58">
        <v>2.6320000000000001</v>
      </c>
      <c r="ID101" s="58">
        <v>1.208</v>
      </c>
      <c r="IE101" s="58">
        <v>1.4239999999999999</v>
      </c>
      <c r="IF101" s="58">
        <v>2.113</v>
      </c>
      <c r="IG101" s="58">
        <v>0.92800000000000005</v>
      </c>
      <c r="IH101" s="58">
        <v>1.1850000000000001</v>
      </c>
      <c r="II101" s="58">
        <v>0.51800000000000002</v>
      </c>
      <c r="IJ101" s="58">
        <v>0.28000000000000003</v>
      </c>
      <c r="IK101" s="58">
        <v>0.23899999999999999</v>
      </c>
      <c r="IL101" s="58">
        <v>5.4189999999999996</v>
      </c>
      <c r="IM101" s="58">
        <v>2.5710000000000002</v>
      </c>
      <c r="IN101" s="58">
        <v>2.8479999999999999</v>
      </c>
      <c r="IO101" s="58">
        <v>27.454999999999998</v>
      </c>
      <c r="IP101" s="58">
        <v>13.250999999999999</v>
      </c>
      <c r="IQ101" s="58">
        <v>14.204000000000001</v>
      </c>
    </row>
    <row r="102" spans="1:251">
      <c r="A102" s="5">
        <v>44593</v>
      </c>
      <c r="B102" s="58">
        <v>1182.615</v>
      </c>
      <c r="C102" s="58">
        <v>1236.8969999999999</v>
      </c>
      <c r="D102" s="58">
        <v>406.15300000000002</v>
      </c>
      <c r="E102" s="58">
        <v>830.74300000000005</v>
      </c>
      <c r="F102" s="58">
        <v>481.75299999999999</v>
      </c>
      <c r="G102" s="58">
        <v>253.56299999999999</v>
      </c>
      <c r="H102" s="58">
        <v>228.19</v>
      </c>
      <c r="I102" s="58">
        <v>135.11000000000001</v>
      </c>
      <c r="J102" s="58">
        <v>70.88</v>
      </c>
      <c r="K102" s="58">
        <v>64.228999999999999</v>
      </c>
      <c r="L102" s="58">
        <v>53.94</v>
      </c>
      <c r="M102" s="58">
        <v>39.979999999999997</v>
      </c>
      <c r="N102" s="58">
        <v>13.96</v>
      </c>
      <c r="O102" s="58">
        <v>35.011000000000003</v>
      </c>
      <c r="P102" s="58">
        <v>24.285</v>
      </c>
      <c r="Q102" s="58">
        <v>10.726000000000001</v>
      </c>
      <c r="R102" s="58">
        <v>18.928999999999998</v>
      </c>
      <c r="S102" s="58">
        <v>15.695</v>
      </c>
      <c r="T102" s="58">
        <v>3.234</v>
      </c>
      <c r="U102" s="58">
        <v>81.17</v>
      </c>
      <c r="V102" s="58">
        <v>30.9</v>
      </c>
      <c r="W102" s="58">
        <v>50.268999999999998</v>
      </c>
      <c r="X102" s="58">
        <v>398.76</v>
      </c>
      <c r="Y102" s="58">
        <v>208.18</v>
      </c>
      <c r="Z102" s="58">
        <v>190.58</v>
      </c>
      <c r="AA102" s="58">
        <v>157.20400000000001</v>
      </c>
      <c r="AB102" s="58">
        <v>109.51</v>
      </c>
      <c r="AC102" s="58">
        <v>47.694000000000003</v>
      </c>
      <c r="AD102" s="58">
        <v>241.55600000000001</v>
      </c>
      <c r="AE102" s="58">
        <v>98.67</v>
      </c>
      <c r="AF102" s="58">
        <v>142.887</v>
      </c>
      <c r="AG102" s="58">
        <v>198.93299999999999</v>
      </c>
      <c r="AH102" s="58">
        <v>141.41399999999999</v>
      </c>
      <c r="AI102" s="58">
        <v>57.518999999999998</v>
      </c>
      <c r="AJ102" s="58">
        <v>282.82</v>
      </c>
      <c r="AK102" s="58">
        <v>112.15</v>
      </c>
      <c r="AL102" s="58">
        <v>170.67099999999999</v>
      </c>
      <c r="AM102" s="58">
        <v>276.56799999999998</v>
      </c>
      <c r="AN102" s="58">
        <v>122.955</v>
      </c>
      <c r="AO102" s="58">
        <v>153.613</v>
      </c>
      <c r="AP102" s="58">
        <v>3509.741</v>
      </c>
      <c r="AQ102" s="58">
        <v>1852.6679999999999</v>
      </c>
      <c r="AR102" s="58">
        <v>1657.0730000000001</v>
      </c>
      <c r="AS102" s="58">
        <v>2430.4299999999998</v>
      </c>
      <c r="AT102" s="58">
        <v>1507.117</v>
      </c>
      <c r="AU102" s="58">
        <v>923.31299999999999</v>
      </c>
      <c r="AV102" s="58">
        <v>1079.3109999999999</v>
      </c>
      <c r="AW102" s="58">
        <v>345.55099999999999</v>
      </c>
      <c r="AX102" s="58">
        <v>733.76</v>
      </c>
      <c r="AY102" s="58">
        <v>401.423</v>
      </c>
      <c r="AZ102" s="58">
        <v>216.35400000000001</v>
      </c>
      <c r="BA102" s="58">
        <v>185.06899999999999</v>
      </c>
      <c r="BB102" s="58">
        <v>115.92400000000001</v>
      </c>
      <c r="BC102" s="58">
        <v>68.186999999999998</v>
      </c>
      <c r="BD102" s="58">
        <v>47.737000000000002</v>
      </c>
      <c r="BE102" s="58">
        <v>46.104999999999997</v>
      </c>
      <c r="BF102" s="58">
        <v>35.189</v>
      </c>
      <c r="BG102" s="58">
        <v>10.916</v>
      </c>
      <c r="BH102" s="58">
        <v>24.401</v>
      </c>
      <c r="BI102" s="58">
        <v>18.202000000000002</v>
      </c>
      <c r="BJ102" s="58">
        <v>6.1989999999999998</v>
      </c>
      <c r="BK102" s="58">
        <v>21.704000000000001</v>
      </c>
      <c r="BL102" s="58">
        <v>16.986999999999998</v>
      </c>
      <c r="BM102" s="58">
        <v>4.7169999999999996</v>
      </c>
      <c r="BN102" s="58">
        <v>69.819000000000003</v>
      </c>
      <c r="BO102" s="58">
        <v>32.997999999999998</v>
      </c>
      <c r="BP102" s="58">
        <v>36.820999999999998</v>
      </c>
      <c r="BQ102" s="58">
        <v>328.21100000000001</v>
      </c>
      <c r="BR102" s="58">
        <v>173.16</v>
      </c>
      <c r="BS102" s="58">
        <v>155.05099999999999</v>
      </c>
      <c r="BT102" s="58">
        <v>136.227</v>
      </c>
      <c r="BU102" s="58">
        <v>97.022999999999996</v>
      </c>
      <c r="BV102" s="58">
        <v>39.204000000000001</v>
      </c>
      <c r="BW102" s="58">
        <v>191.98400000000001</v>
      </c>
      <c r="BX102" s="58">
        <v>76.137</v>
      </c>
      <c r="BY102" s="58">
        <v>115.84699999999999</v>
      </c>
      <c r="BZ102" s="58">
        <v>169.739</v>
      </c>
      <c r="CA102" s="58">
        <v>123.873</v>
      </c>
      <c r="CB102" s="58">
        <v>45.866</v>
      </c>
      <c r="CC102" s="58">
        <v>231.68299999999999</v>
      </c>
      <c r="CD102" s="58">
        <v>92.48</v>
      </c>
      <c r="CE102" s="58">
        <v>139.203</v>
      </c>
      <c r="CF102" s="58">
        <v>216.38499999999999</v>
      </c>
      <c r="CG102" s="58">
        <v>94.338999999999999</v>
      </c>
      <c r="CH102" s="58">
        <v>122.045</v>
      </c>
      <c r="CI102" s="58">
        <v>2728.3829999999998</v>
      </c>
      <c r="CJ102" s="58">
        <v>1395.723</v>
      </c>
      <c r="CK102" s="58">
        <v>1332.66</v>
      </c>
      <c r="CL102" s="58">
        <v>1890.2260000000001</v>
      </c>
      <c r="CM102" s="58">
        <v>1149.232</v>
      </c>
      <c r="CN102" s="58">
        <v>740.99400000000003</v>
      </c>
      <c r="CO102" s="58">
        <v>838.15700000000004</v>
      </c>
      <c r="CP102" s="58">
        <v>246.49100000000001</v>
      </c>
      <c r="CQ102" s="58">
        <v>591.66600000000005</v>
      </c>
      <c r="CR102" s="58">
        <v>325.12</v>
      </c>
      <c r="CS102" s="58">
        <v>168.239</v>
      </c>
      <c r="CT102" s="58">
        <v>156.881</v>
      </c>
      <c r="CU102" s="58">
        <v>75.927000000000007</v>
      </c>
      <c r="CV102" s="58">
        <v>43.526000000000003</v>
      </c>
      <c r="CW102" s="58">
        <v>32.401000000000003</v>
      </c>
      <c r="CX102" s="58">
        <v>28.459</v>
      </c>
      <c r="CY102" s="58">
        <v>22.024999999999999</v>
      </c>
      <c r="CZ102" s="58">
        <v>6.4340000000000002</v>
      </c>
      <c r="DA102" s="58">
        <v>18.73</v>
      </c>
      <c r="DB102" s="58">
        <v>12.747999999999999</v>
      </c>
      <c r="DC102" s="58">
        <v>5.9809999999999999</v>
      </c>
      <c r="DD102" s="58">
        <v>9.7289999999999992</v>
      </c>
      <c r="DE102" s="58">
        <v>9.2769999999999992</v>
      </c>
      <c r="DF102" s="58">
        <v>0.45200000000000001</v>
      </c>
      <c r="DG102" s="58">
        <v>47.468000000000004</v>
      </c>
      <c r="DH102" s="58">
        <v>21.501000000000001</v>
      </c>
      <c r="DI102" s="58">
        <v>25.966999999999999</v>
      </c>
      <c r="DJ102" s="58">
        <v>283.89499999999998</v>
      </c>
      <c r="DK102" s="58">
        <v>145.18</v>
      </c>
      <c r="DL102" s="58">
        <v>138.715</v>
      </c>
      <c r="DM102" s="58">
        <v>102.172</v>
      </c>
      <c r="DN102" s="58">
        <v>68.177999999999997</v>
      </c>
      <c r="DO102" s="58">
        <v>33.993000000000002</v>
      </c>
      <c r="DP102" s="58">
        <v>181.72300000000001</v>
      </c>
      <c r="DQ102" s="58">
        <v>77.001999999999995</v>
      </c>
      <c r="DR102" s="58">
        <v>104.721</v>
      </c>
      <c r="DS102" s="58">
        <v>122.35599999999999</v>
      </c>
      <c r="DT102" s="58">
        <v>81.929000000000002</v>
      </c>
      <c r="DU102" s="58">
        <v>40.427</v>
      </c>
      <c r="DV102" s="58">
        <v>202.76300000000001</v>
      </c>
      <c r="DW102" s="58">
        <v>86.31</v>
      </c>
      <c r="DX102" s="58">
        <v>116.45399999999999</v>
      </c>
      <c r="DY102" s="58">
        <v>200.453</v>
      </c>
      <c r="DZ102" s="58">
        <v>89.75</v>
      </c>
      <c r="EA102" s="58">
        <v>110.703</v>
      </c>
      <c r="EB102" s="58">
        <v>886.05</v>
      </c>
      <c r="EC102" s="58">
        <v>457.77600000000001</v>
      </c>
      <c r="ED102" s="58">
        <v>428.274</v>
      </c>
      <c r="EE102" s="58">
        <v>587.346</v>
      </c>
      <c r="EF102" s="58">
        <v>372.60899999999998</v>
      </c>
      <c r="EG102" s="58">
        <v>214.73699999999999</v>
      </c>
      <c r="EH102" s="58">
        <v>298.70400000000001</v>
      </c>
      <c r="EI102" s="58">
        <v>85.167000000000002</v>
      </c>
      <c r="EJ102" s="58">
        <v>213.53700000000001</v>
      </c>
      <c r="EK102" s="58">
        <v>108.21299999999999</v>
      </c>
      <c r="EL102" s="58">
        <v>51.350999999999999</v>
      </c>
      <c r="EM102" s="58">
        <v>56.862000000000002</v>
      </c>
      <c r="EN102" s="58">
        <v>31.404</v>
      </c>
      <c r="EO102" s="58">
        <v>14.257999999999999</v>
      </c>
      <c r="EP102" s="58">
        <v>17.146000000000001</v>
      </c>
      <c r="EQ102" s="58">
        <v>13.292999999999999</v>
      </c>
      <c r="ER102" s="58">
        <v>8.1590000000000007</v>
      </c>
      <c r="ES102" s="58">
        <v>5.1340000000000003</v>
      </c>
      <c r="ET102" s="58">
        <v>8.7449999999999992</v>
      </c>
      <c r="EU102" s="58">
        <v>4.9909999999999997</v>
      </c>
      <c r="EV102" s="58">
        <v>3.7549999999999999</v>
      </c>
      <c r="EW102" s="58">
        <v>4.5469999999999997</v>
      </c>
      <c r="EX102" s="58">
        <v>3.1680000000000001</v>
      </c>
      <c r="EY102" s="58">
        <v>1.379</v>
      </c>
      <c r="EZ102" s="58">
        <v>18.111000000000001</v>
      </c>
      <c r="FA102" s="58">
        <v>6.0990000000000002</v>
      </c>
      <c r="FB102" s="58">
        <v>12.012</v>
      </c>
      <c r="FC102" s="58">
        <v>89.748000000000005</v>
      </c>
      <c r="FD102" s="58">
        <v>41.62</v>
      </c>
      <c r="FE102" s="58">
        <v>48.128</v>
      </c>
      <c r="FF102" s="58">
        <v>29.661999999999999</v>
      </c>
      <c r="FG102" s="58">
        <v>21.890999999999998</v>
      </c>
      <c r="FH102" s="58">
        <v>7.7709999999999999</v>
      </c>
      <c r="FI102" s="58">
        <v>60.087000000000003</v>
      </c>
      <c r="FJ102" s="58">
        <v>19.73</v>
      </c>
      <c r="FK102" s="58">
        <v>40.356999999999999</v>
      </c>
      <c r="FL102" s="58">
        <v>40.655999999999999</v>
      </c>
      <c r="FM102" s="58">
        <v>28.542999999999999</v>
      </c>
      <c r="FN102" s="58">
        <v>12.113</v>
      </c>
      <c r="FO102" s="58">
        <v>67.555999999999997</v>
      </c>
      <c r="FP102" s="58">
        <v>22.808</v>
      </c>
      <c r="FQ102" s="58">
        <v>44.747999999999998</v>
      </c>
      <c r="FR102" s="58">
        <v>68.831999999999994</v>
      </c>
      <c r="FS102" s="58">
        <v>24.72</v>
      </c>
      <c r="FT102" s="58">
        <v>44.112000000000002</v>
      </c>
      <c r="FU102" s="58">
        <v>1456.3389999999999</v>
      </c>
      <c r="FV102" s="58">
        <v>769.95500000000004</v>
      </c>
      <c r="FW102" s="58">
        <v>686.38400000000001</v>
      </c>
      <c r="FX102" s="58">
        <v>996.90800000000002</v>
      </c>
      <c r="FY102" s="58">
        <v>640.30600000000004</v>
      </c>
      <c r="FZ102" s="58">
        <v>356.60199999999998</v>
      </c>
      <c r="GA102" s="58">
        <v>459.43200000000002</v>
      </c>
      <c r="GB102" s="58">
        <v>129.65</v>
      </c>
      <c r="GC102" s="58">
        <v>329.78199999999998</v>
      </c>
      <c r="GD102" s="58">
        <v>179.434</v>
      </c>
      <c r="GE102" s="58">
        <v>92.738</v>
      </c>
      <c r="GF102" s="58">
        <v>86.695999999999998</v>
      </c>
      <c r="GG102" s="58">
        <v>42.29</v>
      </c>
      <c r="GH102" s="58">
        <v>25.853999999999999</v>
      </c>
      <c r="GI102" s="58">
        <v>16.436</v>
      </c>
      <c r="GJ102" s="58">
        <v>20.248999999999999</v>
      </c>
      <c r="GK102" s="58">
        <v>14.765000000000001</v>
      </c>
      <c r="GL102" s="58">
        <v>5.484</v>
      </c>
      <c r="GM102" s="58">
        <v>8.83</v>
      </c>
      <c r="GN102" s="58">
        <v>6.5570000000000004</v>
      </c>
      <c r="GO102" s="58">
        <v>2.2730000000000001</v>
      </c>
      <c r="GP102" s="58">
        <v>11.417999999999999</v>
      </c>
      <c r="GQ102" s="58">
        <v>8.2080000000000002</v>
      </c>
      <c r="GR102" s="58">
        <v>3.2109999999999999</v>
      </c>
      <c r="GS102" s="58">
        <v>22.041</v>
      </c>
      <c r="GT102" s="58">
        <v>11.089</v>
      </c>
      <c r="GU102" s="58">
        <v>10.952</v>
      </c>
      <c r="GV102" s="58">
        <v>150.363</v>
      </c>
      <c r="GW102" s="58">
        <v>74.006</v>
      </c>
      <c r="GX102" s="58">
        <v>76.356999999999999</v>
      </c>
      <c r="GY102" s="58">
        <v>59.122999999999998</v>
      </c>
      <c r="GZ102" s="58">
        <v>43.619</v>
      </c>
      <c r="HA102" s="58">
        <v>15.504</v>
      </c>
      <c r="HB102" s="58">
        <v>91.24</v>
      </c>
      <c r="HC102" s="58">
        <v>30.387</v>
      </c>
      <c r="HD102" s="58">
        <v>60.853000000000002</v>
      </c>
      <c r="HE102" s="58">
        <v>76.141000000000005</v>
      </c>
      <c r="HF102" s="58">
        <v>56.192</v>
      </c>
      <c r="HG102" s="58">
        <v>19.95</v>
      </c>
      <c r="HH102" s="58">
        <v>103.29300000000001</v>
      </c>
      <c r="HI102" s="58">
        <v>36.545999999999999</v>
      </c>
      <c r="HJ102" s="58">
        <v>66.747</v>
      </c>
      <c r="HK102" s="58">
        <v>100.07</v>
      </c>
      <c r="HL102" s="58">
        <v>36.944000000000003</v>
      </c>
      <c r="HM102" s="58">
        <v>63.125999999999998</v>
      </c>
      <c r="HN102" s="58">
        <v>267.13600000000002</v>
      </c>
      <c r="HO102" s="58">
        <v>139.68899999999999</v>
      </c>
      <c r="HP102" s="58">
        <v>127.44799999999999</v>
      </c>
      <c r="HQ102" s="58">
        <v>171.245</v>
      </c>
      <c r="HR102" s="58">
        <v>108.639</v>
      </c>
      <c r="HS102" s="58">
        <v>62.606000000000002</v>
      </c>
      <c r="HT102" s="58">
        <v>95.891999999999996</v>
      </c>
      <c r="HU102" s="58">
        <v>31.05</v>
      </c>
      <c r="HV102" s="58">
        <v>64.841999999999999</v>
      </c>
      <c r="HW102" s="58">
        <v>34.146000000000001</v>
      </c>
      <c r="HX102" s="58">
        <v>18.463999999999999</v>
      </c>
      <c r="HY102" s="58">
        <v>15.682</v>
      </c>
      <c r="HZ102" s="58">
        <v>8.9480000000000004</v>
      </c>
      <c r="IA102" s="58">
        <v>5.7290000000000001</v>
      </c>
      <c r="IB102" s="58">
        <v>3.2189999999999999</v>
      </c>
      <c r="IC102" s="58">
        <v>2.798</v>
      </c>
      <c r="ID102" s="58">
        <v>2.5609999999999999</v>
      </c>
      <c r="IE102" s="58">
        <v>0.23699999999999999</v>
      </c>
      <c r="IF102" s="58">
        <v>1.1990000000000001</v>
      </c>
      <c r="IG102" s="58">
        <v>1.08</v>
      </c>
      <c r="IH102" s="58">
        <v>0.11899999999999999</v>
      </c>
      <c r="II102" s="58">
        <v>1.599</v>
      </c>
      <c r="IJ102" s="58">
        <v>1.482</v>
      </c>
      <c r="IK102" s="58">
        <v>0.11799999999999999</v>
      </c>
      <c r="IL102" s="58">
        <v>6.15</v>
      </c>
      <c r="IM102" s="58">
        <v>3.1680000000000001</v>
      </c>
      <c r="IN102" s="58">
        <v>2.9830000000000001</v>
      </c>
      <c r="IO102" s="58">
        <v>28.901</v>
      </c>
      <c r="IP102" s="58">
        <v>15.044</v>
      </c>
      <c r="IQ102" s="58">
        <v>13.856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E772C-BBA4-4D63-9442-31463BCD0679}">
  <dimension ref="A1:DB102"/>
  <sheetViews>
    <sheetView workbookViewId="0">
      <pane xSplit="1" ySplit="10" topLeftCell="B11" activePane="bottomRight" state="frozen"/>
      <selection activeCell="A12" sqref="A12"/>
      <selection pane="topRight" activeCell="A12" sqref="A12"/>
      <selection pane="bottomLeft" activeCell="A12" sqref="A12"/>
      <selection pane="bottomRight" activeCell="B11" sqref="B11"/>
    </sheetView>
  </sheetViews>
  <sheetFormatPr defaultColWidth="14.7109375" defaultRowHeight="11.25"/>
  <cols>
    <col min="1" max="16384" width="14.7109375" style="55"/>
  </cols>
  <sheetData>
    <row r="1" spans="1:106" s="1" customFormat="1" ht="99.95" customHeight="1">
      <c r="B1" s="2" t="s">
        <v>1513</v>
      </c>
      <c r="C1" s="2" t="s">
        <v>1514</v>
      </c>
      <c r="D1" s="2" t="s">
        <v>1515</v>
      </c>
      <c r="E1" s="2" t="s">
        <v>1516</v>
      </c>
      <c r="F1" s="2" t="s">
        <v>1517</v>
      </c>
      <c r="G1" s="2" t="s">
        <v>1518</v>
      </c>
      <c r="H1" s="2" t="s">
        <v>1519</v>
      </c>
      <c r="I1" s="2" t="s">
        <v>1520</v>
      </c>
      <c r="J1" s="2" t="s">
        <v>1521</v>
      </c>
      <c r="K1" s="2" t="s">
        <v>1522</v>
      </c>
      <c r="L1" s="2" t="s">
        <v>1523</v>
      </c>
      <c r="M1" s="2" t="s">
        <v>1524</v>
      </c>
      <c r="N1" s="2" t="s">
        <v>1525</v>
      </c>
      <c r="O1" s="2" t="s">
        <v>1526</v>
      </c>
      <c r="P1" s="2" t="s">
        <v>1527</v>
      </c>
      <c r="Q1" s="2" t="s">
        <v>1528</v>
      </c>
      <c r="R1" s="2" t="s">
        <v>1529</v>
      </c>
      <c r="S1" s="2" t="s">
        <v>1530</v>
      </c>
      <c r="T1" s="2" t="s">
        <v>1531</v>
      </c>
      <c r="U1" s="2" t="s">
        <v>1532</v>
      </c>
      <c r="V1" s="2" t="s">
        <v>1533</v>
      </c>
      <c r="W1" s="2" t="s">
        <v>1534</v>
      </c>
      <c r="X1" s="2" t="s">
        <v>1535</v>
      </c>
      <c r="Y1" s="2" t="s">
        <v>1536</v>
      </c>
      <c r="Z1" s="2" t="s">
        <v>1537</v>
      </c>
      <c r="AA1" s="2" t="s">
        <v>1538</v>
      </c>
      <c r="AB1" s="2" t="s">
        <v>1539</v>
      </c>
      <c r="AC1" s="2" t="s">
        <v>1540</v>
      </c>
      <c r="AD1" s="2" t="s">
        <v>1541</v>
      </c>
      <c r="AE1" s="2" t="s">
        <v>1542</v>
      </c>
      <c r="AF1" s="2" t="s">
        <v>1543</v>
      </c>
      <c r="AG1" s="2" t="s">
        <v>1544</v>
      </c>
      <c r="AH1" s="2" t="s">
        <v>1545</v>
      </c>
      <c r="AI1" s="2" t="s">
        <v>1546</v>
      </c>
      <c r="AJ1" s="2" t="s">
        <v>1547</v>
      </c>
      <c r="AK1" s="2" t="s">
        <v>1548</v>
      </c>
      <c r="AL1" s="2" t="s">
        <v>1549</v>
      </c>
      <c r="AM1" s="2" t="s">
        <v>1550</v>
      </c>
      <c r="AN1" s="2" t="s">
        <v>1551</v>
      </c>
      <c r="AO1" s="2" t="s">
        <v>1552</v>
      </c>
      <c r="AP1" s="2" t="s">
        <v>1553</v>
      </c>
      <c r="AQ1" s="2" t="s">
        <v>1554</v>
      </c>
      <c r="AR1" s="2" t="s">
        <v>1555</v>
      </c>
      <c r="AS1" s="2" t="s">
        <v>1556</v>
      </c>
      <c r="AT1" s="2" t="s">
        <v>1557</v>
      </c>
      <c r="AU1" s="2" t="s">
        <v>1558</v>
      </c>
      <c r="AV1" s="2" t="s">
        <v>1559</v>
      </c>
      <c r="AW1" s="2" t="s">
        <v>1560</v>
      </c>
      <c r="AX1" s="2" t="s">
        <v>1561</v>
      </c>
      <c r="AY1" s="2" t="s">
        <v>1562</v>
      </c>
      <c r="AZ1" s="2" t="s">
        <v>1563</v>
      </c>
      <c r="BA1" s="2" t="s">
        <v>1564</v>
      </c>
      <c r="BB1" s="2" t="s">
        <v>1565</v>
      </c>
      <c r="BC1" s="2" t="s">
        <v>1566</v>
      </c>
      <c r="BD1" s="2" t="s">
        <v>1567</v>
      </c>
      <c r="BE1" s="2" t="s">
        <v>1568</v>
      </c>
      <c r="BF1" s="2" t="s">
        <v>1569</v>
      </c>
      <c r="BG1" s="2" t="s">
        <v>1570</v>
      </c>
      <c r="BH1" s="2" t="s">
        <v>1571</v>
      </c>
      <c r="BI1" s="2" t="s">
        <v>1572</v>
      </c>
      <c r="BJ1" s="2" t="s">
        <v>1573</v>
      </c>
      <c r="BK1" s="2" t="s">
        <v>1574</v>
      </c>
      <c r="BL1" s="2" t="s">
        <v>1575</v>
      </c>
      <c r="BM1" s="2" t="s">
        <v>1576</v>
      </c>
      <c r="BN1" s="2" t="s">
        <v>1577</v>
      </c>
      <c r="BO1" s="2" t="s">
        <v>1578</v>
      </c>
      <c r="BP1" s="2" t="s">
        <v>1579</v>
      </c>
      <c r="BQ1" s="2" t="s">
        <v>1580</v>
      </c>
      <c r="BR1" s="2" t="s">
        <v>1581</v>
      </c>
      <c r="BS1" s="2" t="s">
        <v>1582</v>
      </c>
      <c r="BT1" s="2" t="s">
        <v>1583</v>
      </c>
      <c r="BU1" s="2" t="s">
        <v>1584</v>
      </c>
      <c r="BV1" s="2" t="s">
        <v>1585</v>
      </c>
      <c r="BW1" s="2" t="s">
        <v>1586</v>
      </c>
      <c r="BX1" s="2" t="s">
        <v>1587</v>
      </c>
      <c r="BY1" s="2" t="s">
        <v>1588</v>
      </c>
      <c r="BZ1" s="2" t="s">
        <v>1589</v>
      </c>
      <c r="CA1" s="2" t="s">
        <v>1590</v>
      </c>
      <c r="CB1" s="2" t="s">
        <v>1591</v>
      </c>
      <c r="CC1" s="2" t="s">
        <v>1592</v>
      </c>
      <c r="CD1" s="2" t="s">
        <v>1593</v>
      </c>
      <c r="CE1" s="2" t="s">
        <v>1594</v>
      </c>
      <c r="CF1" s="2" t="s">
        <v>1595</v>
      </c>
      <c r="CG1" s="2" t="s">
        <v>1596</v>
      </c>
      <c r="CH1" s="2" t="s">
        <v>1597</v>
      </c>
      <c r="CI1" s="2" t="s">
        <v>1598</v>
      </c>
      <c r="CJ1" s="2" t="s">
        <v>1599</v>
      </c>
      <c r="CK1" s="2" t="s">
        <v>1600</v>
      </c>
      <c r="CL1" s="2" t="s">
        <v>1601</v>
      </c>
      <c r="CM1" s="2" t="s">
        <v>1602</v>
      </c>
      <c r="CN1" s="2" t="s">
        <v>1603</v>
      </c>
      <c r="CO1" s="2" t="s">
        <v>1604</v>
      </c>
      <c r="CP1" s="2" t="s">
        <v>1605</v>
      </c>
      <c r="CQ1" s="2" t="s">
        <v>1606</v>
      </c>
      <c r="CR1" s="2" t="s">
        <v>1607</v>
      </c>
      <c r="CS1" s="2" t="s">
        <v>1608</v>
      </c>
      <c r="CT1" s="2" t="s">
        <v>1609</v>
      </c>
      <c r="CU1" s="2" t="s">
        <v>1610</v>
      </c>
      <c r="CV1" s="2" t="s">
        <v>1611</v>
      </c>
      <c r="CW1" s="2" t="s">
        <v>1612</v>
      </c>
      <c r="CX1" s="2" t="s">
        <v>1613</v>
      </c>
      <c r="CY1" s="2" t="s">
        <v>1614</v>
      </c>
      <c r="CZ1" s="2" t="s">
        <v>1615</v>
      </c>
      <c r="DA1" s="2" t="s">
        <v>1616</v>
      </c>
      <c r="DB1" s="2" t="s">
        <v>1617</v>
      </c>
    </row>
    <row r="2" spans="1:106">
      <c r="A2" s="54" t="s">
        <v>250</v>
      </c>
      <c r="B2" s="3" t="s">
        <v>259</v>
      </c>
      <c r="C2" s="3" t="s">
        <v>259</v>
      </c>
      <c r="D2" s="3" t="s">
        <v>259</v>
      </c>
      <c r="E2" s="3" t="s">
        <v>259</v>
      </c>
      <c r="F2" s="3" t="s">
        <v>259</v>
      </c>
      <c r="G2" s="3" t="s">
        <v>259</v>
      </c>
      <c r="H2" s="3" t="s">
        <v>259</v>
      </c>
      <c r="I2" s="3" t="s">
        <v>259</v>
      </c>
      <c r="J2" s="3" t="s">
        <v>259</v>
      </c>
      <c r="K2" s="3" t="s">
        <v>259</v>
      </c>
      <c r="L2" s="3" t="s">
        <v>259</v>
      </c>
      <c r="M2" s="3" t="s">
        <v>259</v>
      </c>
      <c r="N2" s="3" t="s">
        <v>259</v>
      </c>
      <c r="O2" s="3" t="s">
        <v>259</v>
      </c>
      <c r="P2" s="3" t="s">
        <v>259</v>
      </c>
      <c r="Q2" s="3" t="s">
        <v>259</v>
      </c>
      <c r="R2" s="3" t="s">
        <v>259</v>
      </c>
      <c r="S2" s="3" t="s">
        <v>259</v>
      </c>
      <c r="T2" s="3" t="s">
        <v>259</v>
      </c>
      <c r="U2" s="3" t="s">
        <v>259</v>
      </c>
      <c r="V2" s="3" t="s">
        <v>259</v>
      </c>
      <c r="W2" s="3" t="s">
        <v>259</v>
      </c>
      <c r="X2" s="3" t="s">
        <v>259</v>
      </c>
      <c r="Y2" s="3" t="s">
        <v>259</v>
      </c>
      <c r="Z2" s="3" t="s">
        <v>259</v>
      </c>
      <c r="AA2" s="3" t="s">
        <v>259</v>
      </c>
      <c r="AB2" s="3" t="s">
        <v>259</v>
      </c>
      <c r="AC2" s="3" t="s">
        <v>259</v>
      </c>
      <c r="AD2" s="3" t="s">
        <v>259</v>
      </c>
      <c r="AE2" s="3" t="s">
        <v>259</v>
      </c>
      <c r="AF2" s="3" t="s">
        <v>259</v>
      </c>
      <c r="AG2" s="3" t="s">
        <v>259</v>
      </c>
      <c r="AH2" s="3" t="s">
        <v>259</v>
      </c>
      <c r="AI2" s="3" t="s">
        <v>259</v>
      </c>
      <c r="AJ2" s="3" t="s">
        <v>259</v>
      </c>
      <c r="AK2" s="3" t="s">
        <v>259</v>
      </c>
      <c r="AL2" s="3" t="s">
        <v>259</v>
      </c>
      <c r="AM2" s="3" t="s">
        <v>259</v>
      </c>
      <c r="AN2" s="3" t="s">
        <v>259</v>
      </c>
      <c r="AO2" s="3" t="s">
        <v>259</v>
      </c>
      <c r="AP2" s="3" t="s">
        <v>259</v>
      </c>
      <c r="AQ2" s="3" t="s">
        <v>259</v>
      </c>
      <c r="AR2" s="3" t="s">
        <v>259</v>
      </c>
      <c r="AS2" s="3" t="s">
        <v>259</v>
      </c>
      <c r="AT2" s="3" t="s">
        <v>259</v>
      </c>
      <c r="AU2" s="3" t="s">
        <v>259</v>
      </c>
      <c r="AV2" s="3" t="s">
        <v>259</v>
      </c>
      <c r="AW2" s="3" t="s">
        <v>259</v>
      </c>
      <c r="AX2" s="3" t="s">
        <v>259</v>
      </c>
      <c r="AY2" s="3" t="s">
        <v>259</v>
      </c>
      <c r="AZ2" s="3" t="s">
        <v>259</v>
      </c>
      <c r="BA2" s="3" t="s">
        <v>259</v>
      </c>
      <c r="BB2" s="3" t="s">
        <v>259</v>
      </c>
      <c r="BC2" s="3" t="s">
        <v>259</v>
      </c>
      <c r="BD2" s="3" t="s">
        <v>259</v>
      </c>
      <c r="BE2" s="3" t="s">
        <v>259</v>
      </c>
      <c r="BF2" s="3" t="s">
        <v>259</v>
      </c>
      <c r="BG2" s="3" t="s">
        <v>259</v>
      </c>
      <c r="BH2" s="3" t="s">
        <v>259</v>
      </c>
      <c r="BI2" s="3" t="s">
        <v>259</v>
      </c>
      <c r="BJ2" s="3" t="s">
        <v>259</v>
      </c>
      <c r="BK2" s="3" t="s">
        <v>259</v>
      </c>
      <c r="BL2" s="3" t="s">
        <v>259</v>
      </c>
      <c r="BM2" s="3" t="s">
        <v>259</v>
      </c>
      <c r="BN2" s="3" t="s">
        <v>259</v>
      </c>
      <c r="BO2" s="3" t="s">
        <v>259</v>
      </c>
      <c r="BP2" s="3" t="s">
        <v>259</v>
      </c>
      <c r="BQ2" s="3" t="s">
        <v>259</v>
      </c>
      <c r="BR2" s="3" t="s">
        <v>259</v>
      </c>
      <c r="BS2" s="3" t="s">
        <v>259</v>
      </c>
      <c r="BT2" s="3" t="s">
        <v>259</v>
      </c>
      <c r="BU2" s="3" t="s">
        <v>259</v>
      </c>
      <c r="BV2" s="3" t="s">
        <v>259</v>
      </c>
      <c r="BW2" s="3" t="s">
        <v>259</v>
      </c>
      <c r="BX2" s="3" t="s">
        <v>259</v>
      </c>
      <c r="BY2" s="3" t="s">
        <v>259</v>
      </c>
      <c r="BZ2" s="3" t="s">
        <v>259</v>
      </c>
      <c r="CA2" s="3" t="s">
        <v>259</v>
      </c>
      <c r="CB2" s="3" t="s">
        <v>259</v>
      </c>
      <c r="CC2" s="3" t="s">
        <v>259</v>
      </c>
      <c r="CD2" s="3" t="s">
        <v>259</v>
      </c>
      <c r="CE2" s="3" t="s">
        <v>259</v>
      </c>
      <c r="CF2" s="3" t="s">
        <v>259</v>
      </c>
      <c r="CG2" s="3" t="s">
        <v>259</v>
      </c>
      <c r="CH2" s="3" t="s">
        <v>259</v>
      </c>
      <c r="CI2" s="3" t="s">
        <v>259</v>
      </c>
      <c r="CJ2" s="3" t="s">
        <v>259</v>
      </c>
      <c r="CK2" s="3" t="s">
        <v>259</v>
      </c>
      <c r="CL2" s="3" t="s">
        <v>259</v>
      </c>
      <c r="CM2" s="3" t="s">
        <v>259</v>
      </c>
      <c r="CN2" s="3" t="s">
        <v>259</v>
      </c>
      <c r="CO2" s="3" t="s">
        <v>259</v>
      </c>
      <c r="CP2" s="3" t="s">
        <v>259</v>
      </c>
      <c r="CQ2" s="3" t="s">
        <v>259</v>
      </c>
      <c r="CR2" s="3" t="s">
        <v>259</v>
      </c>
      <c r="CS2" s="3" t="s">
        <v>259</v>
      </c>
      <c r="CT2" s="3" t="s">
        <v>259</v>
      </c>
      <c r="CU2" s="3" t="s">
        <v>259</v>
      </c>
      <c r="CV2" s="3" t="s">
        <v>259</v>
      </c>
      <c r="CW2" s="3" t="s">
        <v>259</v>
      </c>
      <c r="CX2" s="3" t="s">
        <v>259</v>
      </c>
      <c r="CY2" s="3" t="s">
        <v>259</v>
      </c>
      <c r="CZ2" s="3" t="s">
        <v>259</v>
      </c>
      <c r="DA2" s="3" t="s">
        <v>259</v>
      </c>
      <c r="DB2" s="3" t="s">
        <v>259</v>
      </c>
    </row>
    <row r="3" spans="1:106">
      <c r="A3" s="54" t="s">
        <v>251</v>
      </c>
      <c r="B3" s="4" t="s">
        <v>260</v>
      </c>
      <c r="C3" s="4" t="s">
        <v>260</v>
      </c>
      <c r="D3" s="4" t="s">
        <v>260</v>
      </c>
      <c r="E3" s="4" t="s">
        <v>260</v>
      </c>
      <c r="F3" s="4" t="s">
        <v>260</v>
      </c>
      <c r="G3" s="4" t="s">
        <v>260</v>
      </c>
      <c r="H3" s="4" t="s">
        <v>260</v>
      </c>
      <c r="I3" s="4" t="s">
        <v>260</v>
      </c>
      <c r="J3" s="4" t="s">
        <v>260</v>
      </c>
      <c r="K3" s="4" t="s">
        <v>260</v>
      </c>
      <c r="L3" s="4" t="s">
        <v>260</v>
      </c>
      <c r="M3" s="4" t="s">
        <v>260</v>
      </c>
      <c r="N3" s="4" t="s">
        <v>260</v>
      </c>
      <c r="O3" s="4" t="s">
        <v>260</v>
      </c>
      <c r="P3" s="4" t="s">
        <v>260</v>
      </c>
      <c r="Q3" s="4" t="s">
        <v>260</v>
      </c>
      <c r="R3" s="4" t="s">
        <v>260</v>
      </c>
      <c r="S3" s="4" t="s">
        <v>260</v>
      </c>
      <c r="T3" s="4" t="s">
        <v>260</v>
      </c>
      <c r="U3" s="4" t="s">
        <v>260</v>
      </c>
      <c r="V3" s="4" t="s">
        <v>260</v>
      </c>
      <c r="W3" s="4" t="s">
        <v>260</v>
      </c>
      <c r="X3" s="4" t="s">
        <v>260</v>
      </c>
      <c r="Y3" s="4" t="s">
        <v>260</v>
      </c>
      <c r="Z3" s="4" t="s">
        <v>260</v>
      </c>
      <c r="AA3" s="4" t="s">
        <v>260</v>
      </c>
      <c r="AB3" s="4" t="s">
        <v>260</v>
      </c>
      <c r="AC3" s="4" t="s">
        <v>260</v>
      </c>
      <c r="AD3" s="4" t="s">
        <v>260</v>
      </c>
      <c r="AE3" s="4" t="s">
        <v>260</v>
      </c>
      <c r="AF3" s="4" t="s">
        <v>260</v>
      </c>
      <c r="AG3" s="4" t="s">
        <v>260</v>
      </c>
      <c r="AH3" s="4" t="s">
        <v>260</v>
      </c>
      <c r="AI3" s="4" t="s">
        <v>260</v>
      </c>
      <c r="AJ3" s="4" t="s">
        <v>260</v>
      </c>
      <c r="AK3" s="4" t="s">
        <v>260</v>
      </c>
      <c r="AL3" s="4" t="s">
        <v>260</v>
      </c>
      <c r="AM3" s="4" t="s">
        <v>260</v>
      </c>
      <c r="AN3" s="4" t="s">
        <v>260</v>
      </c>
      <c r="AO3" s="4" t="s">
        <v>260</v>
      </c>
      <c r="AP3" s="4" t="s">
        <v>260</v>
      </c>
      <c r="AQ3" s="4" t="s">
        <v>260</v>
      </c>
      <c r="AR3" s="4" t="s">
        <v>260</v>
      </c>
      <c r="AS3" s="4" t="s">
        <v>260</v>
      </c>
      <c r="AT3" s="4" t="s">
        <v>260</v>
      </c>
      <c r="AU3" s="4" t="s">
        <v>260</v>
      </c>
      <c r="AV3" s="4" t="s">
        <v>260</v>
      </c>
      <c r="AW3" s="4" t="s">
        <v>260</v>
      </c>
      <c r="AX3" s="4" t="s">
        <v>260</v>
      </c>
      <c r="AY3" s="4" t="s">
        <v>260</v>
      </c>
      <c r="AZ3" s="4" t="s">
        <v>260</v>
      </c>
      <c r="BA3" s="4" t="s">
        <v>260</v>
      </c>
      <c r="BB3" s="4" t="s">
        <v>260</v>
      </c>
      <c r="BC3" s="4" t="s">
        <v>260</v>
      </c>
      <c r="BD3" s="4" t="s">
        <v>260</v>
      </c>
      <c r="BE3" s="4" t="s">
        <v>260</v>
      </c>
      <c r="BF3" s="4" t="s">
        <v>260</v>
      </c>
      <c r="BG3" s="4" t="s">
        <v>260</v>
      </c>
      <c r="BH3" s="4" t="s">
        <v>260</v>
      </c>
      <c r="BI3" s="4" t="s">
        <v>260</v>
      </c>
      <c r="BJ3" s="4" t="s">
        <v>260</v>
      </c>
      <c r="BK3" s="4" t="s">
        <v>260</v>
      </c>
      <c r="BL3" s="4" t="s">
        <v>260</v>
      </c>
      <c r="BM3" s="4" t="s">
        <v>260</v>
      </c>
      <c r="BN3" s="4" t="s">
        <v>260</v>
      </c>
      <c r="BO3" s="4" t="s">
        <v>260</v>
      </c>
      <c r="BP3" s="4" t="s">
        <v>260</v>
      </c>
      <c r="BQ3" s="4" t="s">
        <v>260</v>
      </c>
      <c r="BR3" s="4" t="s">
        <v>260</v>
      </c>
      <c r="BS3" s="4" t="s">
        <v>260</v>
      </c>
      <c r="BT3" s="4" t="s">
        <v>260</v>
      </c>
      <c r="BU3" s="4" t="s">
        <v>260</v>
      </c>
      <c r="BV3" s="4" t="s">
        <v>260</v>
      </c>
      <c r="BW3" s="4" t="s">
        <v>260</v>
      </c>
      <c r="BX3" s="4" t="s">
        <v>260</v>
      </c>
      <c r="BY3" s="4" t="s">
        <v>260</v>
      </c>
      <c r="BZ3" s="4" t="s">
        <v>260</v>
      </c>
      <c r="CA3" s="4" t="s">
        <v>260</v>
      </c>
      <c r="CB3" s="4" t="s">
        <v>260</v>
      </c>
      <c r="CC3" s="4" t="s">
        <v>260</v>
      </c>
      <c r="CD3" s="4" t="s">
        <v>260</v>
      </c>
      <c r="CE3" s="4" t="s">
        <v>260</v>
      </c>
      <c r="CF3" s="4" t="s">
        <v>260</v>
      </c>
      <c r="CG3" s="4" t="s">
        <v>260</v>
      </c>
      <c r="CH3" s="4" t="s">
        <v>260</v>
      </c>
      <c r="CI3" s="4" t="s">
        <v>260</v>
      </c>
      <c r="CJ3" s="4" t="s">
        <v>260</v>
      </c>
      <c r="CK3" s="4" t="s">
        <v>260</v>
      </c>
      <c r="CL3" s="4" t="s">
        <v>260</v>
      </c>
      <c r="CM3" s="4" t="s">
        <v>260</v>
      </c>
      <c r="CN3" s="4" t="s">
        <v>260</v>
      </c>
      <c r="CO3" s="4" t="s">
        <v>260</v>
      </c>
      <c r="CP3" s="4" t="s">
        <v>260</v>
      </c>
      <c r="CQ3" s="4" t="s">
        <v>260</v>
      </c>
      <c r="CR3" s="4" t="s">
        <v>260</v>
      </c>
      <c r="CS3" s="4" t="s">
        <v>260</v>
      </c>
      <c r="CT3" s="4" t="s">
        <v>260</v>
      </c>
      <c r="CU3" s="4" t="s">
        <v>260</v>
      </c>
      <c r="CV3" s="4" t="s">
        <v>260</v>
      </c>
      <c r="CW3" s="4" t="s">
        <v>260</v>
      </c>
      <c r="CX3" s="4" t="s">
        <v>260</v>
      </c>
      <c r="CY3" s="4" t="s">
        <v>260</v>
      </c>
      <c r="CZ3" s="4" t="s">
        <v>260</v>
      </c>
      <c r="DA3" s="4" t="s">
        <v>260</v>
      </c>
      <c r="DB3" s="4" t="s">
        <v>260</v>
      </c>
    </row>
    <row r="4" spans="1:106">
      <c r="A4" s="54" t="s">
        <v>252</v>
      </c>
      <c r="B4" s="4" t="s">
        <v>261</v>
      </c>
      <c r="C4" s="4" t="s">
        <v>261</v>
      </c>
      <c r="D4" s="4" t="s">
        <v>261</v>
      </c>
      <c r="E4" s="4" t="s">
        <v>261</v>
      </c>
      <c r="F4" s="4" t="s">
        <v>261</v>
      </c>
      <c r="G4" s="4" t="s">
        <v>261</v>
      </c>
      <c r="H4" s="4" t="s">
        <v>261</v>
      </c>
      <c r="I4" s="4" t="s">
        <v>261</v>
      </c>
      <c r="J4" s="4" t="s">
        <v>261</v>
      </c>
      <c r="K4" s="4" t="s">
        <v>261</v>
      </c>
      <c r="L4" s="4" t="s">
        <v>261</v>
      </c>
      <c r="M4" s="4" t="s">
        <v>261</v>
      </c>
      <c r="N4" s="4" t="s">
        <v>261</v>
      </c>
      <c r="O4" s="4" t="s">
        <v>261</v>
      </c>
      <c r="P4" s="4" t="s">
        <v>261</v>
      </c>
      <c r="Q4" s="4" t="s">
        <v>261</v>
      </c>
      <c r="R4" s="4" t="s">
        <v>261</v>
      </c>
      <c r="S4" s="4" t="s">
        <v>261</v>
      </c>
      <c r="T4" s="4" t="s">
        <v>261</v>
      </c>
      <c r="U4" s="4" t="s">
        <v>261</v>
      </c>
      <c r="V4" s="4" t="s">
        <v>261</v>
      </c>
      <c r="W4" s="4" t="s">
        <v>261</v>
      </c>
      <c r="X4" s="4" t="s">
        <v>261</v>
      </c>
      <c r="Y4" s="4" t="s">
        <v>261</v>
      </c>
      <c r="Z4" s="4" t="s">
        <v>261</v>
      </c>
      <c r="AA4" s="4" t="s">
        <v>261</v>
      </c>
      <c r="AB4" s="4" t="s">
        <v>261</v>
      </c>
      <c r="AC4" s="4" t="s">
        <v>261</v>
      </c>
      <c r="AD4" s="4" t="s">
        <v>261</v>
      </c>
      <c r="AE4" s="4" t="s">
        <v>261</v>
      </c>
      <c r="AF4" s="4" t="s">
        <v>261</v>
      </c>
      <c r="AG4" s="4" t="s">
        <v>261</v>
      </c>
      <c r="AH4" s="4" t="s">
        <v>261</v>
      </c>
      <c r="AI4" s="4" t="s">
        <v>261</v>
      </c>
      <c r="AJ4" s="4" t="s">
        <v>261</v>
      </c>
      <c r="AK4" s="4" t="s">
        <v>261</v>
      </c>
      <c r="AL4" s="4" t="s">
        <v>261</v>
      </c>
      <c r="AM4" s="4" t="s">
        <v>261</v>
      </c>
      <c r="AN4" s="4" t="s">
        <v>261</v>
      </c>
      <c r="AO4" s="4" t="s">
        <v>261</v>
      </c>
      <c r="AP4" s="4" t="s">
        <v>261</v>
      </c>
      <c r="AQ4" s="4" t="s">
        <v>261</v>
      </c>
      <c r="AR4" s="4" t="s">
        <v>261</v>
      </c>
      <c r="AS4" s="4" t="s">
        <v>261</v>
      </c>
      <c r="AT4" s="4" t="s">
        <v>261</v>
      </c>
      <c r="AU4" s="4" t="s">
        <v>261</v>
      </c>
      <c r="AV4" s="4" t="s">
        <v>261</v>
      </c>
      <c r="AW4" s="4" t="s">
        <v>261</v>
      </c>
      <c r="AX4" s="4" t="s">
        <v>261</v>
      </c>
      <c r="AY4" s="4" t="s">
        <v>261</v>
      </c>
      <c r="AZ4" s="4" t="s">
        <v>261</v>
      </c>
      <c r="BA4" s="4" t="s">
        <v>261</v>
      </c>
      <c r="BB4" s="4" t="s">
        <v>261</v>
      </c>
      <c r="BC4" s="4" t="s">
        <v>261</v>
      </c>
      <c r="BD4" s="4" t="s">
        <v>261</v>
      </c>
      <c r="BE4" s="4" t="s">
        <v>261</v>
      </c>
      <c r="BF4" s="4" t="s">
        <v>261</v>
      </c>
      <c r="BG4" s="4" t="s">
        <v>261</v>
      </c>
      <c r="BH4" s="4" t="s">
        <v>261</v>
      </c>
      <c r="BI4" s="4" t="s">
        <v>261</v>
      </c>
      <c r="BJ4" s="4" t="s">
        <v>261</v>
      </c>
      <c r="BK4" s="4" t="s">
        <v>261</v>
      </c>
      <c r="BL4" s="4" t="s">
        <v>261</v>
      </c>
      <c r="BM4" s="4" t="s">
        <v>261</v>
      </c>
      <c r="BN4" s="4" t="s">
        <v>261</v>
      </c>
      <c r="BO4" s="4" t="s">
        <v>261</v>
      </c>
      <c r="BP4" s="4" t="s">
        <v>261</v>
      </c>
      <c r="BQ4" s="4" t="s">
        <v>261</v>
      </c>
      <c r="BR4" s="4" t="s">
        <v>261</v>
      </c>
      <c r="BS4" s="4" t="s">
        <v>261</v>
      </c>
      <c r="BT4" s="4" t="s">
        <v>261</v>
      </c>
      <c r="BU4" s="4" t="s">
        <v>261</v>
      </c>
      <c r="BV4" s="4" t="s">
        <v>261</v>
      </c>
      <c r="BW4" s="4" t="s">
        <v>261</v>
      </c>
      <c r="BX4" s="4" t="s">
        <v>261</v>
      </c>
      <c r="BY4" s="4" t="s">
        <v>261</v>
      </c>
      <c r="BZ4" s="4" t="s">
        <v>261</v>
      </c>
      <c r="CA4" s="4" t="s">
        <v>261</v>
      </c>
      <c r="CB4" s="4" t="s">
        <v>261</v>
      </c>
      <c r="CC4" s="4" t="s">
        <v>261</v>
      </c>
      <c r="CD4" s="4" t="s">
        <v>261</v>
      </c>
      <c r="CE4" s="4" t="s">
        <v>261</v>
      </c>
      <c r="CF4" s="4" t="s">
        <v>261</v>
      </c>
      <c r="CG4" s="4" t="s">
        <v>261</v>
      </c>
      <c r="CH4" s="4" t="s">
        <v>261</v>
      </c>
      <c r="CI4" s="4" t="s">
        <v>261</v>
      </c>
      <c r="CJ4" s="4" t="s">
        <v>261</v>
      </c>
      <c r="CK4" s="4" t="s">
        <v>261</v>
      </c>
      <c r="CL4" s="4" t="s">
        <v>261</v>
      </c>
      <c r="CM4" s="4" t="s">
        <v>261</v>
      </c>
      <c r="CN4" s="4" t="s">
        <v>261</v>
      </c>
      <c r="CO4" s="4" t="s">
        <v>261</v>
      </c>
      <c r="CP4" s="4" t="s">
        <v>261</v>
      </c>
      <c r="CQ4" s="4" t="s">
        <v>261</v>
      </c>
      <c r="CR4" s="4" t="s">
        <v>261</v>
      </c>
      <c r="CS4" s="4" t="s">
        <v>261</v>
      </c>
      <c r="CT4" s="4" t="s">
        <v>261</v>
      </c>
      <c r="CU4" s="4" t="s">
        <v>261</v>
      </c>
      <c r="CV4" s="4" t="s">
        <v>261</v>
      </c>
      <c r="CW4" s="4" t="s">
        <v>261</v>
      </c>
      <c r="CX4" s="4" t="s">
        <v>261</v>
      </c>
      <c r="CY4" s="4" t="s">
        <v>261</v>
      </c>
      <c r="CZ4" s="4" t="s">
        <v>261</v>
      </c>
      <c r="DA4" s="4" t="s">
        <v>261</v>
      </c>
      <c r="DB4" s="4" t="s">
        <v>261</v>
      </c>
    </row>
    <row r="5" spans="1:106">
      <c r="A5" s="54" t="s">
        <v>253</v>
      </c>
      <c r="B5" s="4" t="s">
        <v>262</v>
      </c>
      <c r="C5" s="4" t="s">
        <v>262</v>
      </c>
      <c r="D5" s="4" t="s">
        <v>262</v>
      </c>
      <c r="E5" s="4" t="s">
        <v>262</v>
      </c>
      <c r="F5" s="4" t="s">
        <v>262</v>
      </c>
      <c r="G5" s="4" t="s">
        <v>262</v>
      </c>
      <c r="H5" s="4" t="s">
        <v>262</v>
      </c>
      <c r="I5" s="4" t="s">
        <v>262</v>
      </c>
      <c r="J5" s="4" t="s">
        <v>262</v>
      </c>
      <c r="K5" s="4" t="s">
        <v>262</v>
      </c>
      <c r="L5" s="4" t="s">
        <v>262</v>
      </c>
      <c r="M5" s="4" t="s">
        <v>262</v>
      </c>
      <c r="N5" s="4" t="s">
        <v>262</v>
      </c>
      <c r="O5" s="4" t="s">
        <v>262</v>
      </c>
      <c r="P5" s="4" t="s">
        <v>262</v>
      </c>
      <c r="Q5" s="4" t="s">
        <v>262</v>
      </c>
      <c r="R5" s="4" t="s">
        <v>262</v>
      </c>
      <c r="S5" s="4" t="s">
        <v>262</v>
      </c>
      <c r="T5" s="4" t="s">
        <v>262</v>
      </c>
      <c r="U5" s="4" t="s">
        <v>262</v>
      </c>
      <c r="V5" s="4" t="s">
        <v>262</v>
      </c>
      <c r="W5" s="4" t="s">
        <v>262</v>
      </c>
      <c r="X5" s="4" t="s">
        <v>262</v>
      </c>
      <c r="Y5" s="4" t="s">
        <v>262</v>
      </c>
      <c r="Z5" s="4" t="s">
        <v>262</v>
      </c>
      <c r="AA5" s="4" t="s">
        <v>262</v>
      </c>
      <c r="AB5" s="4" t="s">
        <v>262</v>
      </c>
      <c r="AC5" s="4" t="s">
        <v>262</v>
      </c>
      <c r="AD5" s="4" t="s">
        <v>262</v>
      </c>
      <c r="AE5" s="4" t="s">
        <v>262</v>
      </c>
      <c r="AF5" s="4" t="s">
        <v>262</v>
      </c>
      <c r="AG5" s="4" t="s">
        <v>262</v>
      </c>
      <c r="AH5" s="4" t="s">
        <v>262</v>
      </c>
      <c r="AI5" s="4" t="s">
        <v>262</v>
      </c>
      <c r="AJ5" s="4" t="s">
        <v>262</v>
      </c>
      <c r="AK5" s="4" t="s">
        <v>262</v>
      </c>
      <c r="AL5" s="4" t="s">
        <v>262</v>
      </c>
      <c r="AM5" s="4" t="s">
        <v>262</v>
      </c>
      <c r="AN5" s="4" t="s">
        <v>262</v>
      </c>
      <c r="AO5" s="4" t="s">
        <v>262</v>
      </c>
      <c r="AP5" s="4" t="s">
        <v>262</v>
      </c>
      <c r="AQ5" s="4" t="s">
        <v>262</v>
      </c>
      <c r="AR5" s="4" t="s">
        <v>262</v>
      </c>
      <c r="AS5" s="4" t="s">
        <v>262</v>
      </c>
      <c r="AT5" s="4" t="s">
        <v>262</v>
      </c>
      <c r="AU5" s="4" t="s">
        <v>262</v>
      </c>
      <c r="AV5" s="4" t="s">
        <v>262</v>
      </c>
      <c r="AW5" s="4" t="s">
        <v>262</v>
      </c>
      <c r="AX5" s="4" t="s">
        <v>262</v>
      </c>
      <c r="AY5" s="4" t="s">
        <v>262</v>
      </c>
      <c r="AZ5" s="4" t="s">
        <v>262</v>
      </c>
      <c r="BA5" s="4" t="s">
        <v>262</v>
      </c>
      <c r="BB5" s="4" t="s">
        <v>262</v>
      </c>
      <c r="BC5" s="4" t="s">
        <v>262</v>
      </c>
      <c r="BD5" s="4" t="s">
        <v>262</v>
      </c>
      <c r="BE5" s="4" t="s">
        <v>262</v>
      </c>
      <c r="BF5" s="4" t="s">
        <v>262</v>
      </c>
      <c r="BG5" s="4" t="s">
        <v>262</v>
      </c>
      <c r="BH5" s="4" t="s">
        <v>262</v>
      </c>
      <c r="BI5" s="4" t="s">
        <v>262</v>
      </c>
      <c r="BJ5" s="4" t="s">
        <v>262</v>
      </c>
      <c r="BK5" s="4" t="s">
        <v>262</v>
      </c>
      <c r="BL5" s="4" t="s">
        <v>262</v>
      </c>
      <c r="BM5" s="4" t="s">
        <v>262</v>
      </c>
      <c r="BN5" s="4" t="s">
        <v>262</v>
      </c>
      <c r="BO5" s="4" t="s">
        <v>262</v>
      </c>
      <c r="BP5" s="4" t="s">
        <v>262</v>
      </c>
      <c r="BQ5" s="4" t="s">
        <v>262</v>
      </c>
      <c r="BR5" s="4" t="s">
        <v>262</v>
      </c>
      <c r="BS5" s="4" t="s">
        <v>262</v>
      </c>
      <c r="BT5" s="4" t="s">
        <v>262</v>
      </c>
      <c r="BU5" s="4" t="s">
        <v>262</v>
      </c>
      <c r="BV5" s="4" t="s">
        <v>262</v>
      </c>
      <c r="BW5" s="4" t="s">
        <v>262</v>
      </c>
      <c r="BX5" s="4" t="s">
        <v>262</v>
      </c>
      <c r="BY5" s="4" t="s">
        <v>262</v>
      </c>
      <c r="BZ5" s="4" t="s">
        <v>262</v>
      </c>
      <c r="CA5" s="4" t="s">
        <v>262</v>
      </c>
      <c r="CB5" s="4" t="s">
        <v>262</v>
      </c>
      <c r="CC5" s="4" t="s">
        <v>262</v>
      </c>
      <c r="CD5" s="4" t="s">
        <v>262</v>
      </c>
      <c r="CE5" s="4" t="s">
        <v>262</v>
      </c>
      <c r="CF5" s="4" t="s">
        <v>262</v>
      </c>
      <c r="CG5" s="4" t="s">
        <v>262</v>
      </c>
      <c r="CH5" s="4" t="s">
        <v>262</v>
      </c>
      <c r="CI5" s="4" t="s">
        <v>262</v>
      </c>
      <c r="CJ5" s="4" t="s">
        <v>262</v>
      </c>
      <c r="CK5" s="4" t="s">
        <v>262</v>
      </c>
      <c r="CL5" s="4" t="s">
        <v>262</v>
      </c>
      <c r="CM5" s="4" t="s">
        <v>262</v>
      </c>
      <c r="CN5" s="4" t="s">
        <v>262</v>
      </c>
      <c r="CO5" s="4" t="s">
        <v>262</v>
      </c>
      <c r="CP5" s="4" t="s">
        <v>262</v>
      </c>
      <c r="CQ5" s="4" t="s">
        <v>262</v>
      </c>
      <c r="CR5" s="4" t="s">
        <v>262</v>
      </c>
      <c r="CS5" s="4" t="s">
        <v>262</v>
      </c>
      <c r="CT5" s="4" t="s">
        <v>262</v>
      </c>
      <c r="CU5" s="4" t="s">
        <v>262</v>
      </c>
      <c r="CV5" s="4" t="s">
        <v>262</v>
      </c>
      <c r="CW5" s="4" t="s">
        <v>262</v>
      </c>
      <c r="CX5" s="4" t="s">
        <v>262</v>
      </c>
      <c r="CY5" s="4" t="s">
        <v>262</v>
      </c>
      <c r="CZ5" s="4" t="s">
        <v>262</v>
      </c>
      <c r="DA5" s="4" t="s">
        <v>262</v>
      </c>
      <c r="DB5" s="4" t="s">
        <v>262</v>
      </c>
    </row>
    <row r="6" spans="1:106">
      <c r="A6" s="54" t="s">
        <v>254</v>
      </c>
      <c r="B6" s="55">
        <v>1</v>
      </c>
      <c r="C6" s="55">
        <v>1</v>
      </c>
      <c r="D6" s="55">
        <v>1</v>
      </c>
      <c r="E6" s="55">
        <v>1</v>
      </c>
      <c r="F6" s="55">
        <v>1</v>
      </c>
      <c r="G6" s="55">
        <v>1</v>
      </c>
      <c r="H6" s="55">
        <v>1</v>
      </c>
      <c r="I6" s="55">
        <v>1</v>
      </c>
      <c r="J6" s="55">
        <v>1</v>
      </c>
      <c r="K6" s="55">
        <v>1</v>
      </c>
      <c r="L6" s="55">
        <v>1</v>
      </c>
      <c r="M6" s="55">
        <v>1</v>
      </c>
      <c r="N6" s="55">
        <v>1</v>
      </c>
      <c r="O6" s="55">
        <v>1</v>
      </c>
      <c r="P6" s="55">
        <v>1</v>
      </c>
      <c r="Q6" s="55">
        <v>1</v>
      </c>
      <c r="R6" s="55">
        <v>1</v>
      </c>
      <c r="S6" s="55">
        <v>1</v>
      </c>
      <c r="T6" s="55">
        <v>1</v>
      </c>
      <c r="U6" s="55">
        <v>1</v>
      </c>
      <c r="V6" s="55">
        <v>1</v>
      </c>
      <c r="W6" s="55">
        <v>1</v>
      </c>
      <c r="X6" s="55">
        <v>1</v>
      </c>
      <c r="Y6" s="55">
        <v>1</v>
      </c>
      <c r="Z6" s="55">
        <v>1</v>
      </c>
      <c r="AA6" s="55">
        <v>1</v>
      </c>
      <c r="AB6" s="55">
        <v>1</v>
      </c>
      <c r="AC6" s="55">
        <v>1</v>
      </c>
      <c r="AD6" s="55">
        <v>1</v>
      </c>
      <c r="AE6" s="55">
        <v>1</v>
      </c>
      <c r="AF6" s="55">
        <v>1</v>
      </c>
      <c r="AG6" s="55">
        <v>1</v>
      </c>
      <c r="AH6" s="55">
        <v>1</v>
      </c>
      <c r="AI6" s="55">
        <v>1</v>
      </c>
      <c r="AJ6" s="55">
        <v>1</v>
      </c>
      <c r="AK6" s="55">
        <v>1</v>
      </c>
      <c r="AL6" s="55">
        <v>1</v>
      </c>
      <c r="AM6" s="55">
        <v>1</v>
      </c>
      <c r="AN6" s="55">
        <v>1</v>
      </c>
      <c r="AO6" s="55">
        <v>1</v>
      </c>
      <c r="AP6" s="55">
        <v>1</v>
      </c>
      <c r="AQ6" s="55">
        <v>1</v>
      </c>
      <c r="AR6" s="55">
        <v>1</v>
      </c>
      <c r="AS6" s="55">
        <v>1</v>
      </c>
      <c r="AT6" s="55">
        <v>1</v>
      </c>
      <c r="AU6" s="55">
        <v>1</v>
      </c>
      <c r="AV6" s="55">
        <v>1</v>
      </c>
      <c r="AW6" s="55">
        <v>1</v>
      </c>
      <c r="AX6" s="55">
        <v>1</v>
      </c>
      <c r="AY6" s="55">
        <v>1</v>
      </c>
      <c r="AZ6" s="55">
        <v>1</v>
      </c>
      <c r="BA6" s="55">
        <v>1</v>
      </c>
      <c r="BB6" s="55">
        <v>1</v>
      </c>
      <c r="BC6" s="55">
        <v>1</v>
      </c>
      <c r="BD6" s="55">
        <v>1</v>
      </c>
      <c r="BE6" s="55">
        <v>1</v>
      </c>
      <c r="BF6" s="55">
        <v>1</v>
      </c>
      <c r="BG6" s="55">
        <v>1</v>
      </c>
      <c r="BH6" s="55">
        <v>1</v>
      </c>
      <c r="BI6" s="55">
        <v>1</v>
      </c>
      <c r="BJ6" s="55">
        <v>1</v>
      </c>
      <c r="BK6" s="55">
        <v>1</v>
      </c>
      <c r="BL6" s="55">
        <v>1</v>
      </c>
      <c r="BM6" s="55">
        <v>1</v>
      </c>
      <c r="BN6" s="55">
        <v>1</v>
      </c>
      <c r="BO6" s="55">
        <v>1</v>
      </c>
      <c r="BP6" s="55">
        <v>1</v>
      </c>
      <c r="BQ6" s="55">
        <v>1</v>
      </c>
      <c r="BR6" s="55">
        <v>1</v>
      </c>
      <c r="BS6" s="55">
        <v>1</v>
      </c>
      <c r="BT6" s="55">
        <v>1</v>
      </c>
      <c r="BU6" s="55">
        <v>1</v>
      </c>
      <c r="BV6" s="55">
        <v>1</v>
      </c>
      <c r="BW6" s="55">
        <v>1</v>
      </c>
      <c r="BX6" s="55">
        <v>1</v>
      </c>
      <c r="BY6" s="55">
        <v>1</v>
      </c>
      <c r="BZ6" s="55">
        <v>1</v>
      </c>
      <c r="CA6" s="55">
        <v>1</v>
      </c>
      <c r="CB6" s="55">
        <v>1</v>
      </c>
      <c r="CC6" s="55">
        <v>1</v>
      </c>
      <c r="CD6" s="55">
        <v>1</v>
      </c>
      <c r="CE6" s="55">
        <v>1</v>
      </c>
      <c r="CF6" s="55">
        <v>1</v>
      </c>
      <c r="CG6" s="55">
        <v>1</v>
      </c>
      <c r="CH6" s="55">
        <v>1</v>
      </c>
      <c r="CI6" s="55">
        <v>1</v>
      </c>
      <c r="CJ6" s="55">
        <v>1</v>
      </c>
      <c r="CK6" s="55">
        <v>1</v>
      </c>
      <c r="CL6" s="55">
        <v>1</v>
      </c>
      <c r="CM6" s="55">
        <v>1</v>
      </c>
      <c r="CN6" s="55">
        <v>1</v>
      </c>
      <c r="CO6" s="55">
        <v>1</v>
      </c>
      <c r="CP6" s="55">
        <v>1</v>
      </c>
      <c r="CQ6" s="55">
        <v>1</v>
      </c>
      <c r="CR6" s="55">
        <v>1</v>
      </c>
      <c r="CS6" s="55">
        <v>1</v>
      </c>
      <c r="CT6" s="55">
        <v>1</v>
      </c>
      <c r="CU6" s="55">
        <v>1</v>
      </c>
      <c r="CV6" s="55">
        <v>1</v>
      </c>
      <c r="CW6" s="55">
        <v>1</v>
      </c>
      <c r="CX6" s="55">
        <v>1</v>
      </c>
      <c r="CY6" s="55">
        <v>1</v>
      </c>
      <c r="CZ6" s="55">
        <v>1</v>
      </c>
      <c r="DA6" s="55">
        <v>1</v>
      </c>
      <c r="DB6" s="55">
        <v>1</v>
      </c>
    </row>
    <row r="7" spans="1:106" s="57" customFormat="1">
      <c r="A7" s="56" t="s">
        <v>255</v>
      </c>
      <c r="B7" s="57">
        <v>41821</v>
      </c>
      <c r="C7" s="57">
        <v>41821</v>
      </c>
      <c r="D7" s="57">
        <v>41821</v>
      </c>
      <c r="E7" s="57">
        <v>41821</v>
      </c>
      <c r="F7" s="57">
        <v>41821</v>
      </c>
      <c r="G7" s="57">
        <v>41821</v>
      </c>
      <c r="H7" s="57">
        <v>41821</v>
      </c>
      <c r="I7" s="57">
        <v>41821</v>
      </c>
      <c r="J7" s="57">
        <v>41821</v>
      </c>
      <c r="K7" s="57">
        <v>41821</v>
      </c>
      <c r="L7" s="57">
        <v>41821</v>
      </c>
      <c r="M7" s="57">
        <v>41821</v>
      </c>
      <c r="N7" s="57">
        <v>41821</v>
      </c>
      <c r="O7" s="57">
        <v>41821</v>
      </c>
      <c r="P7" s="57">
        <v>41821</v>
      </c>
      <c r="Q7" s="57">
        <v>41821</v>
      </c>
      <c r="R7" s="57">
        <v>41821</v>
      </c>
      <c r="S7" s="57">
        <v>41821</v>
      </c>
      <c r="T7" s="57">
        <v>41821</v>
      </c>
      <c r="U7" s="57">
        <v>41821</v>
      </c>
      <c r="V7" s="57">
        <v>41821</v>
      </c>
      <c r="W7" s="57">
        <v>41821</v>
      </c>
      <c r="X7" s="57">
        <v>41821</v>
      </c>
      <c r="Y7" s="57">
        <v>41821</v>
      </c>
      <c r="Z7" s="57">
        <v>41821</v>
      </c>
      <c r="AA7" s="57">
        <v>41821</v>
      </c>
      <c r="AB7" s="57">
        <v>41821</v>
      </c>
      <c r="AC7" s="57">
        <v>41821</v>
      </c>
      <c r="AD7" s="57">
        <v>41821</v>
      </c>
      <c r="AE7" s="57">
        <v>41821</v>
      </c>
      <c r="AF7" s="57">
        <v>41821</v>
      </c>
      <c r="AG7" s="57">
        <v>41821</v>
      </c>
      <c r="AH7" s="57">
        <v>41821</v>
      </c>
      <c r="AI7" s="57">
        <v>41821</v>
      </c>
      <c r="AJ7" s="57">
        <v>41821</v>
      </c>
      <c r="AK7" s="57">
        <v>41821</v>
      </c>
      <c r="AL7" s="57">
        <v>41821</v>
      </c>
      <c r="AM7" s="57">
        <v>41821</v>
      </c>
      <c r="AN7" s="57">
        <v>41821</v>
      </c>
      <c r="AO7" s="57">
        <v>41821</v>
      </c>
      <c r="AP7" s="57">
        <v>41821</v>
      </c>
      <c r="AQ7" s="57">
        <v>41821</v>
      </c>
      <c r="AR7" s="57">
        <v>41821</v>
      </c>
      <c r="AS7" s="57">
        <v>41821</v>
      </c>
      <c r="AT7" s="57">
        <v>41821</v>
      </c>
      <c r="AU7" s="57">
        <v>41821</v>
      </c>
      <c r="AV7" s="57">
        <v>41821</v>
      </c>
      <c r="AW7" s="57">
        <v>41821</v>
      </c>
      <c r="AX7" s="57">
        <v>41821</v>
      </c>
      <c r="AY7" s="57">
        <v>41821</v>
      </c>
      <c r="AZ7" s="57">
        <v>41821</v>
      </c>
      <c r="BA7" s="57">
        <v>41821</v>
      </c>
      <c r="BB7" s="57">
        <v>41821</v>
      </c>
      <c r="BC7" s="57">
        <v>41821</v>
      </c>
      <c r="BD7" s="57">
        <v>41821</v>
      </c>
      <c r="BE7" s="57">
        <v>41821</v>
      </c>
      <c r="BF7" s="57">
        <v>41821</v>
      </c>
      <c r="BG7" s="57">
        <v>41821</v>
      </c>
      <c r="BH7" s="57">
        <v>41821</v>
      </c>
      <c r="BI7" s="57">
        <v>41821</v>
      </c>
      <c r="BJ7" s="57">
        <v>41821</v>
      </c>
      <c r="BK7" s="57">
        <v>41821</v>
      </c>
      <c r="BL7" s="57">
        <v>41821</v>
      </c>
      <c r="BM7" s="57">
        <v>41821</v>
      </c>
      <c r="BN7" s="57">
        <v>41821</v>
      </c>
      <c r="BO7" s="57">
        <v>41821</v>
      </c>
      <c r="BP7" s="57">
        <v>41821</v>
      </c>
      <c r="BQ7" s="57">
        <v>41821</v>
      </c>
      <c r="BR7" s="57">
        <v>41821</v>
      </c>
      <c r="BS7" s="57">
        <v>41821</v>
      </c>
      <c r="BT7" s="57">
        <v>41821</v>
      </c>
      <c r="BU7" s="57">
        <v>41821</v>
      </c>
      <c r="BV7" s="57">
        <v>41821</v>
      </c>
      <c r="BW7" s="57">
        <v>41821</v>
      </c>
      <c r="BX7" s="57">
        <v>41821</v>
      </c>
      <c r="BY7" s="57">
        <v>41821</v>
      </c>
      <c r="BZ7" s="57">
        <v>41821</v>
      </c>
      <c r="CA7" s="57">
        <v>41821</v>
      </c>
      <c r="CB7" s="57">
        <v>41821</v>
      </c>
      <c r="CC7" s="57">
        <v>41821</v>
      </c>
      <c r="CD7" s="57">
        <v>41821</v>
      </c>
      <c r="CE7" s="57">
        <v>41821</v>
      </c>
      <c r="CF7" s="57">
        <v>41821</v>
      </c>
      <c r="CG7" s="57">
        <v>41821</v>
      </c>
      <c r="CH7" s="57">
        <v>41821</v>
      </c>
      <c r="CI7" s="57">
        <v>41821</v>
      </c>
      <c r="CJ7" s="57">
        <v>41821</v>
      </c>
      <c r="CK7" s="57">
        <v>41821</v>
      </c>
      <c r="CL7" s="57">
        <v>41821</v>
      </c>
      <c r="CM7" s="57">
        <v>41821</v>
      </c>
      <c r="CN7" s="57">
        <v>41821</v>
      </c>
      <c r="CO7" s="57">
        <v>41821</v>
      </c>
      <c r="CP7" s="57">
        <v>41821</v>
      </c>
      <c r="CQ7" s="57">
        <v>41821</v>
      </c>
      <c r="CR7" s="57">
        <v>41821</v>
      </c>
      <c r="CS7" s="57">
        <v>41821</v>
      </c>
      <c r="CT7" s="57">
        <v>41821</v>
      </c>
      <c r="CU7" s="57">
        <v>41821</v>
      </c>
      <c r="CV7" s="57">
        <v>41821</v>
      </c>
      <c r="CW7" s="57">
        <v>41821</v>
      </c>
      <c r="CX7" s="57">
        <v>41821</v>
      </c>
      <c r="CY7" s="57">
        <v>41821</v>
      </c>
      <c r="CZ7" s="57">
        <v>41821</v>
      </c>
      <c r="DA7" s="57">
        <v>41821</v>
      </c>
      <c r="DB7" s="57">
        <v>41821</v>
      </c>
    </row>
    <row r="8" spans="1:106" s="57" customFormat="1">
      <c r="A8" s="56" t="s">
        <v>256</v>
      </c>
      <c r="B8" s="57">
        <v>44593</v>
      </c>
      <c r="C8" s="57">
        <v>44593</v>
      </c>
      <c r="D8" s="57">
        <v>44593</v>
      </c>
      <c r="E8" s="57">
        <v>44593</v>
      </c>
      <c r="F8" s="57">
        <v>44593</v>
      </c>
      <c r="G8" s="57">
        <v>44593</v>
      </c>
      <c r="H8" s="57">
        <v>44593</v>
      </c>
      <c r="I8" s="57">
        <v>44593</v>
      </c>
      <c r="J8" s="57">
        <v>44593</v>
      </c>
      <c r="K8" s="57">
        <v>44593</v>
      </c>
      <c r="L8" s="57">
        <v>44593</v>
      </c>
      <c r="M8" s="57">
        <v>44593</v>
      </c>
      <c r="N8" s="57">
        <v>44593</v>
      </c>
      <c r="O8" s="57">
        <v>44593</v>
      </c>
      <c r="P8" s="57">
        <v>44593</v>
      </c>
      <c r="Q8" s="57">
        <v>44593</v>
      </c>
      <c r="R8" s="57">
        <v>44593</v>
      </c>
      <c r="S8" s="57">
        <v>44593</v>
      </c>
      <c r="T8" s="57">
        <v>44593</v>
      </c>
      <c r="U8" s="57">
        <v>44593</v>
      </c>
      <c r="V8" s="57">
        <v>44593</v>
      </c>
      <c r="W8" s="57">
        <v>44593</v>
      </c>
      <c r="X8" s="57">
        <v>44593</v>
      </c>
      <c r="Y8" s="57">
        <v>44593</v>
      </c>
      <c r="Z8" s="57">
        <v>44593</v>
      </c>
      <c r="AA8" s="57">
        <v>44593</v>
      </c>
      <c r="AB8" s="57">
        <v>44593</v>
      </c>
      <c r="AC8" s="57">
        <v>44593</v>
      </c>
      <c r="AD8" s="57">
        <v>44593</v>
      </c>
      <c r="AE8" s="57">
        <v>44593</v>
      </c>
      <c r="AF8" s="57">
        <v>44593</v>
      </c>
      <c r="AG8" s="57">
        <v>44593</v>
      </c>
      <c r="AH8" s="57">
        <v>44593</v>
      </c>
      <c r="AI8" s="57">
        <v>44593</v>
      </c>
      <c r="AJ8" s="57">
        <v>44593</v>
      </c>
      <c r="AK8" s="57">
        <v>44593</v>
      </c>
      <c r="AL8" s="57">
        <v>44593</v>
      </c>
      <c r="AM8" s="57">
        <v>44593</v>
      </c>
      <c r="AN8" s="57">
        <v>44593</v>
      </c>
      <c r="AO8" s="57">
        <v>44593</v>
      </c>
      <c r="AP8" s="57">
        <v>44593</v>
      </c>
      <c r="AQ8" s="57">
        <v>44593</v>
      </c>
      <c r="AR8" s="57">
        <v>44593</v>
      </c>
      <c r="AS8" s="57">
        <v>44593</v>
      </c>
      <c r="AT8" s="57">
        <v>44593</v>
      </c>
      <c r="AU8" s="57">
        <v>44593</v>
      </c>
      <c r="AV8" s="57">
        <v>44593</v>
      </c>
      <c r="AW8" s="57">
        <v>44593</v>
      </c>
      <c r="AX8" s="57">
        <v>44593</v>
      </c>
      <c r="AY8" s="57">
        <v>44593</v>
      </c>
      <c r="AZ8" s="57">
        <v>44593</v>
      </c>
      <c r="BA8" s="57">
        <v>44593</v>
      </c>
      <c r="BB8" s="57">
        <v>44593</v>
      </c>
      <c r="BC8" s="57">
        <v>44593</v>
      </c>
      <c r="BD8" s="57">
        <v>44593</v>
      </c>
      <c r="BE8" s="57">
        <v>44593</v>
      </c>
      <c r="BF8" s="57">
        <v>44593</v>
      </c>
      <c r="BG8" s="57">
        <v>44593</v>
      </c>
      <c r="BH8" s="57">
        <v>44593</v>
      </c>
      <c r="BI8" s="57">
        <v>44593</v>
      </c>
      <c r="BJ8" s="57">
        <v>44593</v>
      </c>
      <c r="BK8" s="57">
        <v>44593</v>
      </c>
      <c r="BL8" s="57">
        <v>44593</v>
      </c>
      <c r="BM8" s="57">
        <v>44593</v>
      </c>
      <c r="BN8" s="57">
        <v>44593</v>
      </c>
      <c r="BO8" s="57">
        <v>44593</v>
      </c>
      <c r="BP8" s="57">
        <v>44593</v>
      </c>
      <c r="BQ8" s="57">
        <v>44593</v>
      </c>
      <c r="BR8" s="57">
        <v>44593</v>
      </c>
      <c r="BS8" s="57">
        <v>44593</v>
      </c>
      <c r="BT8" s="57">
        <v>44593</v>
      </c>
      <c r="BU8" s="57">
        <v>44593</v>
      </c>
      <c r="BV8" s="57">
        <v>44593</v>
      </c>
      <c r="BW8" s="57">
        <v>44593</v>
      </c>
      <c r="BX8" s="57">
        <v>44593</v>
      </c>
      <c r="BY8" s="57">
        <v>44593</v>
      </c>
      <c r="BZ8" s="57">
        <v>44593</v>
      </c>
      <c r="CA8" s="57">
        <v>44593</v>
      </c>
      <c r="CB8" s="57">
        <v>44593</v>
      </c>
      <c r="CC8" s="57">
        <v>44593</v>
      </c>
      <c r="CD8" s="57">
        <v>44593</v>
      </c>
      <c r="CE8" s="57">
        <v>44593</v>
      </c>
      <c r="CF8" s="57">
        <v>44593</v>
      </c>
      <c r="CG8" s="57">
        <v>44593</v>
      </c>
      <c r="CH8" s="57">
        <v>44593</v>
      </c>
      <c r="CI8" s="57">
        <v>44593</v>
      </c>
      <c r="CJ8" s="57">
        <v>44593</v>
      </c>
      <c r="CK8" s="57">
        <v>44593</v>
      </c>
      <c r="CL8" s="57">
        <v>44593</v>
      </c>
      <c r="CM8" s="57">
        <v>44593</v>
      </c>
      <c r="CN8" s="57">
        <v>44593</v>
      </c>
      <c r="CO8" s="57">
        <v>44593</v>
      </c>
      <c r="CP8" s="57">
        <v>44593</v>
      </c>
      <c r="CQ8" s="57">
        <v>44593</v>
      </c>
      <c r="CR8" s="57">
        <v>44593</v>
      </c>
      <c r="CS8" s="57">
        <v>44593</v>
      </c>
      <c r="CT8" s="57">
        <v>44593</v>
      </c>
      <c r="CU8" s="57">
        <v>44593</v>
      </c>
      <c r="CV8" s="57">
        <v>44593</v>
      </c>
      <c r="CW8" s="57">
        <v>44593</v>
      </c>
      <c r="CX8" s="57">
        <v>44593</v>
      </c>
      <c r="CY8" s="57">
        <v>44593</v>
      </c>
      <c r="CZ8" s="57">
        <v>44593</v>
      </c>
      <c r="DA8" s="57">
        <v>44593</v>
      </c>
      <c r="DB8" s="57">
        <v>44593</v>
      </c>
    </row>
    <row r="9" spans="1:106">
      <c r="A9" s="54" t="s">
        <v>257</v>
      </c>
      <c r="B9" s="55">
        <v>92</v>
      </c>
      <c r="C9" s="55">
        <v>92</v>
      </c>
      <c r="D9" s="55">
        <v>92</v>
      </c>
      <c r="E9" s="55">
        <v>92</v>
      </c>
      <c r="F9" s="55">
        <v>92</v>
      </c>
      <c r="G9" s="55">
        <v>92</v>
      </c>
      <c r="H9" s="55">
        <v>92</v>
      </c>
      <c r="I9" s="55">
        <v>92</v>
      </c>
      <c r="J9" s="55">
        <v>92</v>
      </c>
      <c r="K9" s="55">
        <v>92</v>
      </c>
      <c r="L9" s="55">
        <v>92</v>
      </c>
      <c r="M9" s="55">
        <v>92</v>
      </c>
      <c r="N9" s="55">
        <v>92</v>
      </c>
      <c r="O9" s="55">
        <v>92</v>
      </c>
      <c r="P9" s="55">
        <v>92</v>
      </c>
      <c r="Q9" s="55">
        <v>92</v>
      </c>
      <c r="R9" s="55">
        <v>92</v>
      </c>
      <c r="S9" s="55">
        <v>92</v>
      </c>
      <c r="T9" s="55">
        <v>92</v>
      </c>
      <c r="U9" s="55">
        <v>92</v>
      </c>
      <c r="V9" s="55">
        <v>92</v>
      </c>
      <c r="W9" s="55">
        <v>92</v>
      </c>
      <c r="X9" s="55">
        <v>92</v>
      </c>
      <c r="Y9" s="55">
        <v>92</v>
      </c>
      <c r="Z9" s="55">
        <v>92</v>
      </c>
      <c r="AA9" s="55">
        <v>92</v>
      </c>
      <c r="AB9" s="55">
        <v>92</v>
      </c>
      <c r="AC9" s="55">
        <v>92</v>
      </c>
      <c r="AD9" s="55">
        <v>92</v>
      </c>
      <c r="AE9" s="55">
        <v>92</v>
      </c>
      <c r="AF9" s="55">
        <v>92</v>
      </c>
      <c r="AG9" s="55">
        <v>92</v>
      </c>
      <c r="AH9" s="55">
        <v>92</v>
      </c>
      <c r="AI9" s="55">
        <v>92</v>
      </c>
      <c r="AJ9" s="55">
        <v>92</v>
      </c>
      <c r="AK9" s="55">
        <v>92</v>
      </c>
      <c r="AL9" s="55">
        <v>92</v>
      </c>
      <c r="AM9" s="55">
        <v>92</v>
      </c>
      <c r="AN9" s="55">
        <v>92</v>
      </c>
      <c r="AO9" s="55">
        <v>92</v>
      </c>
      <c r="AP9" s="55">
        <v>92</v>
      </c>
      <c r="AQ9" s="55">
        <v>92</v>
      </c>
      <c r="AR9" s="55">
        <v>92</v>
      </c>
      <c r="AS9" s="55">
        <v>92</v>
      </c>
      <c r="AT9" s="55">
        <v>92</v>
      </c>
      <c r="AU9" s="55">
        <v>92</v>
      </c>
      <c r="AV9" s="55">
        <v>92</v>
      </c>
      <c r="AW9" s="55">
        <v>92</v>
      </c>
      <c r="AX9" s="55">
        <v>92</v>
      </c>
      <c r="AY9" s="55">
        <v>92</v>
      </c>
      <c r="AZ9" s="55">
        <v>92</v>
      </c>
      <c r="BA9" s="55">
        <v>92</v>
      </c>
      <c r="BB9" s="55">
        <v>92</v>
      </c>
      <c r="BC9" s="55">
        <v>92</v>
      </c>
      <c r="BD9" s="55">
        <v>92</v>
      </c>
      <c r="BE9" s="55">
        <v>92</v>
      </c>
      <c r="BF9" s="55">
        <v>92</v>
      </c>
      <c r="BG9" s="55">
        <v>92</v>
      </c>
      <c r="BH9" s="55">
        <v>92</v>
      </c>
      <c r="BI9" s="55">
        <v>92</v>
      </c>
      <c r="BJ9" s="55">
        <v>92</v>
      </c>
      <c r="BK9" s="55">
        <v>92</v>
      </c>
      <c r="BL9" s="55">
        <v>92</v>
      </c>
      <c r="BM9" s="55">
        <v>92</v>
      </c>
      <c r="BN9" s="55">
        <v>92</v>
      </c>
      <c r="BO9" s="55">
        <v>92</v>
      </c>
      <c r="BP9" s="55">
        <v>92</v>
      </c>
      <c r="BQ9" s="55">
        <v>92</v>
      </c>
      <c r="BR9" s="55">
        <v>92</v>
      </c>
      <c r="BS9" s="55">
        <v>92</v>
      </c>
      <c r="BT9" s="55">
        <v>92</v>
      </c>
      <c r="BU9" s="55">
        <v>92</v>
      </c>
      <c r="BV9" s="55">
        <v>92</v>
      </c>
      <c r="BW9" s="55">
        <v>92</v>
      </c>
      <c r="BX9" s="55">
        <v>92</v>
      </c>
      <c r="BY9" s="55">
        <v>92</v>
      </c>
      <c r="BZ9" s="55">
        <v>92</v>
      </c>
      <c r="CA9" s="55">
        <v>92</v>
      </c>
      <c r="CB9" s="55">
        <v>92</v>
      </c>
      <c r="CC9" s="55">
        <v>92</v>
      </c>
      <c r="CD9" s="55">
        <v>92</v>
      </c>
      <c r="CE9" s="55">
        <v>92</v>
      </c>
      <c r="CF9" s="55">
        <v>92</v>
      </c>
      <c r="CG9" s="55">
        <v>92</v>
      </c>
      <c r="CH9" s="55">
        <v>92</v>
      </c>
      <c r="CI9" s="55">
        <v>92</v>
      </c>
      <c r="CJ9" s="55">
        <v>92</v>
      </c>
      <c r="CK9" s="55">
        <v>92</v>
      </c>
      <c r="CL9" s="55">
        <v>92</v>
      </c>
      <c r="CM9" s="55">
        <v>92</v>
      </c>
      <c r="CN9" s="55">
        <v>92</v>
      </c>
      <c r="CO9" s="55">
        <v>92</v>
      </c>
      <c r="CP9" s="55">
        <v>92</v>
      </c>
      <c r="CQ9" s="55">
        <v>92</v>
      </c>
      <c r="CR9" s="55">
        <v>92</v>
      </c>
      <c r="CS9" s="55">
        <v>92</v>
      </c>
      <c r="CT9" s="55">
        <v>92</v>
      </c>
      <c r="CU9" s="55">
        <v>92</v>
      </c>
      <c r="CV9" s="55">
        <v>92</v>
      </c>
      <c r="CW9" s="55">
        <v>92</v>
      </c>
      <c r="CX9" s="55">
        <v>92</v>
      </c>
      <c r="CY9" s="55">
        <v>92</v>
      </c>
      <c r="CZ9" s="55">
        <v>92</v>
      </c>
      <c r="DA9" s="55">
        <v>92</v>
      </c>
      <c r="DB9" s="55">
        <v>92</v>
      </c>
    </row>
    <row r="10" spans="1:106">
      <c r="A10" s="54" t="s">
        <v>258</v>
      </c>
      <c r="B10" s="4" t="s">
        <v>1618</v>
      </c>
      <c r="C10" s="4" t="s">
        <v>1619</v>
      </c>
      <c r="D10" s="4" t="s">
        <v>1620</v>
      </c>
      <c r="E10" s="4" t="s">
        <v>1621</v>
      </c>
      <c r="F10" s="4" t="s">
        <v>1622</v>
      </c>
      <c r="G10" s="4" t="s">
        <v>1623</v>
      </c>
      <c r="H10" s="4" t="s">
        <v>1624</v>
      </c>
      <c r="I10" s="4" t="s">
        <v>1625</v>
      </c>
      <c r="J10" s="4" t="s">
        <v>1626</v>
      </c>
      <c r="K10" s="4" t="s">
        <v>1627</v>
      </c>
      <c r="L10" s="4" t="s">
        <v>1628</v>
      </c>
      <c r="M10" s="4" t="s">
        <v>1629</v>
      </c>
      <c r="N10" s="4" t="s">
        <v>1630</v>
      </c>
      <c r="O10" s="4" t="s">
        <v>1631</v>
      </c>
      <c r="P10" s="4" t="s">
        <v>1632</v>
      </c>
      <c r="Q10" s="4" t="s">
        <v>1633</v>
      </c>
      <c r="R10" s="4" t="s">
        <v>1634</v>
      </c>
      <c r="S10" s="4" t="s">
        <v>1635</v>
      </c>
      <c r="T10" s="4" t="s">
        <v>1636</v>
      </c>
      <c r="U10" s="4" t="s">
        <v>1637</v>
      </c>
      <c r="V10" s="4" t="s">
        <v>1638</v>
      </c>
      <c r="W10" s="4" t="s">
        <v>1639</v>
      </c>
      <c r="X10" s="4" t="s">
        <v>1640</v>
      </c>
      <c r="Y10" s="4" t="s">
        <v>1641</v>
      </c>
      <c r="Z10" s="4" t="s">
        <v>1642</v>
      </c>
      <c r="AA10" s="4" t="s">
        <v>1643</v>
      </c>
      <c r="AB10" s="4" t="s">
        <v>1644</v>
      </c>
      <c r="AC10" s="4" t="s">
        <v>1645</v>
      </c>
      <c r="AD10" s="4" t="s">
        <v>1646</v>
      </c>
      <c r="AE10" s="4" t="s">
        <v>1647</v>
      </c>
      <c r="AF10" s="4" t="s">
        <v>1648</v>
      </c>
      <c r="AG10" s="4" t="s">
        <v>1649</v>
      </c>
      <c r="AH10" s="4" t="s">
        <v>1650</v>
      </c>
      <c r="AI10" s="4" t="s">
        <v>1651</v>
      </c>
      <c r="AJ10" s="4" t="s">
        <v>1652</v>
      </c>
      <c r="AK10" s="4" t="s">
        <v>1653</v>
      </c>
      <c r="AL10" s="4" t="s">
        <v>1654</v>
      </c>
      <c r="AM10" s="4" t="s">
        <v>1655</v>
      </c>
      <c r="AN10" s="4" t="s">
        <v>1656</v>
      </c>
      <c r="AO10" s="4" t="s">
        <v>1657</v>
      </c>
      <c r="AP10" s="4" t="s">
        <v>1658</v>
      </c>
      <c r="AQ10" s="4" t="s">
        <v>1659</v>
      </c>
      <c r="AR10" s="4" t="s">
        <v>1660</v>
      </c>
      <c r="AS10" s="4" t="s">
        <v>1661</v>
      </c>
      <c r="AT10" s="4" t="s">
        <v>1662</v>
      </c>
      <c r="AU10" s="4" t="s">
        <v>1663</v>
      </c>
      <c r="AV10" s="4" t="s">
        <v>1664</v>
      </c>
      <c r="AW10" s="4" t="s">
        <v>1665</v>
      </c>
      <c r="AX10" s="4" t="s">
        <v>1666</v>
      </c>
      <c r="AY10" s="4" t="s">
        <v>1667</v>
      </c>
      <c r="AZ10" s="4" t="s">
        <v>1668</v>
      </c>
      <c r="BA10" s="4" t="s">
        <v>1669</v>
      </c>
      <c r="BB10" s="4" t="s">
        <v>1670</v>
      </c>
      <c r="BC10" s="4" t="s">
        <v>1671</v>
      </c>
      <c r="BD10" s="4" t="s">
        <v>1672</v>
      </c>
      <c r="BE10" s="4" t="s">
        <v>1673</v>
      </c>
      <c r="BF10" s="4" t="s">
        <v>1674</v>
      </c>
      <c r="BG10" s="4" t="s">
        <v>1675</v>
      </c>
      <c r="BH10" s="4" t="s">
        <v>1676</v>
      </c>
      <c r="BI10" s="4" t="s">
        <v>1677</v>
      </c>
      <c r="BJ10" s="4" t="s">
        <v>1678</v>
      </c>
      <c r="BK10" s="4" t="s">
        <v>1679</v>
      </c>
      <c r="BL10" s="4" t="s">
        <v>1680</v>
      </c>
      <c r="BM10" s="4" t="s">
        <v>1681</v>
      </c>
      <c r="BN10" s="4" t="s">
        <v>1682</v>
      </c>
      <c r="BO10" s="4" t="s">
        <v>1683</v>
      </c>
      <c r="BP10" s="4" t="s">
        <v>1684</v>
      </c>
      <c r="BQ10" s="4" t="s">
        <v>1685</v>
      </c>
      <c r="BR10" s="4" t="s">
        <v>1686</v>
      </c>
      <c r="BS10" s="4" t="s">
        <v>1687</v>
      </c>
      <c r="BT10" s="4" t="s">
        <v>1688</v>
      </c>
      <c r="BU10" s="4" t="s">
        <v>1689</v>
      </c>
      <c r="BV10" s="4" t="s">
        <v>1690</v>
      </c>
      <c r="BW10" s="4" t="s">
        <v>1691</v>
      </c>
      <c r="BX10" s="4" t="s">
        <v>1692</v>
      </c>
      <c r="BY10" s="4" t="s">
        <v>1693</v>
      </c>
      <c r="BZ10" s="4" t="s">
        <v>1694</v>
      </c>
      <c r="CA10" s="4" t="s">
        <v>1695</v>
      </c>
      <c r="CB10" s="4" t="s">
        <v>1696</v>
      </c>
      <c r="CC10" s="4" t="s">
        <v>1697</v>
      </c>
      <c r="CD10" s="4" t="s">
        <v>1698</v>
      </c>
      <c r="CE10" s="4" t="s">
        <v>1699</v>
      </c>
      <c r="CF10" s="4" t="s">
        <v>1700</v>
      </c>
      <c r="CG10" s="4" t="s">
        <v>1701</v>
      </c>
      <c r="CH10" s="4" t="s">
        <v>1702</v>
      </c>
      <c r="CI10" s="4" t="s">
        <v>1703</v>
      </c>
      <c r="CJ10" s="4" t="s">
        <v>1704</v>
      </c>
      <c r="CK10" s="4" t="s">
        <v>1705</v>
      </c>
      <c r="CL10" s="4" t="s">
        <v>1706</v>
      </c>
      <c r="CM10" s="4" t="s">
        <v>1707</v>
      </c>
      <c r="CN10" s="4" t="s">
        <v>1708</v>
      </c>
      <c r="CO10" s="4" t="s">
        <v>1709</v>
      </c>
      <c r="CP10" s="4" t="s">
        <v>1710</v>
      </c>
      <c r="CQ10" s="4" t="s">
        <v>1711</v>
      </c>
      <c r="CR10" s="4" t="s">
        <v>1712</v>
      </c>
      <c r="CS10" s="4" t="s">
        <v>1713</v>
      </c>
      <c r="CT10" s="4" t="s">
        <v>1714</v>
      </c>
      <c r="CU10" s="4" t="s">
        <v>1715</v>
      </c>
      <c r="CV10" s="4" t="s">
        <v>1716</v>
      </c>
      <c r="CW10" s="4" t="s">
        <v>1717</v>
      </c>
      <c r="CX10" s="4" t="s">
        <v>1718</v>
      </c>
      <c r="CY10" s="4" t="s">
        <v>1719</v>
      </c>
      <c r="CZ10" s="4" t="s">
        <v>1720</v>
      </c>
      <c r="DA10" s="4" t="s">
        <v>1721</v>
      </c>
      <c r="DB10" s="4" t="s">
        <v>1722</v>
      </c>
    </row>
    <row r="11" spans="1:106">
      <c r="A11" s="5">
        <v>41821</v>
      </c>
      <c r="B11" s="58">
        <v>13.663</v>
      </c>
      <c r="C11" s="58">
        <v>10.064</v>
      </c>
      <c r="D11" s="58">
        <v>3.6</v>
      </c>
      <c r="E11" s="58">
        <v>24.81</v>
      </c>
      <c r="F11" s="58">
        <v>9.8409999999999993</v>
      </c>
      <c r="G11" s="58">
        <v>14.97</v>
      </c>
      <c r="H11" s="58">
        <v>16.189</v>
      </c>
      <c r="I11" s="58">
        <v>12.093999999999999</v>
      </c>
      <c r="J11" s="58">
        <v>4.0949999999999998</v>
      </c>
      <c r="K11" s="58">
        <v>27.652000000000001</v>
      </c>
      <c r="L11" s="58">
        <v>11.619</v>
      </c>
      <c r="M11" s="58">
        <v>16.033000000000001</v>
      </c>
      <c r="N11" s="58">
        <v>27.277999999999999</v>
      </c>
      <c r="O11" s="58">
        <v>11.79</v>
      </c>
      <c r="P11" s="58">
        <v>15.489000000000001</v>
      </c>
      <c r="Q11" s="58">
        <v>128.06899999999999</v>
      </c>
      <c r="R11" s="58">
        <v>69.872</v>
      </c>
      <c r="S11" s="58">
        <v>58.197000000000003</v>
      </c>
      <c r="T11" s="58">
        <v>106.247</v>
      </c>
      <c r="U11" s="58">
        <v>63.631999999999998</v>
      </c>
      <c r="V11" s="58">
        <v>42.615000000000002</v>
      </c>
      <c r="W11" s="58">
        <v>21.821999999999999</v>
      </c>
      <c r="X11" s="58">
        <v>6.24</v>
      </c>
      <c r="Y11" s="58">
        <v>15.582000000000001</v>
      </c>
      <c r="Z11" s="58">
        <v>10.971</v>
      </c>
      <c r="AA11" s="58">
        <v>6.2309999999999999</v>
      </c>
      <c r="AB11" s="58">
        <v>4.7389999999999999</v>
      </c>
      <c r="AC11" s="58">
        <v>1.93</v>
      </c>
      <c r="AD11" s="58">
        <v>1.39</v>
      </c>
      <c r="AE11" s="58">
        <v>0.54</v>
      </c>
      <c r="AF11" s="58">
        <v>1.329</v>
      </c>
      <c r="AG11" s="58">
        <v>1.129</v>
      </c>
      <c r="AH11" s="58">
        <v>0.2</v>
      </c>
      <c r="AI11" s="58">
        <v>0.76100000000000001</v>
      </c>
      <c r="AJ11" s="58">
        <v>0.56100000000000005</v>
      </c>
      <c r="AK11" s="58">
        <v>0.2</v>
      </c>
      <c r="AL11" s="58">
        <v>0.56799999999999995</v>
      </c>
      <c r="AM11" s="58">
        <v>0.56799999999999995</v>
      </c>
      <c r="AN11" s="58">
        <v>0</v>
      </c>
      <c r="AO11" s="58">
        <v>0.60099999999999998</v>
      </c>
      <c r="AP11" s="58">
        <v>0.26200000000000001</v>
      </c>
      <c r="AQ11" s="58">
        <v>0.34</v>
      </c>
      <c r="AR11" s="58">
        <v>10.131</v>
      </c>
      <c r="AS11" s="58">
        <v>5.5709999999999997</v>
      </c>
      <c r="AT11" s="58">
        <v>4.5599999999999996</v>
      </c>
      <c r="AU11" s="58">
        <v>5.819</v>
      </c>
      <c r="AV11" s="58">
        <v>3.9860000000000002</v>
      </c>
      <c r="AW11" s="58">
        <v>1.833</v>
      </c>
      <c r="AX11" s="58">
        <v>4.3129999999999997</v>
      </c>
      <c r="AY11" s="58">
        <v>1.585</v>
      </c>
      <c r="AZ11" s="58">
        <v>2.7280000000000002</v>
      </c>
      <c r="BA11" s="58">
        <v>6.5810000000000004</v>
      </c>
      <c r="BB11" s="58">
        <v>4.6459999999999999</v>
      </c>
      <c r="BC11" s="58">
        <v>1.9339999999999999</v>
      </c>
      <c r="BD11" s="58">
        <v>4.3899999999999997</v>
      </c>
      <c r="BE11" s="58">
        <v>1.585</v>
      </c>
      <c r="BF11" s="58">
        <v>2.8050000000000002</v>
      </c>
      <c r="BG11" s="58">
        <v>5.0739999999999998</v>
      </c>
      <c r="BH11" s="58">
        <v>2.1459999999999999</v>
      </c>
      <c r="BI11" s="58">
        <v>2.9279999999999999</v>
      </c>
      <c r="BJ11" s="58">
        <v>214.91499999999999</v>
      </c>
      <c r="BK11" s="58">
        <v>111.736</v>
      </c>
      <c r="BL11" s="58">
        <v>103.18</v>
      </c>
      <c r="BM11" s="58">
        <v>159.71899999999999</v>
      </c>
      <c r="BN11" s="58">
        <v>92.546999999999997</v>
      </c>
      <c r="BO11" s="58">
        <v>67.171000000000006</v>
      </c>
      <c r="BP11" s="58">
        <v>55.195999999999998</v>
      </c>
      <c r="BQ11" s="58">
        <v>19.187999999999999</v>
      </c>
      <c r="BR11" s="58">
        <v>36.008000000000003</v>
      </c>
      <c r="BS11" s="58">
        <v>26.385000000000002</v>
      </c>
      <c r="BT11" s="58">
        <v>16.277999999999999</v>
      </c>
      <c r="BU11" s="58">
        <v>10.106999999999999</v>
      </c>
      <c r="BV11" s="58">
        <v>5.95</v>
      </c>
      <c r="BW11" s="58">
        <v>3.2639999999999998</v>
      </c>
      <c r="BX11" s="58">
        <v>2.6850000000000001</v>
      </c>
      <c r="BY11" s="58">
        <v>2.56</v>
      </c>
      <c r="BZ11" s="58">
        <v>1.68</v>
      </c>
      <c r="CA11" s="58">
        <v>0.88</v>
      </c>
      <c r="CB11" s="58">
        <v>0.58399999999999996</v>
      </c>
      <c r="CC11" s="58">
        <v>0.58399999999999996</v>
      </c>
      <c r="CD11" s="58">
        <v>0</v>
      </c>
      <c r="CE11" s="58">
        <v>1.9770000000000001</v>
      </c>
      <c r="CF11" s="58">
        <v>1.097</v>
      </c>
      <c r="CG11" s="58">
        <v>0.88</v>
      </c>
      <c r="CH11" s="58">
        <v>3.3889999999999998</v>
      </c>
      <c r="CI11" s="58">
        <v>1.5840000000000001</v>
      </c>
      <c r="CJ11" s="58">
        <v>1.8049999999999999</v>
      </c>
      <c r="CK11" s="58">
        <v>23.001999999999999</v>
      </c>
      <c r="CL11" s="58">
        <v>14.087</v>
      </c>
      <c r="CM11" s="58">
        <v>8.9149999999999991</v>
      </c>
      <c r="CN11" s="58">
        <v>8.9</v>
      </c>
      <c r="CO11" s="58">
        <v>6.6859999999999999</v>
      </c>
      <c r="CP11" s="58">
        <v>2.214</v>
      </c>
      <c r="CQ11" s="58">
        <v>14.102</v>
      </c>
      <c r="CR11" s="58">
        <v>7.4009999999999998</v>
      </c>
      <c r="CS11" s="58">
        <v>6.7009999999999996</v>
      </c>
      <c r="CT11" s="58">
        <v>11.032999999999999</v>
      </c>
      <c r="CU11" s="58">
        <v>7.9390000000000001</v>
      </c>
      <c r="CV11" s="58">
        <v>3.0939999999999999</v>
      </c>
      <c r="CW11" s="58">
        <v>15.352</v>
      </c>
      <c r="CX11" s="58">
        <v>8.3379999999999992</v>
      </c>
      <c r="CY11" s="58">
        <v>7.0129999999999999</v>
      </c>
      <c r="CZ11" s="58">
        <v>14.686</v>
      </c>
      <c r="DA11" s="58">
        <v>7.9850000000000003</v>
      </c>
      <c r="DB11" s="58">
        <v>6.7009999999999996</v>
      </c>
    </row>
    <row r="12" spans="1:106">
      <c r="A12" s="5">
        <v>41852</v>
      </c>
      <c r="B12" s="58">
        <v>10.709</v>
      </c>
      <c r="C12" s="58">
        <v>8.2159999999999993</v>
      </c>
      <c r="D12" s="58">
        <v>2.4929999999999999</v>
      </c>
      <c r="E12" s="58">
        <v>26.620999999999999</v>
      </c>
      <c r="F12" s="58">
        <v>10.683999999999999</v>
      </c>
      <c r="G12" s="58">
        <v>15.936999999999999</v>
      </c>
      <c r="H12" s="58">
        <v>12.414</v>
      </c>
      <c r="I12" s="58">
        <v>9.4469999999999992</v>
      </c>
      <c r="J12" s="58">
        <v>2.968</v>
      </c>
      <c r="K12" s="58">
        <v>28.489000000000001</v>
      </c>
      <c r="L12" s="58">
        <v>11.095000000000001</v>
      </c>
      <c r="M12" s="58">
        <v>17.393999999999998</v>
      </c>
      <c r="N12" s="58">
        <v>28.48</v>
      </c>
      <c r="O12" s="58">
        <v>12.045999999999999</v>
      </c>
      <c r="P12" s="58">
        <v>16.434000000000001</v>
      </c>
      <c r="Q12" s="58">
        <v>130.94800000000001</v>
      </c>
      <c r="R12" s="58">
        <v>71.180000000000007</v>
      </c>
      <c r="S12" s="58">
        <v>59.768000000000001</v>
      </c>
      <c r="T12" s="58">
        <v>108.122</v>
      </c>
      <c r="U12" s="58">
        <v>65.290999999999997</v>
      </c>
      <c r="V12" s="58">
        <v>42.83</v>
      </c>
      <c r="W12" s="58">
        <v>22.826000000000001</v>
      </c>
      <c r="X12" s="58">
        <v>5.8890000000000002</v>
      </c>
      <c r="Y12" s="58">
        <v>16.937999999999999</v>
      </c>
      <c r="Z12" s="58">
        <v>12.065</v>
      </c>
      <c r="AA12" s="58">
        <v>7.165</v>
      </c>
      <c r="AB12" s="58">
        <v>4.9000000000000004</v>
      </c>
      <c r="AC12" s="58">
        <v>2.04</v>
      </c>
      <c r="AD12" s="58">
        <v>1.36</v>
      </c>
      <c r="AE12" s="58">
        <v>0.68</v>
      </c>
      <c r="AF12" s="58">
        <v>1.288</v>
      </c>
      <c r="AG12" s="58">
        <v>1.022</v>
      </c>
      <c r="AH12" s="58">
        <v>0.26600000000000001</v>
      </c>
      <c r="AI12" s="58">
        <v>0.57299999999999995</v>
      </c>
      <c r="AJ12" s="58">
        <v>0.45500000000000002</v>
      </c>
      <c r="AK12" s="58">
        <v>0.11700000000000001</v>
      </c>
      <c r="AL12" s="58">
        <v>0.71499999999999997</v>
      </c>
      <c r="AM12" s="58">
        <v>0.56599999999999995</v>
      </c>
      <c r="AN12" s="58">
        <v>0.14899999999999999</v>
      </c>
      <c r="AO12" s="58">
        <v>0.752</v>
      </c>
      <c r="AP12" s="58">
        <v>0.33800000000000002</v>
      </c>
      <c r="AQ12" s="58">
        <v>0.41399999999999998</v>
      </c>
      <c r="AR12" s="58">
        <v>10.523</v>
      </c>
      <c r="AS12" s="58">
        <v>6.093</v>
      </c>
      <c r="AT12" s="58">
        <v>4.43</v>
      </c>
      <c r="AU12" s="58">
        <v>6.1779999999999999</v>
      </c>
      <c r="AV12" s="58">
        <v>4.375</v>
      </c>
      <c r="AW12" s="58">
        <v>1.802</v>
      </c>
      <c r="AX12" s="58">
        <v>4.3449999999999998</v>
      </c>
      <c r="AY12" s="58">
        <v>1.7170000000000001</v>
      </c>
      <c r="AZ12" s="58">
        <v>2.6269999999999998</v>
      </c>
      <c r="BA12" s="58">
        <v>7.1790000000000003</v>
      </c>
      <c r="BB12" s="58">
        <v>5.1100000000000003</v>
      </c>
      <c r="BC12" s="58">
        <v>2.069</v>
      </c>
      <c r="BD12" s="58">
        <v>4.8869999999999996</v>
      </c>
      <c r="BE12" s="58">
        <v>2.0550000000000002</v>
      </c>
      <c r="BF12" s="58">
        <v>2.831</v>
      </c>
      <c r="BG12" s="58">
        <v>4.9180000000000001</v>
      </c>
      <c r="BH12" s="58">
        <v>2.173</v>
      </c>
      <c r="BI12" s="58">
        <v>2.7450000000000001</v>
      </c>
      <c r="BJ12" s="58">
        <v>209.845</v>
      </c>
      <c r="BK12" s="58">
        <v>107.574</v>
      </c>
      <c r="BL12" s="58">
        <v>102.27200000000001</v>
      </c>
      <c r="BM12" s="58">
        <v>156.35400000000001</v>
      </c>
      <c r="BN12" s="58">
        <v>89.27</v>
      </c>
      <c r="BO12" s="58">
        <v>67.084000000000003</v>
      </c>
      <c r="BP12" s="58">
        <v>53.491</v>
      </c>
      <c r="BQ12" s="58">
        <v>18.303999999999998</v>
      </c>
      <c r="BR12" s="58">
        <v>35.186999999999998</v>
      </c>
      <c r="BS12" s="58">
        <v>25.135999999999999</v>
      </c>
      <c r="BT12" s="58">
        <v>13.454000000000001</v>
      </c>
      <c r="BU12" s="58">
        <v>11.682</v>
      </c>
      <c r="BV12" s="58">
        <v>3.8849999999999998</v>
      </c>
      <c r="BW12" s="58">
        <v>2.8490000000000002</v>
      </c>
      <c r="BX12" s="58">
        <v>1.036</v>
      </c>
      <c r="BY12" s="58">
        <v>2.024</v>
      </c>
      <c r="BZ12" s="58">
        <v>1.5629999999999999</v>
      </c>
      <c r="CA12" s="58">
        <v>0.46100000000000002</v>
      </c>
      <c r="CB12" s="58">
        <v>0.91200000000000003</v>
      </c>
      <c r="CC12" s="58">
        <v>0.58899999999999997</v>
      </c>
      <c r="CD12" s="58">
        <v>0.32300000000000001</v>
      </c>
      <c r="CE12" s="58">
        <v>1.1120000000000001</v>
      </c>
      <c r="CF12" s="58">
        <v>0.97299999999999998</v>
      </c>
      <c r="CG12" s="58">
        <v>0.13800000000000001</v>
      </c>
      <c r="CH12" s="58">
        <v>1.861</v>
      </c>
      <c r="CI12" s="58">
        <v>1.286</v>
      </c>
      <c r="CJ12" s="58">
        <v>0.57499999999999996</v>
      </c>
      <c r="CK12" s="58">
        <v>22.431000000000001</v>
      </c>
      <c r="CL12" s="58">
        <v>11.396000000000001</v>
      </c>
      <c r="CM12" s="58">
        <v>11.035</v>
      </c>
      <c r="CN12" s="58">
        <v>8.5579999999999998</v>
      </c>
      <c r="CO12" s="58">
        <v>5.7729999999999997</v>
      </c>
      <c r="CP12" s="58">
        <v>2.7850000000000001</v>
      </c>
      <c r="CQ12" s="58">
        <v>13.872999999999999</v>
      </c>
      <c r="CR12" s="58">
        <v>5.6230000000000002</v>
      </c>
      <c r="CS12" s="58">
        <v>8.25</v>
      </c>
      <c r="CT12" s="58">
        <v>10.337</v>
      </c>
      <c r="CU12" s="58">
        <v>7.09</v>
      </c>
      <c r="CV12" s="58">
        <v>3.246</v>
      </c>
      <c r="CW12" s="58">
        <v>14.798999999999999</v>
      </c>
      <c r="CX12" s="58">
        <v>6.3639999999999999</v>
      </c>
      <c r="CY12" s="58">
        <v>8.4359999999999999</v>
      </c>
      <c r="CZ12" s="58">
        <v>14.786</v>
      </c>
      <c r="DA12" s="58">
        <v>6.2119999999999997</v>
      </c>
      <c r="DB12" s="58">
        <v>8.5739999999999998</v>
      </c>
    </row>
    <row r="13" spans="1:106">
      <c r="A13" s="5">
        <v>41883</v>
      </c>
      <c r="B13" s="58">
        <v>13.617000000000001</v>
      </c>
      <c r="C13" s="58">
        <v>10.317</v>
      </c>
      <c r="D13" s="58">
        <v>3.3</v>
      </c>
      <c r="E13" s="58">
        <v>24.591999999999999</v>
      </c>
      <c r="F13" s="58">
        <v>9.1560000000000006</v>
      </c>
      <c r="G13" s="58">
        <v>15.436</v>
      </c>
      <c r="H13" s="58">
        <v>15.693</v>
      </c>
      <c r="I13" s="58">
        <v>11.91</v>
      </c>
      <c r="J13" s="58">
        <v>3.7829999999999999</v>
      </c>
      <c r="K13" s="58">
        <v>26.777000000000001</v>
      </c>
      <c r="L13" s="58">
        <v>9.8279999999999994</v>
      </c>
      <c r="M13" s="58">
        <v>16.949000000000002</v>
      </c>
      <c r="N13" s="58">
        <v>26.579000000000001</v>
      </c>
      <c r="O13" s="58">
        <v>10.664999999999999</v>
      </c>
      <c r="P13" s="58">
        <v>15.913</v>
      </c>
      <c r="Q13" s="58">
        <v>128.85300000000001</v>
      </c>
      <c r="R13" s="58">
        <v>69.572999999999993</v>
      </c>
      <c r="S13" s="58">
        <v>59.28</v>
      </c>
      <c r="T13" s="58">
        <v>104.738</v>
      </c>
      <c r="U13" s="58">
        <v>62.634</v>
      </c>
      <c r="V13" s="58">
        <v>42.103999999999999</v>
      </c>
      <c r="W13" s="58">
        <v>24.114999999999998</v>
      </c>
      <c r="X13" s="58">
        <v>6.9390000000000001</v>
      </c>
      <c r="Y13" s="58">
        <v>17.175999999999998</v>
      </c>
      <c r="Z13" s="58">
        <v>12.036</v>
      </c>
      <c r="AA13" s="58">
        <v>6.085</v>
      </c>
      <c r="AB13" s="58">
        <v>5.9509999999999996</v>
      </c>
      <c r="AC13" s="58">
        <v>1.1519999999999999</v>
      </c>
      <c r="AD13" s="58">
        <v>0.61799999999999999</v>
      </c>
      <c r="AE13" s="58">
        <v>0.53400000000000003</v>
      </c>
      <c r="AF13" s="58">
        <v>0.628</v>
      </c>
      <c r="AG13" s="58">
        <v>0.36799999999999999</v>
      </c>
      <c r="AH13" s="58">
        <v>0.26</v>
      </c>
      <c r="AI13" s="58">
        <v>0.219</v>
      </c>
      <c r="AJ13" s="58">
        <v>0.113</v>
      </c>
      <c r="AK13" s="58">
        <v>0.106</v>
      </c>
      <c r="AL13" s="58">
        <v>0.40899999999999997</v>
      </c>
      <c r="AM13" s="58">
        <v>0.254</v>
      </c>
      <c r="AN13" s="58">
        <v>0.154</v>
      </c>
      <c r="AO13" s="58">
        <v>0.52400000000000002</v>
      </c>
      <c r="AP13" s="58">
        <v>0.25</v>
      </c>
      <c r="AQ13" s="58">
        <v>0.27400000000000002</v>
      </c>
      <c r="AR13" s="58">
        <v>11.18</v>
      </c>
      <c r="AS13" s="58">
        <v>5.4669999999999996</v>
      </c>
      <c r="AT13" s="58">
        <v>5.7130000000000001</v>
      </c>
      <c r="AU13" s="58">
        <v>6.2149999999999999</v>
      </c>
      <c r="AV13" s="58">
        <v>3.6869999999999998</v>
      </c>
      <c r="AW13" s="58">
        <v>2.528</v>
      </c>
      <c r="AX13" s="58">
        <v>4.9649999999999999</v>
      </c>
      <c r="AY13" s="58">
        <v>1.78</v>
      </c>
      <c r="AZ13" s="58">
        <v>3.1850000000000001</v>
      </c>
      <c r="BA13" s="58">
        <v>6.6459999999999999</v>
      </c>
      <c r="BB13" s="58">
        <v>4.0549999999999997</v>
      </c>
      <c r="BC13" s="58">
        <v>2.5910000000000002</v>
      </c>
      <c r="BD13" s="58">
        <v>5.39</v>
      </c>
      <c r="BE13" s="58">
        <v>2.0299999999999998</v>
      </c>
      <c r="BF13" s="58">
        <v>3.36</v>
      </c>
      <c r="BG13" s="58">
        <v>5.1840000000000002</v>
      </c>
      <c r="BH13" s="58">
        <v>1.893</v>
      </c>
      <c r="BI13" s="58">
        <v>3.2909999999999999</v>
      </c>
      <c r="BJ13" s="58">
        <v>207.20599999999999</v>
      </c>
      <c r="BK13" s="58">
        <v>105.708</v>
      </c>
      <c r="BL13" s="58">
        <v>101.498</v>
      </c>
      <c r="BM13" s="58">
        <v>153.42400000000001</v>
      </c>
      <c r="BN13" s="58">
        <v>88.322999999999993</v>
      </c>
      <c r="BO13" s="58">
        <v>65.100999999999999</v>
      </c>
      <c r="BP13" s="58">
        <v>53.783000000000001</v>
      </c>
      <c r="BQ13" s="58">
        <v>17.385000000000002</v>
      </c>
      <c r="BR13" s="58">
        <v>36.396999999999998</v>
      </c>
      <c r="BS13" s="58">
        <v>25.497</v>
      </c>
      <c r="BT13" s="58">
        <v>13.538</v>
      </c>
      <c r="BU13" s="58">
        <v>11.96</v>
      </c>
      <c r="BV13" s="58">
        <v>5.3250000000000002</v>
      </c>
      <c r="BW13" s="58">
        <v>2.5470000000000002</v>
      </c>
      <c r="BX13" s="58">
        <v>2.778</v>
      </c>
      <c r="BY13" s="58">
        <v>2.0939999999999999</v>
      </c>
      <c r="BZ13" s="58">
        <v>1.379</v>
      </c>
      <c r="CA13" s="58">
        <v>0.71599999999999997</v>
      </c>
      <c r="CB13" s="58">
        <v>1.5509999999999999</v>
      </c>
      <c r="CC13" s="58">
        <v>1.379</v>
      </c>
      <c r="CD13" s="58">
        <v>0.17199999999999999</v>
      </c>
      <c r="CE13" s="58">
        <v>0.54300000000000004</v>
      </c>
      <c r="CF13" s="58">
        <v>0</v>
      </c>
      <c r="CG13" s="58">
        <v>0.54300000000000004</v>
      </c>
      <c r="CH13" s="58">
        <v>3.2309999999999999</v>
      </c>
      <c r="CI13" s="58">
        <v>1.169</v>
      </c>
      <c r="CJ13" s="58">
        <v>2.0619999999999998</v>
      </c>
      <c r="CK13" s="58">
        <v>22.515000000000001</v>
      </c>
      <c r="CL13" s="58">
        <v>12.173999999999999</v>
      </c>
      <c r="CM13" s="58">
        <v>10.340999999999999</v>
      </c>
      <c r="CN13" s="58">
        <v>9.7100000000000009</v>
      </c>
      <c r="CO13" s="58">
        <v>7.01</v>
      </c>
      <c r="CP13" s="58">
        <v>2.7</v>
      </c>
      <c r="CQ13" s="58">
        <v>12.805</v>
      </c>
      <c r="CR13" s="58">
        <v>5.1639999999999997</v>
      </c>
      <c r="CS13" s="58">
        <v>7.641</v>
      </c>
      <c r="CT13" s="58">
        <v>11.26</v>
      </c>
      <c r="CU13" s="58">
        <v>8.0289999999999999</v>
      </c>
      <c r="CV13" s="58">
        <v>3.23</v>
      </c>
      <c r="CW13" s="58">
        <v>14.238</v>
      </c>
      <c r="CX13" s="58">
        <v>5.508</v>
      </c>
      <c r="CY13" s="58">
        <v>8.73</v>
      </c>
      <c r="CZ13" s="58">
        <v>14.356</v>
      </c>
      <c r="DA13" s="58">
        <v>6.5419999999999998</v>
      </c>
      <c r="DB13" s="58">
        <v>7.8140000000000001</v>
      </c>
    </row>
    <row r="14" spans="1:106">
      <c r="A14" s="5">
        <v>41913</v>
      </c>
      <c r="B14" s="58">
        <v>11.821999999999999</v>
      </c>
      <c r="C14" s="58">
        <v>8.4429999999999996</v>
      </c>
      <c r="D14" s="58">
        <v>3.379</v>
      </c>
      <c r="E14" s="58">
        <v>23.724</v>
      </c>
      <c r="F14" s="58">
        <v>8.2569999999999997</v>
      </c>
      <c r="G14" s="58">
        <v>15.467000000000001</v>
      </c>
      <c r="H14" s="58">
        <v>14.19</v>
      </c>
      <c r="I14" s="58">
        <v>10.465999999999999</v>
      </c>
      <c r="J14" s="58">
        <v>3.7240000000000002</v>
      </c>
      <c r="K14" s="58">
        <v>25.283000000000001</v>
      </c>
      <c r="L14" s="58">
        <v>8.8140000000000001</v>
      </c>
      <c r="M14" s="58">
        <v>16.47</v>
      </c>
      <c r="N14" s="58">
        <v>25.489000000000001</v>
      </c>
      <c r="O14" s="58">
        <v>9.5210000000000008</v>
      </c>
      <c r="P14" s="58">
        <v>15.968999999999999</v>
      </c>
      <c r="Q14" s="58">
        <v>131.36199999999999</v>
      </c>
      <c r="R14" s="58">
        <v>72.093000000000004</v>
      </c>
      <c r="S14" s="58">
        <v>59.268000000000001</v>
      </c>
      <c r="T14" s="58">
        <v>106.99299999999999</v>
      </c>
      <c r="U14" s="58">
        <v>64.725999999999999</v>
      </c>
      <c r="V14" s="58">
        <v>42.267000000000003</v>
      </c>
      <c r="W14" s="58">
        <v>24.369</v>
      </c>
      <c r="X14" s="58">
        <v>7.367</v>
      </c>
      <c r="Y14" s="58">
        <v>17.001000000000001</v>
      </c>
      <c r="Z14" s="58">
        <v>6.92</v>
      </c>
      <c r="AA14" s="58">
        <v>3.9630000000000001</v>
      </c>
      <c r="AB14" s="58">
        <v>2.9569999999999999</v>
      </c>
      <c r="AC14" s="58">
        <v>1.1279999999999999</v>
      </c>
      <c r="AD14" s="58">
        <v>0.747</v>
      </c>
      <c r="AE14" s="58">
        <v>0.38100000000000001</v>
      </c>
      <c r="AF14" s="58">
        <v>0.75800000000000001</v>
      </c>
      <c r="AG14" s="58">
        <v>0.67100000000000004</v>
      </c>
      <c r="AH14" s="58">
        <v>8.6999999999999994E-2</v>
      </c>
      <c r="AI14" s="58">
        <v>0.55900000000000005</v>
      </c>
      <c r="AJ14" s="58">
        <v>0.47199999999999998</v>
      </c>
      <c r="AK14" s="58">
        <v>8.6999999999999994E-2</v>
      </c>
      <c r="AL14" s="58">
        <v>0.19900000000000001</v>
      </c>
      <c r="AM14" s="58">
        <v>0.19900000000000001</v>
      </c>
      <c r="AN14" s="58">
        <v>0</v>
      </c>
      <c r="AO14" s="58">
        <v>0.37</v>
      </c>
      <c r="AP14" s="58">
        <v>7.5999999999999998E-2</v>
      </c>
      <c r="AQ14" s="58">
        <v>0.29399999999999998</v>
      </c>
      <c r="AR14" s="58">
        <v>5.8460000000000001</v>
      </c>
      <c r="AS14" s="58">
        <v>3.27</v>
      </c>
      <c r="AT14" s="58">
        <v>2.5760000000000001</v>
      </c>
      <c r="AU14" s="58">
        <v>3.0390000000000001</v>
      </c>
      <c r="AV14" s="58">
        <v>2.4590000000000001</v>
      </c>
      <c r="AW14" s="58">
        <v>0.57999999999999996</v>
      </c>
      <c r="AX14" s="58">
        <v>2.806</v>
      </c>
      <c r="AY14" s="58">
        <v>0.81</v>
      </c>
      <c r="AZ14" s="58">
        <v>1.996</v>
      </c>
      <c r="BA14" s="58">
        <v>3.7429999999999999</v>
      </c>
      <c r="BB14" s="58">
        <v>3.077</v>
      </c>
      <c r="BC14" s="58">
        <v>0.66700000000000004</v>
      </c>
      <c r="BD14" s="58">
        <v>3.1760000000000002</v>
      </c>
      <c r="BE14" s="58">
        <v>0.88600000000000001</v>
      </c>
      <c r="BF14" s="58">
        <v>2.29</v>
      </c>
      <c r="BG14" s="58">
        <v>3.3650000000000002</v>
      </c>
      <c r="BH14" s="58">
        <v>1.2829999999999999</v>
      </c>
      <c r="BI14" s="58">
        <v>2.0830000000000002</v>
      </c>
      <c r="BJ14" s="58">
        <v>206.4</v>
      </c>
      <c r="BK14" s="58">
        <v>104.19199999999999</v>
      </c>
      <c r="BL14" s="58">
        <v>102.208</v>
      </c>
      <c r="BM14" s="58">
        <v>154.81700000000001</v>
      </c>
      <c r="BN14" s="58">
        <v>88.259</v>
      </c>
      <c r="BO14" s="58">
        <v>66.558000000000007</v>
      </c>
      <c r="BP14" s="58">
        <v>51.582000000000001</v>
      </c>
      <c r="BQ14" s="58">
        <v>15.932</v>
      </c>
      <c r="BR14" s="58">
        <v>35.65</v>
      </c>
      <c r="BS14" s="58">
        <v>24.965</v>
      </c>
      <c r="BT14" s="58">
        <v>12.917999999999999</v>
      </c>
      <c r="BU14" s="58">
        <v>12.048</v>
      </c>
      <c r="BV14" s="58">
        <v>4.2809999999999997</v>
      </c>
      <c r="BW14" s="58">
        <v>1.1859999999999999</v>
      </c>
      <c r="BX14" s="58">
        <v>3.0950000000000002</v>
      </c>
      <c r="BY14" s="58">
        <v>1.534</v>
      </c>
      <c r="BZ14" s="58">
        <v>0.86399999999999999</v>
      </c>
      <c r="CA14" s="58">
        <v>0.66900000000000004</v>
      </c>
      <c r="CB14" s="58">
        <v>0.97499999999999998</v>
      </c>
      <c r="CC14" s="58">
        <v>0.47699999999999998</v>
      </c>
      <c r="CD14" s="58">
        <v>0.498</v>
      </c>
      <c r="CE14" s="58">
        <v>0.55900000000000005</v>
      </c>
      <c r="CF14" s="58">
        <v>0.38700000000000001</v>
      </c>
      <c r="CG14" s="58">
        <v>0.17100000000000001</v>
      </c>
      <c r="CH14" s="58">
        <v>2.7480000000000002</v>
      </c>
      <c r="CI14" s="58">
        <v>0.32200000000000001</v>
      </c>
      <c r="CJ14" s="58">
        <v>2.4260000000000002</v>
      </c>
      <c r="CK14" s="58">
        <v>22.664999999999999</v>
      </c>
      <c r="CL14" s="58">
        <v>12.273999999999999</v>
      </c>
      <c r="CM14" s="58">
        <v>10.391</v>
      </c>
      <c r="CN14" s="58">
        <v>9.3309999999999995</v>
      </c>
      <c r="CO14" s="58">
        <v>6.859</v>
      </c>
      <c r="CP14" s="58">
        <v>2.4710000000000001</v>
      </c>
      <c r="CQ14" s="58">
        <v>13.334</v>
      </c>
      <c r="CR14" s="58">
        <v>5.415</v>
      </c>
      <c r="CS14" s="58">
        <v>7.9189999999999996</v>
      </c>
      <c r="CT14" s="58">
        <v>10.643000000000001</v>
      </c>
      <c r="CU14" s="58">
        <v>7.5030000000000001</v>
      </c>
      <c r="CV14" s="58">
        <v>3.141</v>
      </c>
      <c r="CW14" s="58">
        <v>14.321999999999999</v>
      </c>
      <c r="CX14" s="58">
        <v>5.415</v>
      </c>
      <c r="CY14" s="58">
        <v>8.907</v>
      </c>
      <c r="CZ14" s="58">
        <v>14.308999999999999</v>
      </c>
      <c r="DA14" s="58">
        <v>5.8920000000000003</v>
      </c>
      <c r="DB14" s="58">
        <v>8.4169999999999998</v>
      </c>
    </row>
    <row r="15" spans="1:106">
      <c r="A15" s="5">
        <v>41944</v>
      </c>
      <c r="B15" s="58">
        <v>12.266999999999999</v>
      </c>
      <c r="C15" s="58">
        <v>8.8279999999999994</v>
      </c>
      <c r="D15" s="58">
        <v>3.4380000000000002</v>
      </c>
      <c r="E15" s="58">
        <v>26.414000000000001</v>
      </c>
      <c r="F15" s="58">
        <v>10.222</v>
      </c>
      <c r="G15" s="58">
        <v>16.193000000000001</v>
      </c>
      <c r="H15" s="58">
        <v>13.476000000000001</v>
      </c>
      <c r="I15" s="58">
        <v>9.59</v>
      </c>
      <c r="J15" s="58">
        <v>3.8860000000000001</v>
      </c>
      <c r="K15" s="58">
        <v>28.376999999999999</v>
      </c>
      <c r="L15" s="58">
        <v>10.853</v>
      </c>
      <c r="M15" s="58">
        <v>17.523</v>
      </c>
      <c r="N15" s="58">
        <v>27.533999999999999</v>
      </c>
      <c r="O15" s="58">
        <v>10.894</v>
      </c>
      <c r="P15" s="58">
        <v>16.64</v>
      </c>
      <c r="Q15" s="58">
        <v>132.07900000000001</v>
      </c>
      <c r="R15" s="58">
        <v>71.855000000000004</v>
      </c>
      <c r="S15" s="58">
        <v>60.225000000000001</v>
      </c>
      <c r="T15" s="58">
        <v>109.624</v>
      </c>
      <c r="U15" s="58">
        <v>65.396000000000001</v>
      </c>
      <c r="V15" s="58">
        <v>44.228000000000002</v>
      </c>
      <c r="W15" s="58">
        <v>22.454999999999998</v>
      </c>
      <c r="X15" s="58">
        <v>6.4589999999999996</v>
      </c>
      <c r="Y15" s="58">
        <v>15.996</v>
      </c>
      <c r="Z15" s="58">
        <v>12.396000000000001</v>
      </c>
      <c r="AA15" s="58">
        <v>6.5960000000000001</v>
      </c>
      <c r="AB15" s="58">
        <v>5.8</v>
      </c>
      <c r="AC15" s="58">
        <v>1.6879999999999999</v>
      </c>
      <c r="AD15" s="58">
        <v>0.40300000000000002</v>
      </c>
      <c r="AE15" s="58">
        <v>1.2849999999999999</v>
      </c>
      <c r="AF15" s="58">
        <v>0.64500000000000002</v>
      </c>
      <c r="AG15" s="58">
        <v>0.40300000000000002</v>
      </c>
      <c r="AH15" s="58">
        <v>0.24199999999999999</v>
      </c>
      <c r="AI15" s="58">
        <v>0.307</v>
      </c>
      <c r="AJ15" s="58">
        <v>0.14499999999999999</v>
      </c>
      <c r="AK15" s="58">
        <v>0.16200000000000001</v>
      </c>
      <c r="AL15" s="58">
        <v>0.33800000000000002</v>
      </c>
      <c r="AM15" s="58">
        <v>0.25800000000000001</v>
      </c>
      <c r="AN15" s="58">
        <v>0.08</v>
      </c>
      <c r="AO15" s="58">
        <v>1.0429999999999999</v>
      </c>
      <c r="AP15" s="58">
        <v>0</v>
      </c>
      <c r="AQ15" s="58">
        <v>1.0429999999999999</v>
      </c>
      <c r="AR15" s="58">
        <v>11.4</v>
      </c>
      <c r="AS15" s="58">
        <v>6.3630000000000004</v>
      </c>
      <c r="AT15" s="58">
        <v>5.0369999999999999</v>
      </c>
      <c r="AU15" s="58">
        <v>5.6150000000000002</v>
      </c>
      <c r="AV15" s="58">
        <v>4.1609999999999996</v>
      </c>
      <c r="AW15" s="58">
        <v>1.454</v>
      </c>
      <c r="AX15" s="58">
        <v>5.7850000000000001</v>
      </c>
      <c r="AY15" s="58">
        <v>2.202</v>
      </c>
      <c r="AZ15" s="58">
        <v>3.5840000000000001</v>
      </c>
      <c r="BA15" s="58">
        <v>6.01</v>
      </c>
      <c r="BB15" s="58">
        <v>4.3949999999999996</v>
      </c>
      <c r="BC15" s="58">
        <v>1.615</v>
      </c>
      <c r="BD15" s="58">
        <v>6.3860000000000001</v>
      </c>
      <c r="BE15" s="58">
        <v>2.202</v>
      </c>
      <c r="BF15" s="58">
        <v>4.1849999999999996</v>
      </c>
      <c r="BG15" s="58">
        <v>6.0919999999999996</v>
      </c>
      <c r="BH15" s="58">
        <v>2.347</v>
      </c>
      <c r="BI15" s="58">
        <v>3.7450000000000001</v>
      </c>
      <c r="BJ15" s="58">
        <v>212.67</v>
      </c>
      <c r="BK15" s="58">
        <v>107.337</v>
      </c>
      <c r="BL15" s="58">
        <v>105.33199999999999</v>
      </c>
      <c r="BM15" s="58">
        <v>155.80500000000001</v>
      </c>
      <c r="BN15" s="58">
        <v>89.457999999999998</v>
      </c>
      <c r="BO15" s="58">
        <v>66.347999999999999</v>
      </c>
      <c r="BP15" s="58">
        <v>56.863999999999997</v>
      </c>
      <c r="BQ15" s="58">
        <v>17.879000000000001</v>
      </c>
      <c r="BR15" s="58">
        <v>38.984999999999999</v>
      </c>
      <c r="BS15" s="58">
        <v>26.509</v>
      </c>
      <c r="BT15" s="58">
        <v>14.115</v>
      </c>
      <c r="BU15" s="58">
        <v>12.394</v>
      </c>
      <c r="BV15" s="58">
        <v>5.1890000000000001</v>
      </c>
      <c r="BW15" s="58">
        <v>2.2690000000000001</v>
      </c>
      <c r="BX15" s="58">
        <v>2.92</v>
      </c>
      <c r="BY15" s="58">
        <v>2.2069999999999999</v>
      </c>
      <c r="BZ15" s="58">
        <v>1.512</v>
      </c>
      <c r="CA15" s="58">
        <v>0.69499999999999995</v>
      </c>
      <c r="CB15" s="58">
        <v>1.36</v>
      </c>
      <c r="CC15" s="58">
        <v>1</v>
      </c>
      <c r="CD15" s="58">
        <v>0.36</v>
      </c>
      <c r="CE15" s="58">
        <v>0.84699999999999998</v>
      </c>
      <c r="CF15" s="58">
        <v>0.51200000000000001</v>
      </c>
      <c r="CG15" s="58">
        <v>0.33500000000000002</v>
      </c>
      <c r="CH15" s="58">
        <v>2.9820000000000002</v>
      </c>
      <c r="CI15" s="58">
        <v>0.75700000000000001</v>
      </c>
      <c r="CJ15" s="58">
        <v>2.2250000000000001</v>
      </c>
      <c r="CK15" s="58">
        <v>24.478999999999999</v>
      </c>
      <c r="CL15" s="58">
        <v>13.295</v>
      </c>
      <c r="CM15" s="58">
        <v>11.183</v>
      </c>
      <c r="CN15" s="58">
        <v>10.048</v>
      </c>
      <c r="CO15" s="58">
        <v>7.7210000000000001</v>
      </c>
      <c r="CP15" s="58">
        <v>2.3260000000000001</v>
      </c>
      <c r="CQ15" s="58">
        <v>14.430999999999999</v>
      </c>
      <c r="CR15" s="58">
        <v>5.5739999999999998</v>
      </c>
      <c r="CS15" s="58">
        <v>8.8569999999999993</v>
      </c>
      <c r="CT15" s="58">
        <v>11.412000000000001</v>
      </c>
      <c r="CU15" s="58">
        <v>8.5410000000000004</v>
      </c>
      <c r="CV15" s="58">
        <v>2.871</v>
      </c>
      <c r="CW15" s="58">
        <v>15.097</v>
      </c>
      <c r="CX15" s="58">
        <v>5.5739999999999998</v>
      </c>
      <c r="CY15" s="58">
        <v>9.5229999999999997</v>
      </c>
      <c r="CZ15" s="58">
        <v>15.791</v>
      </c>
      <c r="DA15" s="58">
        <v>6.5739999999999998</v>
      </c>
      <c r="DB15" s="58">
        <v>9.2170000000000005</v>
      </c>
    </row>
    <row r="16" spans="1:106">
      <c r="A16" s="5">
        <v>41974</v>
      </c>
      <c r="B16" s="58">
        <v>12.385999999999999</v>
      </c>
      <c r="C16" s="58">
        <v>9.2349999999999994</v>
      </c>
      <c r="D16" s="58">
        <v>3.1509999999999998</v>
      </c>
      <c r="E16" s="58">
        <v>24.314</v>
      </c>
      <c r="F16" s="58">
        <v>8.6470000000000002</v>
      </c>
      <c r="G16" s="58">
        <v>15.667</v>
      </c>
      <c r="H16" s="58">
        <v>14.025</v>
      </c>
      <c r="I16" s="58">
        <v>10.635999999999999</v>
      </c>
      <c r="J16" s="58">
        <v>3.3889999999999998</v>
      </c>
      <c r="K16" s="58">
        <v>25.898</v>
      </c>
      <c r="L16" s="58">
        <v>9.4640000000000004</v>
      </c>
      <c r="M16" s="58">
        <v>16.434000000000001</v>
      </c>
      <c r="N16" s="58">
        <v>25.306999999999999</v>
      </c>
      <c r="O16" s="58">
        <v>9.64</v>
      </c>
      <c r="P16" s="58">
        <v>15.667</v>
      </c>
      <c r="Q16" s="58">
        <v>131.56800000000001</v>
      </c>
      <c r="R16" s="58">
        <v>70.548000000000002</v>
      </c>
      <c r="S16" s="58">
        <v>61.02</v>
      </c>
      <c r="T16" s="58">
        <v>107.229</v>
      </c>
      <c r="U16" s="58">
        <v>63.039000000000001</v>
      </c>
      <c r="V16" s="58">
        <v>44.19</v>
      </c>
      <c r="W16" s="58">
        <v>24.338999999999999</v>
      </c>
      <c r="X16" s="58">
        <v>7.5090000000000003</v>
      </c>
      <c r="Y16" s="58">
        <v>16.829999999999998</v>
      </c>
      <c r="Z16" s="58">
        <v>10.052</v>
      </c>
      <c r="AA16" s="58">
        <v>5.8689999999999998</v>
      </c>
      <c r="AB16" s="58">
        <v>4.1829999999999998</v>
      </c>
      <c r="AC16" s="58">
        <v>0.59199999999999997</v>
      </c>
      <c r="AD16" s="58">
        <v>0.309</v>
      </c>
      <c r="AE16" s="58">
        <v>0.28299999999999997</v>
      </c>
      <c r="AF16" s="58">
        <v>0.38</v>
      </c>
      <c r="AG16" s="58">
        <v>0.309</v>
      </c>
      <c r="AH16" s="58">
        <v>7.0999999999999994E-2</v>
      </c>
      <c r="AI16" s="58">
        <v>0.309</v>
      </c>
      <c r="AJ16" s="58">
        <v>0.309</v>
      </c>
      <c r="AK16" s="58">
        <v>0</v>
      </c>
      <c r="AL16" s="58">
        <v>7.0999999999999994E-2</v>
      </c>
      <c r="AM16" s="58">
        <v>0</v>
      </c>
      <c r="AN16" s="58">
        <v>7.0999999999999994E-2</v>
      </c>
      <c r="AO16" s="58">
        <v>0.21199999999999999</v>
      </c>
      <c r="AP16" s="58">
        <v>0</v>
      </c>
      <c r="AQ16" s="58">
        <v>0.21199999999999999</v>
      </c>
      <c r="AR16" s="58">
        <v>9.6630000000000003</v>
      </c>
      <c r="AS16" s="58">
        <v>5.6989999999999998</v>
      </c>
      <c r="AT16" s="58">
        <v>3.9649999999999999</v>
      </c>
      <c r="AU16" s="58">
        <v>5.1349999999999998</v>
      </c>
      <c r="AV16" s="58">
        <v>3.8519999999999999</v>
      </c>
      <c r="AW16" s="58">
        <v>1.2829999999999999</v>
      </c>
      <c r="AX16" s="58">
        <v>4.5289999999999999</v>
      </c>
      <c r="AY16" s="58">
        <v>1.847</v>
      </c>
      <c r="AZ16" s="58">
        <v>2.681</v>
      </c>
      <c r="BA16" s="58">
        <v>5.3760000000000003</v>
      </c>
      <c r="BB16" s="58">
        <v>4.0220000000000002</v>
      </c>
      <c r="BC16" s="58">
        <v>1.3540000000000001</v>
      </c>
      <c r="BD16" s="58">
        <v>4.6760000000000002</v>
      </c>
      <c r="BE16" s="58">
        <v>1.847</v>
      </c>
      <c r="BF16" s="58">
        <v>2.8290000000000002</v>
      </c>
      <c r="BG16" s="58">
        <v>4.8369999999999997</v>
      </c>
      <c r="BH16" s="58">
        <v>2.1560000000000001</v>
      </c>
      <c r="BI16" s="58">
        <v>2.681</v>
      </c>
      <c r="BJ16" s="58">
        <v>213.69900000000001</v>
      </c>
      <c r="BK16" s="58">
        <v>110.01</v>
      </c>
      <c r="BL16" s="58">
        <v>103.68899999999999</v>
      </c>
      <c r="BM16" s="58">
        <v>157.88200000000001</v>
      </c>
      <c r="BN16" s="58">
        <v>92.914000000000001</v>
      </c>
      <c r="BO16" s="58">
        <v>64.968000000000004</v>
      </c>
      <c r="BP16" s="58">
        <v>55.817</v>
      </c>
      <c r="BQ16" s="58">
        <v>17.096</v>
      </c>
      <c r="BR16" s="58">
        <v>38.720999999999997</v>
      </c>
      <c r="BS16" s="58">
        <v>30.475000000000001</v>
      </c>
      <c r="BT16" s="58">
        <v>16.376000000000001</v>
      </c>
      <c r="BU16" s="58">
        <v>14.099</v>
      </c>
      <c r="BV16" s="58">
        <v>5.51</v>
      </c>
      <c r="BW16" s="58">
        <v>2.5129999999999999</v>
      </c>
      <c r="BX16" s="58">
        <v>2.996</v>
      </c>
      <c r="BY16" s="58">
        <v>1.708</v>
      </c>
      <c r="BZ16" s="58">
        <v>1.145</v>
      </c>
      <c r="CA16" s="58">
        <v>0.56399999999999995</v>
      </c>
      <c r="CB16" s="58">
        <v>0.66100000000000003</v>
      </c>
      <c r="CC16" s="58">
        <v>0.47199999999999998</v>
      </c>
      <c r="CD16" s="58">
        <v>0.189</v>
      </c>
      <c r="CE16" s="58">
        <v>1.048</v>
      </c>
      <c r="CF16" s="58">
        <v>0.67300000000000004</v>
      </c>
      <c r="CG16" s="58">
        <v>0.375</v>
      </c>
      <c r="CH16" s="58">
        <v>3.8010000000000002</v>
      </c>
      <c r="CI16" s="58">
        <v>1.369</v>
      </c>
      <c r="CJ16" s="58">
        <v>2.4319999999999999</v>
      </c>
      <c r="CK16" s="58">
        <v>27.545000000000002</v>
      </c>
      <c r="CL16" s="58">
        <v>14.789</v>
      </c>
      <c r="CM16" s="58">
        <v>12.756</v>
      </c>
      <c r="CN16" s="58">
        <v>9.7629999999999999</v>
      </c>
      <c r="CO16" s="58">
        <v>7.1970000000000001</v>
      </c>
      <c r="CP16" s="58">
        <v>2.5659999999999998</v>
      </c>
      <c r="CQ16" s="58">
        <v>17.782</v>
      </c>
      <c r="CR16" s="58">
        <v>7.593</v>
      </c>
      <c r="CS16" s="58">
        <v>10.189</v>
      </c>
      <c r="CT16" s="58">
        <v>11.167999999999999</v>
      </c>
      <c r="CU16" s="58">
        <v>8.0380000000000003</v>
      </c>
      <c r="CV16" s="58">
        <v>3.13</v>
      </c>
      <c r="CW16" s="58">
        <v>19.306999999999999</v>
      </c>
      <c r="CX16" s="58">
        <v>8.3379999999999992</v>
      </c>
      <c r="CY16" s="58">
        <v>10.968999999999999</v>
      </c>
      <c r="CZ16" s="58">
        <v>18.442</v>
      </c>
      <c r="DA16" s="58">
        <v>8.0640000000000001</v>
      </c>
      <c r="DB16" s="58">
        <v>10.378</v>
      </c>
    </row>
    <row r="17" spans="1:106">
      <c r="A17" s="5">
        <v>42005</v>
      </c>
      <c r="B17" s="58">
        <v>13.073</v>
      </c>
      <c r="C17" s="58">
        <v>9.798</v>
      </c>
      <c r="D17" s="58">
        <v>3.2749999999999999</v>
      </c>
      <c r="E17" s="58">
        <v>25.236999999999998</v>
      </c>
      <c r="F17" s="58">
        <v>8.4849999999999994</v>
      </c>
      <c r="G17" s="58">
        <v>16.751999999999999</v>
      </c>
      <c r="H17" s="58">
        <v>15.247999999999999</v>
      </c>
      <c r="I17" s="58">
        <v>11.414</v>
      </c>
      <c r="J17" s="58">
        <v>3.835</v>
      </c>
      <c r="K17" s="58">
        <v>26.6</v>
      </c>
      <c r="L17" s="58">
        <v>9.2669999999999995</v>
      </c>
      <c r="M17" s="58">
        <v>17.332999999999998</v>
      </c>
      <c r="N17" s="58">
        <v>26.53</v>
      </c>
      <c r="O17" s="58">
        <v>9.577</v>
      </c>
      <c r="P17" s="58">
        <v>16.952000000000002</v>
      </c>
      <c r="Q17" s="58">
        <v>130.98599999999999</v>
      </c>
      <c r="R17" s="58">
        <v>70.628</v>
      </c>
      <c r="S17" s="58">
        <v>60.357999999999997</v>
      </c>
      <c r="T17" s="58">
        <v>108.754</v>
      </c>
      <c r="U17" s="58">
        <v>63.771999999999998</v>
      </c>
      <c r="V17" s="58">
        <v>44.981999999999999</v>
      </c>
      <c r="W17" s="58">
        <v>22.231999999999999</v>
      </c>
      <c r="X17" s="58">
        <v>6.8559999999999999</v>
      </c>
      <c r="Y17" s="58">
        <v>15.375999999999999</v>
      </c>
      <c r="Z17" s="58">
        <v>13.063000000000001</v>
      </c>
      <c r="AA17" s="58">
        <v>7.4969999999999999</v>
      </c>
      <c r="AB17" s="58">
        <v>5.5670000000000002</v>
      </c>
      <c r="AC17" s="58">
        <v>1.321</v>
      </c>
      <c r="AD17" s="58">
        <v>0.72099999999999997</v>
      </c>
      <c r="AE17" s="58">
        <v>0.6</v>
      </c>
      <c r="AF17" s="58">
        <v>0.43099999999999999</v>
      </c>
      <c r="AG17" s="58">
        <v>0.35599999999999998</v>
      </c>
      <c r="AH17" s="58">
        <v>7.5999999999999998E-2</v>
      </c>
      <c r="AI17" s="58">
        <v>0.316</v>
      </c>
      <c r="AJ17" s="58">
        <v>0.24099999999999999</v>
      </c>
      <c r="AK17" s="58">
        <v>7.5999999999999998E-2</v>
      </c>
      <c r="AL17" s="58">
        <v>0.115</v>
      </c>
      <c r="AM17" s="58">
        <v>0.115</v>
      </c>
      <c r="AN17" s="58">
        <v>0</v>
      </c>
      <c r="AO17" s="58">
        <v>0.89</v>
      </c>
      <c r="AP17" s="58">
        <v>0.36599999999999999</v>
      </c>
      <c r="AQ17" s="58">
        <v>0.52400000000000002</v>
      </c>
      <c r="AR17" s="58">
        <v>12.491</v>
      </c>
      <c r="AS17" s="58">
        <v>7.2640000000000002</v>
      </c>
      <c r="AT17" s="58">
        <v>5.2270000000000003</v>
      </c>
      <c r="AU17" s="58">
        <v>7.28</v>
      </c>
      <c r="AV17" s="58">
        <v>5.274</v>
      </c>
      <c r="AW17" s="58">
        <v>2.0059999999999998</v>
      </c>
      <c r="AX17" s="58">
        <v>5.2110000000000003</v>
      </c>
      <c r="AY17" s="58">
        <v>1.99</v>
      </c>
      <c r="AZ17" s="58">
        <v>3.22</v>
      </c>
      <c r="BA17" s="58">
        <v>7.5060000000000002</v>
      </c>
      <c r="BB17" s="58">
        <v>5.4240000000000004</v>
      </c>
      <c r="BC17" s="58">
        <v>2.0819999999999999</v>
      </c>
      <c r="BD17" s="58">
        <v>5.5579999999999998</v>
      </c>
      <c r="BE17" s="58">
        <v>2.073</v>
      </c>
      <c r="BF17" s="58">
        <v>3.4849999999999999</v>
      </c>
      <c r="BG17" s="58">
        <v>5.5270000000000001</v>
      </c>
      <c r="BH17" s="58">
        <v>2.2309999999999999</v>
      </c>
      <c r="BI17" s="58">
        <v>3.2959999999999998</v>
      </c>
      <c r="BJ17" s="58">
        <v>209.08699999999999</v>
      </c>
      <c r="BK17" s="58">
        <v>107.06100000000001</v>
      </c>
      <c r="BL17" s="58">
        <v>102.026</v>
      </c>
      <c r="BM17" s="58">
        <v>155.35599999999999</v>
      </c>
      <c r="BN17" s="58">
        <v>91.049000000000007</v>
      </c>
      <c r="BO17" s="58">
        <v>64.307000000000002</v>
      </c>
      <c r="BP17" s="58">
        <v>53.73</v>
      </c>
      <c r="BQ17" s="58">
        <v>16.010999999999999</v>
      </c>
      <c r="BR17" s="58">
        <v>37.719000000000001</v>
      </c>
      <c r="BS17" s="58">
        <v>29.300999999999998</v>
      </c>
      <c r="BT17" s="58">
        <v>16.018000000000001</v>
      </c>
      <c r="BU17" s="58">
        <v>13.282</v>
      </c>
      <c r="BV17" s="58">
        <v>5.5609999999999999</v>
      </c>
      <c r="BW17" s="58">
        <v>2.9369999999999998</v>
      </c>
      <c r="BX17" s="58">
        <v>2.6240000000000001</v>
      </c>
      <c r="BY17" s="58">
        <v>3.3180000000000001</v>
      </c>
      <c r="BZ17" s="58">
        <v>2.4449999999999998</v>
      </c>
      <c r="CA17" s="58">
        <v>0.873</v>
      </c>
      <c r="CB17" s="58">
        <v>0.69799999999999995</v>
      </c>
      <c r="CC17" s="58">
        <v>0.53400000000000003</v>
      </c>
      <c r="CD17" s="58">
        <v>0.16400000000000001</v>
      </c>
      <c r="CE17" s="58">
        <v>2.62</v>
      </c>
      <c r="CF17" s="58">
        <v>1.911</v>
      </c>
      <c r="CG17" s="58">
        <v>0.70899999999999996</v>
      </c>
      <c r="CH17" s="58">
        <v>2.2429999999999999</v>
      </c>
      <c r="CI17" s="58">
        <v>0.49199999999999999</v>
      </c>
      <c r="CJ17" s="58">
        <v>1.752</v>
      </c>
      <c r="CK17" s="58">
        <v>24.908000000000001</v>
      </c>
      <c r="CL17" s="58">
        <v>13.593</v>
      </c>
      <c r="CM17" s="58">
        <v>11.315</v>
      </c>
      <c r="CN17" s="58">
        <v>11.952</v>
      </c>
      <c r="CO17" s="58">
        <v>8.8719999999999999</v>
      </c>
      <c r="CP17" s="58">
        <v>3.08</v>
      </c>
      <c r="CQ17" s="58">
        <v>12.956</v>
      </c>
      <c r="CR17" s="58">
        <v>4.7210000000000001</v>
      </c>
      <c r="CS17" s="58">
        <v>8.2349999999999994</v>
      </c>
      <c r="CT17" s="58">
        <v>15.103999999999999</v>
      </c>
      <c r="CU17" s="58">
        <v>11.151</v>
      </c>
      <c r="CV17" s="58">
        <v>3.9529999999999998</v>
      </c>
      <c r="CW17" s="58">
        <v>14.196999999999999</v>
      </c>
      <c r="CX17" s="58">
        <v>4.867</v>
      </c>
      <c r="CY17" s="58">
        <v>9.3290000000000006</v>
      </c>
      <c r="CZ17" s="58">
        <v>13.653</v>
      </c>
      <c r="DA17" s="58">
        <v>5.2539999999999996</v>
      </c>
      <c r="DB17" s="58">
        <v>8.3989999999999991</v>
      </c>
    </row>
    <row r="18" spans="1:106">
      <c r="A18" s="5">
        <v>42036</v>
      </c>
      <c r="B18" s="58">
        <v>9.8160000000000007</v>
      </c>
      <c r="C18" s="58">
        <v>7.4160000000000004</v>
      </c>
      <c r="D18" s="58">
        <v>2.4009999999999998</v>
      </c>
      <c r="E18" s="58">
        <v>24.745000000000001</v>
      </c>
      <c r="F18" s="58">
        <v>9.4440000000000008</v>
      </c>
      <c r="G18" s="58">
        <v>15.301</v>
      </c>
      <c r="H18" s="58">
        <v>11.557</v>
      </c>
      <c r="I18" s="58">
        <v>8.8930000000000007</v>
      </c>
      <c r="J18" s="58">
        <v>2.6640000000000001</v>
      </c>
      <c r="K18" s="58">
        <v>27.256</v>
      </c>
      <c r="L18" s="58">
        <v>10.728999999999999</v>
      </c>
      <c r="M18" s="58">
        <v>16.527000000000001</v>
      </c>
      <c r="N18" s="58">
        <v>25.513999999999999</v>
      </c>
      <c r="O18" s="58">
        <v>10.212999999999999</v>
      </c>
      <c r="P18" s="58">
        <v>15.301</v>
      </c>
      <c r="Q18" s="58">
        <v>133.07400000000001</v>
      </c>
      <c r="R18" s="58">
        <v>70.944999999999993</v>
      </c>
      <c r="S18" s="58">
        <v>62.128999999999998</v>
      </c>
      <c r="T18" s="58">
        <v>109.574</v>
      </c>
      <c r="U18" s="58">
        <v>63.404000000000003</v>
      </c>
      <c r="V18" s="58">
        <v>46.17</v>
      </c>
      <c r="W18" s="58">
        <v>23.5</v>
      </c>
      <c r="X18" s="58">
        <v>7.5410000000000004</v>
      </c>
      <c r="Y18" s="58">
        <v>15.959</v>
      </c>
      <c r="Z18" s="58">
        <v>11.273</v>
      </c>
      <c r="AA18" s="58">
        <v>5.6779999999999999</v>
      </c>
      <c r="AB18" s="58">
        <v>5.5949999999999998</v>
      </c>
      <c r="AC18" s="58">
        <v>1.6459999999999999</v>
      </c>
      <c r="AD18" s="58">
        <v>1.1200000000000001</v>
      </c>
      <c r="AE18" s="58">
        <v>0.52600000000000002</v>
      </c>
      <c r="AF18" s="58">
        <v>0.79600000000000004</v>
      </c>
      <c r="AG18" s="58">
        <v>0.63200000000000001</v>
      </c>
      <c r="AH18" s="58">
        <v>0.16400000000000001</v>
      </c>
      <c r="AI18" s="58">
        <v>0.5</v>
      </c>
      <c r="AJ18" s="58">
        <v>0.33600000000000002</v>
      </c>
      <c r="AK18" s="58">
        <v>0.16400000000000001</v>
      </c>
      <c r="AL18" s="58">
        <v>0.29599999999999999</v>
      </c>
      <c r="AM18" s="58">
        <v>0.29599999999999999</v>
      </c>
      <c r="AN18" s="58">
        <v>0</v>
      </c>
      <c r="AO18" s="58">
        <v>0.85</v>
      </c>
      <c r="AP18" s="58">
        <v>0.48799999999999999</v>
      </c>
      <c r="AQ18" s="58">
        <v>0.36199999999999999</v>
      </c>
      <c r="AR18" s="58">
        <v>10.272</v>
      </c>
      <c r="AS18" s="58">
        <v>4.8410000000000002</v>
      </c>
      <c r="AT18" s="58">
        <v>5.431</v>
      </c>
      <c r="AU18" s="58">
        <v>4.8090000000000002</v>
      </c>
      <c r="AV18" s="58">
        <v>2.919</v>
      </c>
      <c r="AW18" s="58">
        <v>1.89</v>
      </c>
      <c r="AX18" s="58">
        <v>5.4619999999999997</v>
      </c>
      <c r="AY18" s="58">
        <v>1.9219999999999999</v>
      </c>
      <c r="AZ18" s="58">
        <v>3.5409999999999999</v>
      </c>
      <c r="BA18" s="58">
        <v>5.6050000000000004</v>
      </c>
      <c r="BB18" s="58">
        <v>3.5510000000000002</v>
      </c>
      <c r="BC18" s="58">
        <v>2.0539999999999998</v>
      </c>
      <c r="BD18" s="58">
        <v>5.6680000000000001</v>
      </c>
      <c r="BE18" s="58">
        <v>2.1269999999999998</v>
      </c>
      <c r="BF18" s="58">
        <v>3.5409999999999999</v>
      </c>
      <c r="BG18" s="58">
        <v>5.9619999999999997</v>
      </c>
      <c r="BH18" s="58">
        <v>2.2570000000000001</v>
      </c>
      <c r="BI18" s="58">
        <v>3.7050000000000001</v>
      </c>
      <c r="BJ18" s="58">
        <v>209.89</v>
      </c>
      <c r="BK18" s="58">
        <v>108.13500000000001</v>
      </c>
      <c r="BL18" s="58">
        <v>101.755</v>
      </c>
      <c r="BM18" s="58">
        <v>153.88300000000001</v>
      </c>
      <c r="BN18" s="58">
        <v>88.813000000000002</v>
      </c>
      <c r="BO18" s="58">
        <v>65.069999999999993</v>
      </c>
      <c r="BP18" s="58">
        <v>56.006999999999998</v>
      </c>
      <c r="BQ18" s="58">
        <v>19.321999999999999</v>
      </c>
      <c r="BR18" s="58">
        <v>36.685000000000002</v>
      </c>
      <c r="BS18" s="58">
        <v>27.72</v>
      </c>
      <c r="BT18" s="58">
        <v>16.332000000000001</v>
      </c>
      <c r="BU18" s="58">
        <v>11.388</v>
      </c>
      <c r="BV18" s="58">
        <v>5.6360000000000001</v>
      </c>
      <c r="BW18" s="58">
        <v>2.3580000000000001</v>
      </c>
      <c r="BX18" s="58">
        <v>3.278</v>
      </c>
      <c r="BY18" s="58">
        <v>2.851</v>
      </c>
      <c r="BZ18" s="58">
        <v>1.8029999999999999</v>
      </c>
      <c r="CA18" s="58">
        <v>1.048</v>
      </c>
      <c r="CB18" s="58">
        <v>1.274</v>
      </c>
      <c r="CC18" s="58">
        <v>0.92600000000000005</v>
      </c>
      <c r="CD18" s="58">
        <v>0.34799999999999998</v>
      </c>
      <c r="CE18" s="58">
        <v>1.577</v>
      </c>
      <c r="CF18" s="58">
        <v>0.877</v>
      </c>
      <c r="CG18" s="58">
        <v>0.7</v>
      </c>
      <c r="CH18" s="58">
        <v>2.7850000000000001</v>
      </c>
      <c r="CI18" s="58">
        <v>0.55500000000000005</v>
      </c>
      <c r="CJ18" s="58">
        <v>2.23</v>
      </c>
      <c r="CK18" s="58">
        <v>24.099</v>
      </c>
      <c r="CL18" s="58">
        <v>14.632</v>
      </c>
      <c r="CM18" s="58">
        <v>9.468</v>
      </c>
      <c r="CN18" s="58">
        <v>10.095000000000001</v>
      </c>
      <c r="CO18" s="58">
        <v>7.3339999999999996</v>
      </c>
      <c r="CP18" s="58">
        <v>2.7610000000000001</v>
      </c>
      <c r="CQ18" s="58">
        <v>14.004</v>
      </c>
      <c r="CR18" s="58">
        <v>7.298</v>
      </c>
      <c r="CS18" s="58">
        <v>6.7069999999999999</v>
      </c>
      <c r="CT18" s="58">
        <v>12.439</v>
      </c>
      <c r="CU18" s="58">
        <v>8.6300000000000008</v>
      </c>
      <c r="CV18" s="58">
        <v>3.8090000000000002</v>
      </c>
      <c r="CW18" s="58">
        <v>15.281000000000001</v>
      </c>
      <c r="CX18" s="58">
        <v>7.702</v>
      </c>
      <c r="CY18" s="58">
        <v>7.5789999999999997</v>
      </c>
      <c r="CZ18" s="58">
        <v>15.279</v>
      </c>
      <c r="DA18" s="58">
        <v>8.2240000000000002</v>
      </c>
      <c r="DB18" s="58">
        <v>7.0540000000000003</v>
      </c>
    </row>
    <row r="19" spans="1:106">
      <c r="A19" s="5">
        <v>42064</v>
      </c>
      <c r="B19" s="58">
        <v>11.596</v>
      </c>
      <c r="C19" s="58">
        <v>9.4160000000000004</v>
      </c>
      <c r="D19" s="58">
        <v>2.1800000000000002</v>
      </c>
      <c r="E19" s="58">
        <v>24.81</v>
      </c>
      <c r="F19" s="58">
        <v>9.4329999999999998</v>
      </c>
      <c r="G19" s="58">
        <v>15.377000000000001</v>
      </c>
      <c r="H19" s="58">
        <v>13.622</v>
      </c>
      <c r="I19" s="58">
        <v>10.911</v>
      </c>
      <c r="J19" s="58">
        <v>2.7109999999999999</v>
      </c>
      <c r="K19" s="58">
        <v>26.786000000000001</v>
      </c>
      <c r="L19" s="58">
        <v>10.225</v>
      </c>
      <c r="M19" s="58">
        <v>16.559999999999999</v>
      </c>
      <c r="N19" s="58">
        <v>25.597999999999999</v>
      </c>
      <c r="O19" s="58">
        <v>10.116</v>
      </c>
      <c r="P19" s="58">
        <v>15.481999999999999</v>
      </c>
      <c r="Q19" s="58">
        <v>134.94300000000001</v>
      </c>
      <c r="R19" s="58">
        <v>72.64</v>
      </c>
      <c r="S19" s="58">
        <v>62.302999999999997</v>
      </c>
      <c r="T19" s="58">
        <v>108.172</v>
      </c>
      <c r="U19" s="58">
        <v>63.363999999999997</v>
      </c>
      <c r="V19" s="58">
        <v>44.808</v>
      </c>
      <c r="W19" s="58">
        <v>26.771999999999998</v>
      </c>
      <c r="X19" s="58">
        <v>9.2769999999999992</v>
      </c>
      <c r="Y19" s="58">
        <v>17.495000000000001</v>
      </c>
      <c r="Z19" s="58">
        <v>15.125</v>
      </c>
      <c r="AA19" s="58">
        <v>8.06</v>
      </c>
      <c r="AB19" s="58">
        <v>7.0650000000000004</v>
      </c>
      <c r="AC19" s="58">
        <v>1.69</v>
      </c>
      <c r="AD19" s="58">
        <v>1.107</v>
      </c>
      <c r="AE19" s="58">
        <v>0.58399999999999996</v>
      </c>
      <c r="AF19" s="58">
        <v>1.0840000000000001</v>
      </c>
      <c r="AG19" s="58">
        <v>0.80200000000000005</v>
      </c>
      <c r="AH19" s="58">
        <v>0.28199999999999997</v>
      </c>
      <c r="AI19" s="58">
        <v>0.54500000000000004</v>
      </c>
      <c r="AJ19" s="58">
        <v>0.41499999999999998</v>
      </c>
      <c r="AK19" s="58">
        <v>0.13100000000000001</v>
      </c>
      <c r="AL19" s="58">
        <v>0.53800000000000003</v>
      </c>
      <c r="AM19" s="58">
        <v>0.38700000000000001</v>
      </c>
      <c r="AN19" s="58">
        <v>0.152</v>
      </c>
      <c r="AO19" s="58">
        <v>0.60699999999999998</v>
      </c>
      <c r="AP19" s="58">
        <v>0.30499999999999999</v>
      </c>
      <c r="AQ19" s="58">
        <v>0.30199999999999999</v>
      </c>
      <c r="AR19" s="58">
        <v>13.917</v>
      </c>
      <c r="AS19" s="58">
        <v>7.4359999999999999</v>
      </c>
      <c r="AT19" s="58">
        <v>6.4809999999999999</v>
      </c>
      <c r="AU19" s="58">
        <v>6.968</v>
      </c>
      <c r="AV19" s="58">
        <v>4.3899999999999997</v>
      </c>
      <c r="AW19" s="58">
        <v>2.5779999999999998</v>
      </c>
      <c r="AX19" s="58">
        <v>6.9489999999999998</v>
      </c>
      <c r="AY19" s="58">
        <v>3.0459999999999998</v>
      </c>
      <c r="AZ19" s="58">
        <v>3.903</v>
      </c>
      <c r="BA19" s="58">
        <v>7.875</v>
      </c>
      <c r="BB19" s="58">
        <v>5.0149999999999997</v>
      </c>
      <c r="BC19" s="58">
        <v>2.86</v>
      </c>
      <c r="BD19" s="58">
        <v>7.2510000000000003</v>
      </c>
      <c r="BE19" s="58">
        <v>3.0459999999999998</v>
      </c>
      <c r="BF19" s="58">
        <v>4.2050000000000001</v>
      </c>
      <c r="BG19" s="58">
        <v>7.4939999999999998</v>
      </c>
      <c r="BH19" s="58">
        <v>3.4609999999999999</v>
      </c>
      <c r="BI19" s="58">
        <v>4.0339999999999998</v>
      </c>
      <c r="BJ19" s="58">
        <v>212.922</v>
      </c>
      <c r="BK19" s="58">
        <v>108.761</v>
      </c>
      <c r="BL19" s="58">
        <v>104.161</v>
      </c>
      <c r="BM19" s="58">
        <v>151.709</v>
      </c>
      <c r="BN19" s="58">
        <v>88.16</v>
      </c>
      <c r="BO19" s="58">
        <v>63.548999999999999</v>
      </c>
      <c r="BP19" s="58">
        <v>61.213000000000001</v>
      </c>
      <c r="BQ19" s="58">
        <v>20.600999999999999</v>
      </c>
      <c r="BR19" s="58">
        <v>40.612000000000002</v>
      </c>
      <c r="BS19" s="58">
        <v>25.780999999999999</v>
      </c>
      <c r="BT19" s="58">
        <v>14.555999999999999</v>
      </c>
      <c r="BU19" s="58">
        <v>11.225</v>
      </c>
      <c r="BV19" s="58">
        <v>3.2749999999999999</v>
      </c>
      <c r="BW19" s="58">
        <v>2.7949999999999999</v>
      </c>
      <c r="BX19" s="58">
        <v>0.48</v>
      </c>
      <c r="BY19" s="58">
        <v>1.31</v>
      </c>
      <c r="BZ19" s="58">
        <v>1.31</v>
      </c>
      <c r="CA19" s="58">
        <v>0</v>
      </c>
      <c r="CB19" s="58">
        <v>0.73899999999999999</v>
      </c>
      <c r="CC19" s="58">
        <v>0.73899999999999999</v>
      </c>
      <c r="CD19" s="58">
        <v>0</v>
      </c>
      <c r="CE19" s="58">
        <v>0.57099999999999995</v>
      </c>
      <c r="CF19" s="58">
        <v>0.57099999999999995</v>
      </c>
      <c r="CG19" s="58">
        <v>0</v>
      </c>
      <c r="CH19" s="58">
        <v>1.9650000000000001</v>
      </c>
      <c r="CI19" s="58">
        <v>1.4850000000000001</v>
      </c>
      <c r="CJ19" s="58">
        <v>0.48</v>
      </c>
      <c r="CK19" s="58">
        <v>23.599</v>
      </c>
      <c r="CL19" s="58">
        <v>12.708</v>
      </c>
      <c r="CM19" s="58">
        <v>10.89</v>
      </c>
      <c r="CN19" s="58">
        <v>8.8219999999999992</v>
      </c>
      <c r="CO19" s="58">
        <v>6.4859999999999998</v>
      </c>
      <c r="CP19" s="58">
        <v>2.335</v>
      </c>
      <c r="CQ19" s="58">
        <v>14.776999999999999</v>
      </c>
      <c r="CR19" s="58">
        <v>6.2220000000000004</v>
      </c>
      <c r="CS19" s="58">
        <v>8.5549999999999997</v>
      </c>
      <c r="CT19" s="58">
        <v>10.132</v>
      </c>
      <c r="CU19" s="58">
        <v>7.7960000000000003</v>
      </c>
      <c r="CV19" s="58">
        <v>2.335</v>
      </c>
      <c r="CW19" s="58">
        <v>15.65</v>
      </c>
      <c r="CX19" s="58">
        <v>6.76</v>
      </c>
      <c r="CY19" s="58">
        <v>8.8889999999999993</v>
      </c>
      <c r="CZ19" s="58">
        <v>15.516</v>
      </c>
      <c r="DA19" s="58">
        <v>6.9619999999999997</v>
      </c>
      <c r="DB19" s="58">
        <v>8.5549999999999997</v>
      </c>
    </row>
    <row r="20" spans="1:106">
      <c r="A20" s="5">
        <v>42095</v>
      </c>
      <c r="B20" s="58">
        <v>13.183</v>
      </c>
      <c r="C20" s="58">
        <v>10.301</v>
      </c>
      <c r="D20" s="58">
        <v>2.8809999999999998</v>
      </c>
      <c r="E20" s="58">
        <v>24.690999999999999</v>
      </c>
      <c r="F20" s="58">
        <v>9.7260000000000009</v>
      </c>
      <c r="G20" s="58">
        <v>14.965</v>
      </c>
      <c r="H20" s="58">
        <v>14.086</v>
      </c>
      <c r="I20" s="58">
        <v>10.975</v>
      </c>
      <c r="J20" s="58">
        <v>3.1110000000000002</v>
      </c>
      <c r="K20" s="58">
        <v>26.751000000000001</v>
      </c>
      <c r="L20" s="58">
        <v>10.574</v>
      </c>
      <c r="M20" s="58">
        <v>16.177</v>
      </c>
      <c r="N20" s="58">
        <v>25.904</v>
      </c>
      <c r="O20" s="58">
        <v>10.831</v>
      </c>
      <c r="P20" s="58">
        <v>15.073</v>
      </c>
      <c r="Q20" s="58">
        <v>135.66399999999999</v>
      </c>
      <c r="R20" s="58">
        <v>72.450999999999993</v>
      </c>
      <c r="S20" s="58">
        <v>63.213999999999999</v>
      </c>
      <c r="T20" s="58">
        <v>109.098</v>
      </c>
      <c r="U20" s="58">
        <v>64.034000000000006</v>
      </c>
      <c r="V20" s="58">
        <v>45.063000000000002</v>
      </c>
      <c r="W20" s="58">
        <v>26.567</v>
      </c>
      <c r="X20" s="58">
        <v>8.4160000000000004</v>
      </c>
      <c r="Y20" s="58">
        <v>18.151</v>
      </c>
      <c r="Z20" s="58">
        <v>11.824</v>
      </c>
      <c r="AA20" s="58">
        <v>6.5010000000000003</v>
      </c>
      <c r="AB20" s="58">
        <v>5.3230000000000004</v>
      </c>
      <c r="AC20" s="58">
        <v>1.0569999999999999</v>
      </c>
      <c r="AD20" s="58">
        <v>0.46400000000000002</v>
      </c>
      <c r="AE20" s="58">
        <v>0.59299999999999997</v>
      </c>
      <c r="AF20" s="58">
        <v>0.47199999999999998</v>
      </c>
      <c r="AG20" s="58">
        <v>0.247</v>
      </c>
      <c r="AH20" s="58">
        <v>0.22500000000000001</v>
      </c>
      <c r="AI20" s="58">
        <v>0.33400000000000002</v>
      </c>
      <c r="AJ20" s="58">
        <v>0.109</v>
      </c>
      <c r="AK20" s="58">
        <v>0.22500000000000001</v>
      </c>
      <c r="AL20" s="58">
        <v>0.13700000000000001</v>
      </c>
      <c r="AM20" s="58">
        <v>0.13700000000000001</v>
      </c>
      <c r="AN20" s="58">
        <v>0</v>
      </c>
      <c r="AO20" s="58">
        <v>0.58499999999999996</v>
      </c>
      <c r="AP20" s="58">
        <v>0.217</v>
      </c>
      <c r="AQ20" s="58">
        <v>0.36799999999999999</v>
      </c>
      <c r="AR20" s="58">
        <v>11.081</v>
      </c>
      <c r="AS20" s="58">
        <v>6.0369999999999999</v>
      </c>
      <c r="AT20" s="58">
        <v>5.0439999999999996</v>
      </c>
      <c r="AU20" s="58">
        <v>5.657</v>
      </c>
      <c r="AV20" s="58">
        <v>4.0410000000000004</v>
      </c>
      <c r="AW20" s="58">
        <v>1.6160000000000001</v>
      </c>
      <c r="AX20" s="58">
        <v>5.4240000000000004</v>
      </c>
      <c r="AY20" s="58">
        <v>1.996</v>
      </c>
      <c r="AZ20" s="58">
        <v>3.4279999999999999</v>
      </c>
      <c r="BA20" s="58">
        <v>6.02</v>
      </c>
      <c r="BB20" s="58">
        <v>4.2880000000000003</v>
      </c>
      <c r="BC20" s="58">
        <v>1.7310000000000001</v>
      </c>
      <c r="BD20" s="58">
        <v>5.8040000000000003</v>
      </c>
      <c r="BE20" s="58">
        <v>2.2130000000000001</v>
      </c>
      <c r="BF20" s="58">
        <v>3.5920000000000001</v>
      </c>
      <c r="BG20" s="58">
        <v>5.758</v>
      </c>
      <c r="BH20" s="58">
        <v>2.105</v>
      </c>
      <c r="BI20" s="58">
        <v>3.653</v>
      </c>
      <c r="BJ20" s="58">
        <v>214.85599999999999</v>
      </c>
      <c r="BK20" s="58">
        <v>110.289</v>
      </c>
      <c r="BL20" s="58">
        <v>104.56699999999999</v>
      </c>
      <c r="BM20" s="58">
        <v>156.37899999999999</v>
      </c>
      <c r="BN20" s="58">
        <v>90.5</v>
      </c>
      <c r="BO20" s="58">
        <v>65.879000000000005</v>
      </c>
      <c r="BP20" s="58">
        <v>58.478000000000002</v>
      </c>
      <c r="BQ20" s="58">
        <v>19.789000000000001</v>
      </c>
      <c r="BR20" s="58">
        <v>38.689</v>
      </c>
      <c r="BS20" s="58">
        <v>23.24</v>
      </c>
      <c r="BT20" s="58">
        <v>12.56</v>
      </c>
      <c r="BU20" s="58">
        <v>10.679</v>
      </c>
      <c r="BV20" s="58">
        <v>3.754</v>
      </c>
      <c r="BW20" s="58">
        <v>1.746</v>
      </c>
      <c r="BX20" s="58">
        <v>2.0070000000000001</v>
      </c>
      <c r="BY20" s="58">
        <v>0.55800000000000005</v>
      </c>
      <c r="BZ20" s="58">
        <v>0.40500000000000003</v>
      </c>
      <c r="CA20" s="58">
        <v>0.153</v>
      </c>
      <c r="CB20" s="58">
        <v>0.40500000000000003</v>
      </c>
      <c r="CC20" s="58">
        <v>0.40500000000000003</v>
      </c>
      <c r="CD20" s="58">
        <v>0</v>
      </c>
      <c r="CE20" s="58">
        <v>0.153</v>
      </c>
      <c r="CF20" s="58">
        <v>0</v>
      </c>
      <c r="CG20" s="58">
        <v>0.153</v>
      </c>
      <c r="CH20" s="58">
        <v>3.1960000000000002</v>
      </c>
      <c r="CI20" s="58">
        <v>1.3420000000000001</v>
      </c>
      <c r="CJ20" s="58">
        <v>1.8540000000000001</v>
      </c>
      <c r="CK20" s="58">
        <v>21.027999999999999</v>
      </c>
      <c r="CL20" s="58">
        <v>11.68</v>
      </c>
      <c r="CM20" s="58">
        <v>9.3469999999999995</v>
      </c>
      <c r="CN20" s="58">
        <v>7.11</v>
      </c>
      <c r="CO20" s="58">
        <v>5.056</v>
      </c>
      <c r="CP20" s="58">
        <v>2.0529999999999999</v>
      </c>
      <c r="CQ20" s="58">
        <v>13.917999999999999</v>
      </c>
      <c r="CR20" s="58">
        <v>6.6239999999999997</v>
      </c>
      <c r="CS20" s="58">
        <v>7.2939999999999996</v>
      </c>
      <c r="CT20" s="58">
        <v>7.5259999999999998</v>
      </c>
      <c r="CU20" s="58">
        <v>5.319</v>
      </c>
      <c r="CV20" s="58">
        <v>2.206</v>
      </c>
      <c r="CW20" s="58">
        <v>15.714</v>
      </c>
      <c r="CX20" s="58">
        <v>7.2409999999999997</v>
      </c>
      <c r="CY20" s="58">
        <v>8.4730000000000008</v>
      </c>
      <c r="CZ20" s="58">
        <v>14.323</v>
      </c>
      <c r="DA20" s="58">
        <v>7.0289999999999999</v>
      </c>
      <c r="DB20" s="58">
        <v>7.2939999999999996</v>
      </c>
    </row>
    <row r="21" spans="1:106">
      <c r="A21" s="5">
        <v>42125</v>
      </c>
      <c r="B21" s="58">
        <v>12.351000000000001</v>
      </c>
      <c r="C21" s="58">
        <v>9.5559999999999992</v>
      </c>
      <c r="D21" s="58">
        <v>2.7949999999999999</v>
      </c>
      <c r="E21" s="58">
        <v>25.981000000000002</v>
      </c>
      <c r="F21" s="58">
        <v>9.5749999999999993</v>
      </c>
      <c r="G21" s="58">
        <v>16.405999999999999</v>
      </c>
      <c r="H21" s="58">
        <v>14.254</v>
      </c>
      <c r="I21" s="58">
        <v>11.004</v>
      </c>
      <c r="J21" s="58">
        <v>3.25</v>
      </c>
      <c r="K21" s="58">
        <v>28.382999999999999</v>
      </c>
      <c r="L21" s="58">
        <v>10.278</v>
      </c>
      <c r="M21" s="58">
        <v>18.106000000000002</v>
      </c>
      <c r="N21" s="58">
        <v>27.664000000000001</v>
      </c>
      <c r="O21" s="58">
        <v>10.653</v>
      </c>
      <c r="P21" s="58">
        <v>17.010999999999999</v>
      </c>
      <c r="Q21" s="58">
        <v>133.66800000000001</v>
      </c>
      <c r="R21" s="58">
        <v>71.988</v>
      </c>
      <c r="S21" s="58">
        <v>61.68</v>
      </c>
      <c r="T21" s="58">
        <v>107.65600000000001</v>
      </c>
      <c r="U21" s="58">
        <v>63.725000000000001</v>
      </c>
      <c r="V21" s="58">
        <v>43.930999999999997</v>
      </c>
      <c r="W21" s="58">
        <v>26.012</v>
      </c>
      <c r="X21" s="58">
        <v>8.2639999999999993</v>
      </c>
      <c r="Y21" s="58">
        <v>17.748999999999999</v>
      </c>
      <c r="Z21" s="58">
        <v>10.881</v>
      </c>
      <c r="AA21" s="58">
        <v>6.4379999999999997</v>
      </c>
      <c r="AB21" s="58">
        <v>4.4429999999999996</v>
      </c>
      <c r="AC21" s="58">
        <v>2.0369999999999999</v>
      </c>
      <c r="AD21" s="58">
        <v>1.5129999999999999</v>
      </c>
      <c r="AE21" s="58">
        <v>0.52400000000000002</v>
      </c>
      <c r="AF21" s="58">
        <v>0.86099999999999999</v>
      </c>
      <c r="AG21" s="58">
        <v>0.8</v>
      </c>
      <c r="AH21" s="58">
        <v>6.2E-2</v>
      </c>
      <c r="AI21" s="58">
        <v>0.41599999999999998</v>
      </c>
      <c r="AJ21" s="58">
        <v>0.35399999999999998</v>
      </c>
      <c r="AK21" s="58">
        <v>6.2E-2</v>
      </c>
      <c r="AL21" s="58">
        <v>0.44500000000000001</v>
      </c>
      <c r="AM21" s="58">
        <v>0.44500000000000001</v>
      </c>
      <c r="AN21" s="58">
        <v>0</v>
      </c>
      <c r="AO21" s="58">
        <v>1.175</v>
      </c>
      <c r="AP21" s="58">
        <v>0.71299999999999997</v>
      </c>
      <c r="AQ21" s="58">
        <v>0.46200000000000002</v>
      </c>
      <c r="AR21" s="58">
        <v>9.5109999999999992</v>
      </c>
      <c r="AS21" s="58">
        <v>5.53</v>
      </c>
      <c r="AT21" s="58">
        <v>3.9809999999999999</v>
      </c>
      <c r="AU21" s="58">
        <v>3.9630000000000001</v>
      </c>
      <c r="AV21" s="58">
        <v>3.0139999999999998</v>
      </c>
      <c r="AW21" s="58">
        <v>0.94899999999999995</v>
      </c>
      <c r="AX21" s="58">
        <v>5.5469999999999997</v>
      </c>
      <c r="AY21" s="58">
        <v>2.516</v>
      </c>
      <c r="AZ21" s="58">
        <v>3.032</v>
      </c>
      <c r="BA21" s="58">
        <v>4.5110000000000001</v>
      </c>
      <c r="BB21" s="58">
        <v>3.5619999999999998</v>
      </c>
      <c r="BC21" s="58">
        <v>0.94899999999999995</v>
      </c>
      <c r="BD21" s="58">
        <v>6.37</v>
      </c>
      <c r="BE21" s="58">
        <v>2.8759999999999999</v>
      </c>
      <c r="BF21" s="58">
        <v>3.4940000000000002</v>
      </c>
      <c r="BG21" s="58">
        <v>5.9630000000000001</v>
      </c>
      <c r="BH21" s="58">
        <v>2.87</v>
      </c>
      <c r="BI21" s="58">
        <v>3.093</v>
      </c>
      <c r="BJ21" s="58">
        <v>214.108</v>
      </c>
      <c r="BK21" s="58">
        <v>110.57299999999999</v>
      </c>
      <c r="BL21" s="58">
        <v>103.535</v>
      </c>
      <c r="BM21" s="58">
        <v>159.55199999999999</v>
      </c>
      <c r="BN21" s="58">
        <v>91.423000000000002</v>
      </c>
      <c r="BO21" s="58">
        <v>68.129000000000005</v>
      </c>
      <c r="BP21" s="58">
        <v>54.555999999999997</v>
      </c>
      <c r="BQ21" s="58">
        <v>19.149999999999999</v>
      </c>
      <c r="BR21" s="58">
        <v>35.405999999999999</v>
      </c>
      <c r="BS21" s="58">
        <v>25.859000000000002</v>
      </c>
      <c r="BT21" s="58">
        <v>16.599</v>
      </c>
      <c r="BU21" s="58">
        <v>9.2590000000000003</v>
      </c>
      <c r="BV21" s="58">
        <v>4.9550000000000001</v>
      </c>
      <c r="BW21" s="58">
        <v>3.1859999999999999</v>
      </c>
      <c r="BX21" s="58">
        <v>1.7689999999999999</v>
      </c>
      <c r="BY21" s="58">
        <v>2.157</v>
      </c>
      <c r="BZ21" s="58">
        <v>2.157</v>
      </c>
      <c r="CA21" s="58">
        <v>0</v>
      </c>
      <c r="CB21" s="58">
        <v>0.68700000000000006</v>
      </c>
      <c r="CC21" s="58">
        <v>0.68700000000000006</v>
      </c>
      <c r="CD21" s="58">
        <v>0</v>
      </c>
      <c r="CE21" s="58">
        <v>1.47</v>
      </c>
      <c r="CF21" s="58">
        <v>1.47</v>
      </c>
      <c r="CG21" s="58">
        <v>0</v>
      </c>
      <c r="CH21" s="58">
        <v>2.798</v>
      </c>
      <c r="CI21" s="58">
        <v>1.0289999999999999</v>
      </c>
      <c r="CJ21" s="58">
        <v>1.7689999999999999</v>
      </c>
      <c r="CK21" s="58">
        <v>22.739000000000001</v>
      </c>
      <c r="CL21" s="58">
        <v>14.407999999999999</v>
      </c>
      <c r="CM21" s="58">
        <v>8.3320000000000007</v>
      </c>
      <c r="CN21" s="58">
        <v>10.427</v>
      </c>
      <c r="CO21" s="58">
        <v>7.9889999999999999</v>
      </c>
      <c r="CP21" s="58">
        <v>2.4390000000000001</v>
      </c>
      <c r="CQ21" s="58">
        <v>12.311999999999999</v>
      </c>
      <c r="CR21" s="58">
        <v>6.4189999999999996</v>
      </c>
      <c r="CS21" s="58">
        <v>5.8929999999999998</v>
      </c>
      <c r="CT21" s="58">
        <v>12.122999999999999</v>
      </c>
      <c r="CU21" s="58">
        <v>9.6839999999999993</v>
      </c>
      <c r="CV21" s="58">
        <v>2.4390000000000001</v>
      </c>
      <c r="CW21" s="58">
        <v>13.736000000000001</v>
      </c>
      <c r="CX21" s="58">
        <v>6.915</v>
      </c>
      <c r="CY21" s="58">
        <v>6.8209999999999997</v>
      </c>
      <c r="CZ21" s="58">
        <v>12.999000000000001</v>
      </c>
      <c r="DA21" s="58">
        <v>7.1059999999999999</v>
      </c>
      <c r="DB21" s="58">
        <v>5.8929999999999998</v>
      </c>
    </row>
    <row r="22" spans="1:106">
      <c r="A22" s="5">
        <v>42156</v>
      </c>
      <c r="B22" s="58">
        <v>12.387</v>
      </c>
      <c r="C22" s="58">
        <v>9.3330000000000002</v>
      </c>
      <c r="D22" s="58">
        <v>3.0539999999999998</v>
      </c>
      <c r="E22" s="58">
        <v>28.709</v>
      </c>
      <c r="F22" s="58">
        <v>10.999000000000001</v>
      </c>
      <c r="G22" s="58">
        <v>17.71</v>
      </c>
      <c r="H22" s="58">
        <v>14.545999999999999</v>
      </c>
      <c r="I22" s="58">
        <v>10.680999999999999</v>
      </c>
      <c r="J22" s="58">
        <v>3.8650000000000002</v>
      </c>
      <c r="K22" s="58">
        <v>31.198</v>
      </c>
      <c r="L22" s="58">
        <v>12.144</v>
      </c>
      <c r="M22" s="58">
        <v>19.053999999999998</v>
      </c>
      <c r="N22" s="58">
        <v>30.073</v>
      </c>
      <c r="O22" s="58">
        <v>11.871</v>
      </c>
      <c r="P22" s="58">
        <v>18.202000000000002</v>
      </c>
      <c r="Q22" s="58">
        <v>136.679</v>
      </c>
      <c r="R22" s="58">
        <v>73.953000000000003</v>
      </c>
      <c r="S22" s="58">
        <v>62.725999999999999</v>
      </c>
      <c r="T22" s="58">
        <v>110.35899999999999</v>
      </c>
      <c r="U22" s="58">
        <v>66.155000000000001</v>
      </c>
      <c r="V22" s="58">
        <v>44.204000000000001</v>
      </c>
      <c r="W22" s="58">
        <v>26.321000000000002</v>
      </c>
      <c r="X22" s="58">
        <v>7.798</v>
      </c>
      <c r="Y22" s="58">
        <v>18.521999999999998</v>
      </c>
      <c r="Z22" s="58">
        <v>14.653</v>
      </c>
      <c r="AA22" s="58">
        <v>9.2040000000000006</v>
      </c>
      <c r="AB22" s="58">
        <v>5.45</v>
      </c>
      <c r="AC22" s="58">
        <v>2.0990000000000002</v>
      </c>
      <c r="AD22" s="58">
        <v>1.52</v>
      </c>
      <c r="AE22" s="58">
        <v>0.57999999999999996</v>
      </c>
      <c r="AF22" s="58">
        <v>1.331</v>
      </c>
      <c r="AG22" s="58">
        <v>1.1459999999999999</v>
      </c>
      <c r="AH22" s="58">
        <v>0.185</v>
      </c>
      <c r="AI22" s="58">
        <v>0.89500000000000002</v>
      </c>
      <c r="AJ22" s="58">
        <v>0.71</v>
      </c>
      <c r="AK22" s="58">
        <v>0.185</v>
      </c>
      <c r="AL22" s="58">
        <v>0.436</v>
      </c>
      <c r="AM22" s="58">
        <v>0.436</v>
      </c>
      <c r="AN22" s="58">
        <v>0</v>
      </c>
      <c r="AO22" s="58">
        <v>0.76800000000000002</v>
      </c>
      <c r="AP22" s="58">
        <v>0.374</v>
      </c>
      <c r="AQ22" s="58">
        <v>0.39400000000000002</v>
      </c>
      <c r="AR22" s="58">
        <v>13.211</v>
      </c>
      <c r="AS22" s="58">
        <v>8.2059999999999995</v>
      </c>
      <c r="AT22" s="58">
        <v>5.0049999999999999</v>
      </c>
      <c r="AU22" s="58">
        <v>7.29</v>
      </c>
      <c r="AV22" s="58">
        <v>5.6070000000000002</v>
      </c>
      <c r="AW22" s="58">
        <v>1.6830000000000001</v>
      </c>
      <c r="AX22" s="58">
        <v>5.9210000000000003</v>
      </c>
      <c r="AY22" s="58">
        <v>2.5990000000000002</v>
      </c>
      <c r="AZ22" s="58">
        <v>3.3220000000000001</v>
      </c>
      <c r="BA22" s="58">
        <v>8.4039999999999999</v>
      </c>
      <c r="BB22" s="58">
        <v>6.5350000000000001</v>
      </c>
      <c r="BC22" s="58">
        <v>1.869</v>
      </c>
      <c r="BD22" s="58">
        <v>6.25</v>
      </c>
      <c r="BE22" s="58">
        <v>2.669</v>
      </c>
      <c r="BF22" s="58">
        <v>3.581</v>
      </c>
      <c r="BG22" s="58">
        <v>6.8170000000000002</v>
      </c>
      <c r="BH22" s="58">
        <v>3.31</v>
      </c>
      <c r="BI22" s="58">
        <v>3.5070000000000001</v>
      </c>
      <c r="BJ22" s="58">
        <v>212.679</v>
      </c>
      <c r="BK22" s="58">
        <v>109.45</v>
      </c>
      <c r="BL22" s="58">
        <v>103.22799999999999</v>
      </c>
      <c r="BM22" s="58">
        <v>155.31299999999999</v>
      </c>
      <c r="BN22" s="58">
        <v>89.763000000000005</v>
      </c>
      <c r="BO22" s="58">
        <v>65.55</v>
      </c>
      <c r="BP22" s="58">
        <v>57.366</v>
      </c>
      <c r="BQ22" s="58">
        <v>19.687999999999999</v>
      </c>
      <c r="BR22" s="58">
        <v>37.677999999999997</v>
      </c>
      <c r="BS22" s="58">
        <v>25.742000000000001</v>
      </c>
      <c r="BT22" s="58">
        <v>15.585000000000001</v>
      </c>
      <c r="BU22" s="58">
        <v>10.157</v>
      </c>
      <c r="BV22" s="58">
        <v>5.0389999999999997</v>
      </c>
      <c r="BW22" s="58">
        <v>3.6440000000000001</v>
      </c>
      <c r="BX22" s="58">
        <v>1.395</v>
      </c>
      <c r="BY22" s="58">
        <v>1.5249999999999999</v>
      </c>
      <c r="BZ22" s="58">
        <v>1.1910000000000001</v>
      </c>
      <c r="CA22" s="58">
        <v>0.33300000000000002</v>
      </c>
      <c r="CB22" s="58">
        <v>0.89700000000000002</v>
      </c>
      <c r="CC22" s="58">
        <v>0.751</v>
      </c>
      <c r="CD22" s="58">
        <v>0.14599999999999999</v>
      </c>
      <c r="CE22" s="58">
        <v>0.628</v>
      </c>
      <c r="CF22" s="58">
        <v>0.44</v>
      </c>
      <c r="CG22" s="58">
        <v>0.188</v>
      </c>
      <c r="CH22" s="58">
        <v>3.5139999999999998</v>
      </c>
      <c r="CI22" s="58">
        <v>2.4529999999999998</v>
      </c>
      <c r="CJ22" s="58">
        <v>1.0609999999999999</v>
      </c>
      <c r="CK22" s="58">
        <v>23.538</v>
      </c>
      <c r="CL22" s="58">
        <v>13.904</v>
      </c>
      <c r="CM22" s="58">
        <v>9.6340000000000003</v>
      </c>
      <c r="CN22" s="58">
        <v>7.3869999999999996</v>
      </c>
      <c r="CO22" s="58">
        <v>6.1820000000000004</v>
      </c>
      <c r="CP22" s="58">
        <v>1.2050000000000001</v>
      </c>
      <c r="CQ22" s="58">
        <v>16.151</v>
      </c>
      <c r="CR22" s="58">
        <v>7.7210000000000001</v>
      </c>
      <c r="CS22" s="58">
        <v>8.4290000000000003</v>
      </c>
      <c r="CT22" s="58">
        <v>8.5969999999999995</v>
      </c>
      <c r="CU22" s="58">
        <v>7.2039999999999997</v>
      </c>
      <c r="CV22" s="58">
        <v>1.393</v>
      </c>
      <c r="CW22" s="58">
        <v>17.145</v>
      </c>
      <c r="CX22" s="58">
        <v>8.3810000000000002</v>
      </c>
      <c r="CY22" s="58">
        <v>8.7639999999999993</v>
      </c>
      <c r="CZ22" s="58">
        <v>17.047999999999998</v>
      </c>
      <c r="DA22" s="58">
        <v>8.4730000000000008</v>
      </c>
      <c r="DB22" s="58">
        <v>8.5749999999999993</v>
      </c>
    </row>
    <row r="23" spans="1:106">
      <c r="A23" s="5">
        <v>42186</v>
      </c>
      <c r="B23" s="58">
        <v>11.101000000000001</v>
      </c>
      <c r="C23" s="58">
        <v>9.2469999999999999</v>
      </c>
      <c r="D23" s="58">
        <v>1.8540000000000001</v>
      </c>
      <c r="E23" s="58">
        <v>25.356999999999999</v>
      </c>
      <c r="F23" s="58">
        <v>10.087999999999999</v>
      </c>
      <c r="G23" s="58">
        <v>15.269</v>
      </c>
      <c r="H23" s="58">
        <v>12.22</v>
      </c>
      <c r="I23" s="58">
        <v>9.8209999999999997</v>
      </c>
      <c r="J23" s="58">
        <v>2.3980000000000001</v>
      </c>
      <c r="K23" s="58">
        <v>27.254000000000001</v>
      </c>
      <c r="L23" s="58">
        <v>10.911</v>
      </c>
      <c r="M23" s="58">
        <v>16.344000000000001</v>
      </c>
      <c r="N23" s="58">
        <v>26.321000000000002</v>
      </c>
      <c r="O23" s="58">
        <v>10.48</v>
      </c>
      <c r="P23" s="58">
        <v>15.840999999999999</v>
      </c>
      <c r="Q23" s="58">
        <v>136.274</v>
      </c>
      <c r="R23" s="58">
        <v>74.13</v>
      </c>
      <c r="S23" s="58">
        <v>62.143999999999998</v>
      </c>
      <c r="T23" s="58">
        <v>111.101</v>
      </c>
      <c r="U23" s="58">
        <v>65.504000000000005</v>
      </c>
      <c r="V23" s="58">
        <v>45.597000000000001</v>
      </c>
      <c r="W23" s="58">
        <v>25.172999999999998</v>
      </c>
      <c r="X23" s="58">
        <v>8.6259999999999994</v>
      </c>
      <c r="Y23" s="58">
        <v>16.547000000000001</v>
      </c>
      <c r="Z23" s="58">
        <v>14.13</v>
      </c>
      <c r="AA23" s="58">
        <v>8.66</v>
      </c>
      <c r="AB23" s="58">
        <v>5.4690000000000003</v>
      </c>
      <c r="AC23" s="58">
        <v>1.226</v>
      </c>
      <c r="AD23" s="58">
        <v>0.77400000000000002</v>
      </c>
      <c r="AE23" s="58">
        <v>0.45200000000000001</v>
      </c>
      <c r="AF23" s="58">
        <v>0.66700000000000004</v>
      </c>
      <c r="AG23" s="58">
        <v>0.34300000000000003</v>
      </c>
      <c r="AH23" s="58">
        <v>0.32300000000000001</v>
      </c>
      <c r="AI23" s="58">
        <v>0.41599999999999998</v>
      </c>
      <c r="AJ23" s="58">
        <v>0.21199999999999999</v>
      </c>
      <c r="AK23" s="58">
        <v>0.20399999999999999</v>
      </c>
      <c r="AL23" s="58">
        <v>0.251</v>
      </c>
      <c r="AM23" s="58">
        <v>0.13100000000000001</v>
      </c>
      <c r="AN23" s="58">
        <v>0.11899999999999999</v>
      </c>
      <c r="AO23" s="58">
        <v>0.55900000000000005</v>
      </c>
      <c r="AP23" s="58">
        <v>0.43099999999999999</v>
      </c>
      <c r="AQ23" s="58">
        <v>0.129</v>
      </c>
      <c r="AR23" s="58">
        <v>13.529</v>
      </c>
      <c r="AS23" s="58">
        <v>8.2370000000000001</v>
      </c>
      <c r="AT23" s="58">
        <v>5.2930000000000001</v>
      </c>
      <c r="AU23" s="58">
        <v>7.1040000000000001</v>
      </c>
      <c r="AV23" s="58">
        <v>5.0419999999999998</v>
      </c>
      <c r="AW23" s="58">
        <v>2.0619999999999998</v>
      </c>
      <c r="AX23" s="58">
        <v>6.4260000000000002</v>
      </c>
      <c r="AY23" s="58">
        <v>3.1949999999999998</v>
      </c>
      <c r="AZ23" s="58">
        <v>3.2309999999999999</v>
      </c>
      <c r="BA23" s="58">
        <v>7.6239999999999997</v>
      </c>
      <c r="BB23" s="58">
        <v>5.3849999999999998</v>
      </c>
      <c r="BC23" s="58">
        <v>2.2389999999999999</v>
      </c>
      <c r="BD23" s="58">
        <v>6.5060000000000002</v>
      </c>
      <c r="BE23" s="58">
        <v>3.2749999999999999</v>
      </c>
      <c r="BF23" s="58">
        <v>3.2309999999999999</v>
      </c>
      <c r="BG23" s="58">
        <v>6.8419999999999996</v>
      </c>
      <c r="BH23" s="58">
        <v>3.407</v>
      </c>
      <c r="BI23" s="58">
        <v>3.4350000000000001</v>
      </c>
      <c r="BJ23" s="58">
        <v>214.42500000000001</v>
      </c>
      <c r="BK23" s="58">
        <v>108.217</v>
      </c>
      <c r="BL23" s="58">
        <v>106.208</v>
      </c>
      <c r="BM23" s="58">
        <v>155.50200000000001</v>
      </c>
      <c r="BN23" s="58">
        <v>89.251000000000005</v>
      </c>
      <c r="BO23" s="58">
        <v>66.251999999999995</v>
      </c>
      <c r="BP23" s="58">
        <v>58.923000000000002</v>
      </c>
      <c r="BQ23" s="58">
        <v>18.966999999999999</v>
      </c>
      <c r="BR23" s="58">
        <v>39.956000000000003</v>
      </c>
      <c r="BS23" s="58">
        <v>23.434999999999999</v>
      </c>
      <c r="BT23" s="58">
        <v>13.699</v>
      </c>
      <c r="BU23" s="58">
        <v>9.7360000000000007</v>
      </c>
      <c r="BV23" s="58">
        <v>4.4829999999999997</v>
      </c>
      <c r="BW23" s="58">
        <v>2.9809999999999999</v>
      </c>
      <c r="BX23" s="58">
        <v>1.502</v>
      </c>
      <c r="BY23" s="58">
        <v>2.1680000000000001</v>
      </c>
      <c r="BZ23" s="58">
        <v>1.6990000000000001</v>
      </c>
      <c r="CA23" s="58">
        <v>0.47</v>
      </c>
      <c r="CB23" s="58">
        <v>1.44</v>
      </c>
      <c r="CC23" s="58">
        <v>1.44</v>
      </c>
      <c r="CD23" s="58">
        <v>0</v>
      </c>
      <c r="CE23" s="58">
        <v>0.72799999999999998</v>
      </c>
      <c r="CF23" s="58">
        <v>0.25800000000000001</v>
      </c>
      <c r="CG23" s="58">
        <v>0.47</v>
      </c>
      <c r="CH23" s="58">
        <v>2.3140000000000001</v>
      </c>
      <c r="CI23" s="58">
        <v>1.282</v>
      </c>
      <c r="CJ23" s="58">
        <v>1.032</v>
      </c>
      <c r="CK23" s="58">
        <v>20.806999999999999</v>
      </c>
      <c r="CL23" s="58">
        <v>11.871</v>
      </c>
      <c r="CM23" s="58">
        <v>8.9359999999999999</v>
      </c>
      <c r="CN23" s="58">
        <v>6.6109999999999998</v>
      </c>
      <c r="CO23" s="58">
        <v>4.931</v>
      </c>
      <c r="CP23" s="58">
        <v>1.679</v>
      </c>
      <c r="CQ23" s="58">
        <v>14.196999999999999</v>
      </c>
      <c r="CR23" s="58">
        <v>6.94</v>
      </c>
      <c r="CS23" s="58">
        <v>7.2569999999999997</v>
      </c>
      <c r="CT23" s="58">
        <v>8.5210000000000008</v>
      </c>
      <c r="CU23" s="58">
        <v>6.3719999999999999</v>
      </c>
      <c r="CV23" s="58">
        <v>2.149</v>
      </c>
      <c r="CW23" s="58">
        <v>14.914</v>
      </c>
      <c r="CX23" s="58">
        <v>7.327</v>
      </c>
      <c r="CY23" s="58">
        <v>7.5869999999999997</v>
      </c>
      <c r="CZ23" s="58">
        <v>15.637</v>
      </c>
      <c r="DA23" s="58">
        <v>8.3800000000000008</v>
      </c>
      <c r="DB23" s="58">
        <v>7.2569999999999997</v>
      </c>
    </row>
    <row r="24" spans="1:106">
      <c r="A24" s="5">
        <v>42217</v>
      </c>
      <c r="B24" s="58">
        <v>13.112</v>
      </c>
      <c r="C24" s="58">
        <v>10.16</v>
      </c>
      <c r="D24" s="58">
        <v>2.952</v>
      </c>
      <c r="E24" s="58">
        <v>22.954000000000001</v>
      </c>
      <c r="F24" s="58">
        <v>8.3689999999999998</v>
      </c>
      <c r="G24" s="58">
        <v>14.585000000000001</v>
      </c>
      <c r="H24" s="58">
        <v>14.388</v>
      </c>
      <c r="I24" s="58">
        <v>11.129</v>
      </c>
      <c r="J24" s="58">
        <v>3.2589999999999999</v>
      </c>
      <c r="K24" s="58">
        <v>24.876999999999999</v>
      </c>
      <c r="L24" s="58">
        <v>9.0739999999999998</v>
      </c>
      <c r="M24" s="58">
        <v>15.802</v>
      </c>
      <c r="N24" s="58">
        <v>23.707000000000001</v>
      </c>
      <c r="O24" s="58">
        <v>8.7140000000000004</v>
      </c>
      <c r="P24" s="58">
        <v>14.993</v>
      </c>
      <c r="Q24" s="58">
        <v>135.63999999999999</v>
      </c>
      <c r="R24" s="58">
        <v>73.051000000000002</v>
      </c>
      <c r="S24" s="58">
        <v>62.588000000000001</v>
      </c>
      <c r="T24" s="58">
        <v>109.759</v>
      </c>
      <c r="U24" s="58">
        <v>64.072000000000003</v>
      </c>
      <c r="V24" s="58">
        <v>45.686</v>
      </c>
      <c r="W24" s="58">
        <v>25.881</v>
      </c>
      <c r="X24" s="58">
        <v>8.9789999999999992</v>
      </c>
      <c r="Y24" s="58">
        <v>16.902000000000001</v>
      </c>
      <c r="Z24" s="58">
        <v>14.125</v>
      </c>
      <c r="AA24" s="58">
        <v>8.593</v>
      </c>
      <c r="AB24" s="58">
        <v>5.532</v>
      </c>
      <c r="AC24" s="58">
        <v>2.0739999999999998</v>
      </c>
      <c r="AD24" s="58">
        <v>1.085</v>
      </c>
      <c r="AE24" s="58">
        <v>0.98899999999999999</v>
      </c>
      <c r="AF24" s="58">
        <v>0.996</v>
      </c>
      <c r="AG24" s="58">
        <v>0.70499999999999996</v>
      </c>
      <c r="AH24" s="58">
        <v>0.29099999999999998</v>
      </c>
      <c r="AI24" s="58">
        <v>0.996</v>
      </c>
      <c r="AJ24" s="58">
        <v>0.70499999999999996</v>
      </c>
      <c r="AK24" s="58">
        <v>0.29099999999999998</v>
      </c>
      <c r="AL24" s="58">
        <v>0</v>
      </c>
      <c r="AM24" s="58">
        <v>0</v>
      </c>
      <c r="AN24" s="58">
        <v>0</v>
      </c>
      <c r="AO24" s="58">
        <v>1.0780000000000001</v>
      </c>
      <c r="AP24" s="58">
        <v>0.38</v>
      </c>
      <c r="AQ24" s="58">
        <v>0.69799999999999995</v>
      </c>
      <c r="AR24" s="58">
        <v>13.109</v>
      </c>
      <c r="AS24" s="58">
        <v>7.9450000000000003</v>
      </c>
      <c r="AT24" s="58">
        <v>5.1630000000000003</v>
      </c>
      <c r="AU24" s="58">
        <v>8.0559999999999992</v>
      </c>
      <c r="AV24" s="58">
        <v>5.6239999999999997</v>
      </c>
      <c r="AW24" s="58">
        <v>2.4319999999999999</v>
      </c>
      <c r="AX24" s="58">
        <v>5.0529999999999999</v>
      </c>
      <c r="AY24" s="58">
        <v>2.3220000000000001</v>
      </c>
      <c r="AZ24" s="58">
        <v>2.7309999999999999</v>
      </c>
      <c r="BA24" s="58">
        <v>8.8059999999999992</v>
      </c>
      <c r="BB24" s="58">
        <v>6.1420000000000003</v>
      </c>
      <c r="BC24" s="58">
        <v>2.6629999999999998</v>
      </c>
      <c r="BD24" s="58">
        <v>5.319</v>
      </c>
      <c r="BE24" s="58">
        <v>2.4510000000000001</v>
      </c>
      <c r="BF24" s="58">
        <v>2.8679999999999999</v>
      </c>
      <c r="BG24" s="58">
        <v>6.0490000000000004</v>
      </c>
      <c r="BH24" s="58">
        <v>3.0270000000000001</v>
      </c>
      <c r="BI24" s="58">
        <v>3.0219999999999998</v>
      </c>
      <c r="BJ24" s="58">
        <v>209.55799999999999</v>
      </c>
      <c r="BK24" s="58">
        <v>105.383</v>
      </c>
      <c r="BL24" s="58">
        <v>104.175</v>
      </c>
      <c r="BM24" s="58">
        <v>153.642</v>
      </c>
      <c r="BN24" s="58">
        <v>88.307000000000002</v>
      </c>
      <c r="BO24" s="58">
        <v>65.335999999999999</v>
      </c>
      <c r="BP24" s="58">
        <v>55.914999999999999</v>
      </c>
      <c r="BQ24" s="58">
        <v>17.077000000000002</v>
      </c>
      <c r="BR24" s="58">
        <v>38.838999999999999</v>
      </c>
      <c r="BS24" s="58">
        <v>22.937000000000001</v>
      </c>
      <c r="BT24" s="58">
        <v>12.651</v>
      </c>
      <c r="BU24" s="58">
        <v>10.285</v>
      </c>
      <c r="BV24" s="58">
        <v>5.3979999999999997</v>
      </c>
      <c r="BW24" s="58">
        <v>3.6619999999999999</v>
      </c>
      <c r="BX24" s="58">
        <v>1.736</v>
      </c>
      <c r="BY24" s="58">
        <v>3.0950000000000002</v>
      </c>
      <c r="BZ24" s="58">
        <v>2.4180000000000001</v>
      </c>
      <c r="CA24" s="58">
        <v>0.67700000000000005</v>
      </c>
      <c r="CB24" s="58">
        <v>1.5089999999999999</v>
      </c>
      <c r="CC24" s="58">
        <v>1.1890000000000001</v>
      </c>
      <c r="CD24" s="58">
        <v>0.32</v>
      </c>
      <c r="CE24" s="58">
        <v>1.5860000000000001</v>
      </c>
      <c r="CF24" s="58">
        <v>1.2290000000000001</v>
      </c>
      <c r="CG24" s="58">
        <v>0.35699999999999998</v>
      </c>
      <c r="CH24" s="58">
        <v>2.3039999999999998</v>
      </c>
      <c r="CI24" s="58">
        <v>1.244</v>
      </c>
      <c r="CJ24" s="58">
        <v>1.06</v>
      </c>
      <c r="CK24" s="58">
        <v>19.846</v>
      </c>
      <c r="CL24" s="58">
        <v>10.467000000000001</v>
      </c>
      <c r="CM24" s="58">
        <v>9.3789999999999996</v>
      </c>
      <c r="CN24" s="58">
        <v>6.4160000000000004</v>
      </c>
      <c r="CO24" s="58">
        <v>4.84</v>
      </c>
      <c r="CP24" s="58">
        <v>1.5760000000000001</v>
      </c>
      <c r="CQ24" s="58">
        <v>13.43</v>
      </c>
      <c r="CR24" s="58">
        <v>5.6269999999999998</v>
      </c>
      <c r="CS24" s="58">
        <v>7.8019999999999996</v>
      </c>
      <c r="CT24" s="58">
        <v>8.4220000000000006</v>
      </c>
      <c r="CU24" s="58">
        <v>6.3049999999999997</v>
      </c>
      <c r="CV24" s="58">
        <v>2.117</v>
      </c>
      <c r="CW24" s="58">
        <v>14.515000000000001</v>
      </c>
      <c r="CX24" s="58">
        <v>6.3460000000000001</v>
      </c>
      <c r="CY24" s="58">
        <v>8.1679999999999993</v>
      </c>
      <c r="CZ24" s="58">
        <v>14.938000000000001</v>
      </c>
      <c r="DA24" s="58">
        <v>6.8159999999999998</v>
      </c>
      <c r="DB24" s="58">
        <v>8.1219999999999999</v>
      </c>
    </row>
    <row r="25" spans="1:106">
      <c r="A25" s="5">
        <v>42248</v>
      </c>
      <c r="B25" s="58">
        <v>12.448</v>
      </c>
      <c r="C25" s="58">
        <v>9.76</v>
      </c>
      <c r="D25" s="58">
        <v>2.6880000000000002</v>
      </c>
      <c r="E25" s="58">
        <v>24.262</v>
      </c>
      <c r="F25" s="58">
        <v>10.186999999999999</v>
      </c>
      <c r="G25" s="58">
        <v>14.074999999999999</v>
      </c>
      <c r="H25" s="58">
        <v>14.208</v>
      </c>
      <c r="I25" s="58">
        <v>10.943</v>
      </c>
      <c r="J25" s="58">
        <v>3.2650000000000001</v>
      </c>
      <c r="K25" s="58">
        <v>26.763000000000002</v>
      </c>
      <c r="L25" s="58">
        <v>11.176</v>
      </c>
      <c r="M25" s="58">
        <v>15.587999999999999</v>
      </c>
      <c r="N25" s="58">
        <v>25.323</v>
      </c>
      <c r="O25" s="58">
        <v>10.817</v>
      </c>
      <c r="P25" s="58">
        <v>14.506</v>
      </c>
      <c r="Q25" s="58">
        <v>136.83699999999999</v>
      </c>
      <c r="R25" s="58">
        <v>74.759</v>
      </c>
      <c r="S25" s="58">
        <v>62.078000000000003</v>
      </c>
      <c r="T25" s="58">
        <v>113.676</v>
      </c>
      <c r="U25" s="58">
        <v>67.823999999999998</v>
      </c>
      <c r="V25" s="58">
        <v>45.851999999999997</v>
      </c>
      <c r="W25" s="58">
        <v>23.161000000000001</v>
      </c>
      <c r="X25" s="58">
        <v>6.9349999999999996</v>
      </c>
      <c r="Y25" s="58">
        <v>16.225999999999999</v>
      </c>
      <c r="Z25" s="58">
        <v>14.379</v>
      </c>
      <c r="AA25" s="58">
        <v>7.43</v>
      </c>
      <c r="AB25" s="58">
        <v>6.9489999999999998</v>
      </c>
      <c r="AC25" s="58">
        <v>1.488</v>
      </c>
      <c r="AD25" s="58">
        <v>0.73799999999999999</v>
      </c>
      <c r="AE25" s="58">
        <v>0.75</v>
      </c>
      <c r="AF25" s="58">
        <v>1.028</v>
      </c>
      <c r="AG25" s="58">
        <v>0.61399999999999999</v>
      </c>
      <c r="AH25" s="58">
        <v>0.41399999999999998</v>
      </c>
      <c r="AI25" s="58">
        <v>0.58099999999999996</v>
      </c>
      <c r="AJ25" s="58">
        <v>0.42399999999999999</v>
      </c>
      <c r="AK25" s="58">
        <v>0.157</v>
      </c>
      <c r="AL25" s="58">
        <v>0.44700000000000001</v>
      </c>
      <c r="AM25" s="58">
        <v>0.19</v>
      </c>
      <c r="AN25" s="58">
        <v>0.25700000000000001</v>
      </c>
      <c r="AO25" s="58">
        <v>0.46</v>
      </c>
      <c r="AP25" s="58">
        <v>0.124</v>
      </c>
      <c r="AQ25" s="58">
        <v>0.33600000000000002</v>
      </c>
      <c r="AR25" s="58">
        <v>13.247</v>
      </c>
      <c r="AS25" s="58">
        <v>6.9790000000000001</v>
      </c>
      <c r="AT25" s="58">
        <v>6.2679999999999998</v>
      </c>
      <c r="AU25" s="58">
        <v>7.7530000000000001</v>
      </c>
      <c r="AV25" s="58">
        <v>4.6580000000000004</v>
      </c>
      <c r="AW25" s="58">
        <v>3.0950000000000002</v>
      </c>
      <c r="AX25" s="58">
        <v>5.4939999999999998</v>
      </c>
      <c r="AY25" s="58">
        <v>2.3210000000000002</v>
      </c>
      <c r="AZ25" s="58">
        <v>3.1720000000000002</v>
      </c>
      <c r="BA25" s="58">
        <v>8.4939999999999998</v>
      </c>
      <c r="BB25" s="58">
        <v>4.9850000000000003</v>
      </c>
      <c r="BC25" s="58">
        <v>3.5089999999999999</v>
      </c>
      <c r="BD25" s="58">
        <v>5.8849999999999998</v>
      </c>
      <c r="BE25" s="58">
        <v>2.4449999999999998</v>
      </c>
      <c r="BF25" s="58">
        <v>3.44</v>
      </c>
      <c r="BG25" s="58">
        <v>6.0750000000000002</v>
      </c>
      <c r="BH25" s="58">
        <v>2.7450000000000001</v>
      </c>
      <c r="BI25" s="58">
        <v>3.33</v>
      </c>
      <c r="BJ25" s="58">
        <v>210.583</v>
      </c>
      <c r="BK25" s="58">
        <v>105.77200000000001</v>
      </c>
      <c r="BL25" s="58">
        <v>104.81100000000001</v>
      </c>
      <c r="BM25" s="58">
        <v>151.61600000000001</v>
      </c>
      <c r="BN25" s="58">
        <v>85.21</v>
      </c>
      <c r="BO25" s="58">
        <v>66.406000000000006</v>
      </c>
      <c r="BP25" s="58">
        <v>58.966000000000001</v>
      </c>
      <c r="BQ25" s="58">
        <v>20.561</v>
      </c>
      <c r="BR25" s="58">
        <v>38.405000000000001</v>
      </c>
      <c r="BS25" s="58">
        <v>22.195</v>
      </c>
      <c r="BT25" s="58">
        <v>12.420999999999999</v>
      </c>
      <c r="BU25" s="58">
        <v>9.7739999999999991</v>
      </c>
      <c r="BV25" s="58">
        <v>4.3920000000000003</v>
      </c>
      <c r="BW25" s="58">
        <v>2.9319999999999999</v>
      </c>
      <c r="BX25" s="58">
        <v>1.4590000000000001</v>
      </c>
      <c r="BY25" s="58">
        <v>2.569</v>
      </c>
      <c r="BZ25" s="58">
        <v>1.903</v>
      </c>
      <c r="CA25" s="58">
        <v>0.66500000000000004</v>
      </c>
      <c r="CB25" s="58">
        <v>1.1970000000000001</v>
      </c>
      <c r="CC25" s="58">
        <v>1.1970000000000001</v>
      </c>
      <c r="CD25" s="58">
        <v>0</v>
      </c>
      <c r="CE25" s="58">
        <v>1.371</v>
      </c>
      <c r="CF25" s="58">
        <v>0.70599999999999996</v>
      </c>
      <c r="CG25" s="58">
        <v>0.66500000000000004</v>
      </c>
      <c r="CH25" s="58">
        <v>1.823</v>
      </c>
      <c r="CI25" s="58">
        <v>1.0289999999999999</v>
      </c>
      <c r="CJ25" s="58">
        <v>0.79400000000000004</v>
      </c>
      <c r="CK25" s="58">
        <v>19.318000000000001</v>
      </c>
      <c r="CL25" s="58">
        <v>10.519</v>
      </c>
      <c r="CM25" s="58">
        <v>8.7989999999999995</v>
      </c>
      <c r="CN25" s="58">
        <v>5.5149999999999997</v>
      </c>
      <c r="CO25" s="58">
        <v>4.3780000000000001</v>
      </c>
      <c r="CP25" s="58">
        <v>1.137</v>
      </c>
      <c r="CQ25" s="58">
        <v>13.803000000000001</v>
      </c>
      <c r="CR25" s="58">
        <v>6.141</v>
      </c>
      <c r="CS25" s="58">
        <v>7.6619999999999999</v>
      </c>
      <c r="CT25" s="58">
        <v>7.7519999999999998</v>
      </c>
      <c r="CU25" s="58">
        <v>5.95</v>
      </c>
      <c r="CV25" s="58">
        <v>1.802</v>
      </c>
      <c r="CW25" s="58">
        <v>14.442</v>
      </c>
      <c r="CX25" s="58">
        <v>6.47</v>
      </c>
      <c r="CY25" s="58">
        <v>7.9720000000000004</v>
      </c>
      <c r="CZ25" s="58">
        <v>15</v>
      </c>
      <c r="DA25" s="58">
        <v>7.3380000000000001</v>
      </c>
      <c r="DB25" s="58">
        <v>7.6619999999999999</v>
      </c>
    </row>
    <row r="26" spans="1:106">
      <c r="A26" s="5">
        <v>42278</v>
      </c>
      <c r="B26" s="58">
        <v>11.25</v>
      </c>
      <c r="C26" s="58">
        <v>9.4280000000000008</v>
      </c>
      <c r="D26" s="58">
        <v>1.8220000000000001</v>
      </c>
      <c r="E26" s="58">
        <v>24.523</v>
      </c>
      <c r="F26" s="58">
        <v>10.77</v>
      </c>
      <c r="G26" s="58">
        <v>13.753</v>
      </c>
      <c r="H26" s="58">
        <v>13.609</v>
      </c>
      <c r="I26" s="58">
        <v>10.975</v>
      </c>
      <c r="J26" s="58">
        <v>2.6339999999999999</v>
      </c>
      <c r="K26" s="58">
        <v>27.105</v>
      </c>
      <c r="L26" s="58">
        <v>12.178000000000001</v>
      </c>
      <c r="M26" s="58">
        <v>14.927</v>
      </c>
      <c r="N26" s="58">
        <v>25.881</v>
      </c>
      <c r="O26" s="58">
        <v>11.500999999999999</v>
      </c>
      <c r="P26" s="58">
        <v>14.381</v>
      </c>
      <c r="Q26" s="58">
        <v>134.58500000000001</v>
      </c>
      <c r="R26" s="58">
        <v>73.986999999999995</v>
      </c>
      <c r="S26" s="58">
        <v>60.597999999999999</v>
      </c>
      <c r="T26" s="58">
        <v>109.559</v>
      </c>
      <c r="U26" s="58">
        <v>66.075999999999993</v>
      </c>
      <c r="V26" s="58">
        <v>43.482999999999997</v>
      </c>
      <c r="W26" s="58">
        <v>25.024999999999999</v>
      </c>
      <c r="X26" s="58">
        <v>7.9109999999999996</v>
      </c>
      <c r="Y26" s="58">
        <v>17.114999999999998</v>
      </c>
      <c r="Z26" s="58">
        <v>13.788</v>
      </c>
      <c r="AA26" s="58">
        <v>8.0960000000000001</v>
      </c>
      <c r="AB26" s="58">
        <v>5.6920000000000002</v>
      </c>
      <c r="AC26" s="58">
        <v>1.877</v>
      </c>
      <c r="AD26" s="58">
        <v>1.175</v>
      </c>
      <c r="AE26" s="58">
        <v>0.70199999999999996</v>
      </c>
      <c r="AF26" s="58">
        <v>1.3069999999999999</v>
      </c>
      <c r="AG26" s="58">
        <v>1.014</v>
      </c>
      <c r="AH26" s="58">
        <v>0.29299999999999998</v>
      </c>
      <c r="AI26" s="58">
        <v>0.78600000000000003</v>
      </c>
      <c r="AJ26" s="58">
        <v>0.64900000000000002</v>
      </c>
      <c r="AK26" s="58">
        <v>0.13700000000000001</v>
      </c>
      <c r="AL26" s="58">
        <v>0.52100000000000002</v>
      </c>
      <c r="AM26" s="58">
        <v>0.36599999999999999</v>
      </c>
      <c r="AN26" s="58">
        <v>0.155</v>
      </c>
      <c r="AO26" s="58">
        <v>0.56999999999999995</v>
      </c>
      <c r="AP26" s="58">
        <v>0.16</v>
      </c>
      <c r="AQ26" s="58">
        <v>0.41</v>
      </c>
      <c r="AR26" s="58">
        <v>12.276</v>
      </c>
      <c r="AS26" s="58">
        <v>7.1520000000000001</v>
      </c>
      <c r="AT26" s="58">
        <v>5.125</v>
      </c>
      <c r="AU26" s="58">
        <v>5.9290000000000003</v>
      </c>
      <c r="AV26" s="58">
        <v>4.625</v>
      </c>
      <c r="AW26" s="58">
        <v>1.304</v>
      </c>
      <c r="AX26" s="58">
        <v>6.3470000000000004</v>
      </c>
      <c r="AY26" s="58">
        <v>2.5259999999999998</v>
      </c>
      <c r="AZ26" s="58">
        <v>3.8210000000000002</v>
      </c>
      <c r="BA26" s="58">
        <v>7.0069999999999997</v>
      </c>
      <c r="BB26" s="58">
        <v>5.48</v>
      </c>
      <c r="BC26" s="58">
        <v>1.5269999999999999</v>
      </c>
      <c r="BD26" s="58">
        <v>6.7809999999999997</v>
      </c>
      <c r="BE26" s="58">
        <v>2.6150000000000002</v>
      </c>
      <c r="BF26" s="58">
        <v>4.1660000000000004</v>
      </c>
      <c r="BG26" s="58">
        <v>7.133</v>
      </c>
      <c r="BH26" s="58">
        <v>3.1749999999999998</v>
      </c>
      <c r="BI26" s="58">
        <v>3.9580000000000002</v>
      </c>
      <c r="BJ26" s="58">
        <v>209.68700000000001</v>
      </c>
      <c r="BK26" s="58">
        <v>106.179</v>
      </c>
      <c r="BL26" s="58">
        <v>103.508</v>
      </c>
      <c r="BM26" s="58">
        <v>154.405</v>
      </c>
      <c r="BN26" s="58">
        <v>85.924999999999997</v>
      </c>
      <c r="BO26" s="58">
        <v>68.478999999999999</v>
      </c>
      <c r="BP26" s="58">
        <v>55.281999999999996</v>
      </c>
      <c r="BQ26" s="58">
        <v>20.254000000000001</v>
      </c>
      <c r="BR26" s="58">
        <v>35.027999999999999</v>
      </c>
      <c r="BS26" s="58">
        <v>21.186</v>
      </c>
      <c r="BT26" s="58">
        <v>11.568</v>
      </c>
      <c r="BU26" s="58">
        <v>9.6180000000000003</v>
      </c>
      <c r="BV26" s="58">
        <v>3.0430000000000001</v>
      </c>
      <c r="BW26" s="58">
        <v>2.1429999999999998</v>
      </c>
      <c r="BX26" s="58">
        <v>0.89900000000000002</v>
      </c>
      <c r="BY26" s="58">
        <v>1.1359999999999999</v>
      </c>
      <c r="BZ26" s="58">
        <v>1</v>
      </c>
      <c r="CA26" s="58">
        <v>0.13500000000000001</v>
      </c>
      <c r="CB26" s="58">
        <v>0.46200000000000002</v>
      </c>
      <c r="CC26" s="58">
        <v>0.32700000000000001</v>
      </c>
      <c r="CD26" s="58">
        <v>0.13500000000000001</v>
      </c>
      <c r="CE26" s="58">
        <v>0.67400000000000004</v>
      </c>
      <c r="CF26" s="58">
        <v>0.67400000000000004</v>
      </c>
      <c r="CG26" s="58">
        <v>0</v>
      </c>
      <c r="CH26" s="58">
        <v>1.907</v>
      </c>
      <c r="CI26" s="58">
        <v>1.143</v>
      </c>
      <c r="CJ26" s="58">
        <v>0.76400000000000001</v>
      </c>
      <c r="CK26" s="58">
        <v>19.495000000000001</v>
      </c>
      <c r="CL26" s="58">
        <v>10.218999999999999</v>
      </c>
      <c r="CM26" s="58">
        <v>9.2759999999999998</v>
      </c>
      <c r="CN26" s="58">
        <v>5.9480000000000004</v>
      </c>
      <c r="CO26" s="58">
        <v>3.99</v>
      </c>
      <c r="CP26" s="58">
        <v>1.958</v>
      </c>
      <c r="CQ26" s="58">
        <v>13.547000000000001</v>
      </c>
      <c r="CR26" s="58">
        <v>6.2290000000000001</v>
      </c>
      <c r="CS26" s="58">
        <v>7.3179999999999996</v>
      </c>
      <c r="CT26" s="58">
        <v>7.0839999999999996</v>
      </c>
      <c r="CU26" s="58">
        <v>4.99</v>
      </c>
      <c r="CV26" s="58">
        <v>2.0939999999999999</v>
      </c>
      <c r="CW26" s="58">
        <v>14.102</v>
      </c>
      <c r="CX26" s="58">
        <v>6.5780000000000003</v>
      </c>
      <c r="CY26" s="58">
        <v>7.524</v>
      </c>
      <c r="CZ26" s="58">
        <v>14.009</v>
      </c>
      <c r="DA26" s="58">
        <v>6.556</v>
      </c>
      <c r="DB26" s="58">
        <v>7.4530000000000003</v>
      </c>
    </row>
    <row r="27" spans="1:106">
      <c r="A27" s="5">
        <v>42309</v>
      </c>
      <c r="B27" s="58">
        <v>13.4</v>
      </c>
      <c r="C27" s="58">
        <v>9.9559999999999995</v>
      </c>
      <c r="D27" s="58">
        <v>3.444</v>
      </c>
      <c r="E27" s="58">
        <v>26.747</v>
      </c>
      <c r="F27" s="58">
        <v>11.257999999999999</v>
      </c>
      <c r="G27" s="58">
        <v>15.489000000000001</v>
      </c>
      <c r="H27" s="58">
        <v>14.644</v>
      </c>
      <c r="I27" s="58">
        <v>10.951000000000001</v>
      </c>
      <c r="J27" s="58">
        <v>3.6930000000000001</v>
      </c>
      <c r="K27" s="58">
        <v>27.904</v>
      </c>
      <c r="L27" s="58">
        <v>11.77</v>
      </c>
      <c r="M27" s="58">
        <v>16.134</v>
      </c>
      <c r="N27" s="58">
        <v>27.818000000000001</v>
      </c>
      <c r="O27" s="58">
        <v>12.079000000000001</v>
      </c>
      <c r="P27" s="58">
        <v>15.738</v>
      </c>
      <c r="Q27" s="58">
        <v>133.804</v>
      </c>
      <c r="R27" s="58">
        <v>71.786000000000001</v>
      </c>
      <c r="S27" s="58">
        <v>62.018999999999998</v>
      </c>
      <c r="T27" s="58">
        <v>107.10599999999999</v>
      </c>
      <c r="U27" s="58">
        <v>62.962000000000003</v>
      </c>
      <c r="V27" s="58">
        <v>44.143999999999998</v>
      </c>
      <c r="W27" s="58">
        <v>26.698</v>
      </c>
      <c r="X27" s="58">
        <v>8.8239999999999998</v>
      </c>
      <c r="Y27" s="58">
        <v>17.873999999999999</v>
      </c>
      <c r="Z27" s="58">
        <v>13.898</v>
      </c>
      <c r="AA27" s="58">
        <v>8.3030000000000008</v>
      </c>
      <c r="AB27" s="58">
        <v>5.5960000000000001</v>
      </c>
      <c r="AC27" s="58">
        <v>1.014</v>
      </c>
      <c r="AD27" s="58">
        <v>0.71299999999999997</v>
      </c>
      <c r="AE27" s="58">
        <v>0.3</v>
      </c>
      <c r="AF27" s="58">
        <v>0.72599999999999998</v>
      </c>
      <c r="AG27" s="58">
        <v>0.64800000000000002</v>
      </c>
      <c r="AH27" s="58">
        <v>7.8E-2</v>
      </c>
      <c r="AI27" s="58">
        <v>0.42499999999999999</v>
      </c>
      <c r="AJ27" s="58">
        <v>0.42499999999999999</v>
      </c>
      <c r="AK27" s="58">
        <v>0</v>
      </c>
      <c r="AL27" s="58">
        <v>0.30099999999999999</v>
      </c>
      <c r="AM27" s="58">
        <v>0.223</v>
      </c>
      <c r="AN27" s="58">
        <v>7.8E-2</v>
      </c>
      <c r="AO27" s="58">
        <v>0.28799999999999998</v>
      </c>
      <c r="AP27" s="58">
        <v>6.5000000000000002E-2</v>
      </c>
      <c r="AQ27" s="58">
        <v>0.222</v>
      </c>
      <c r="AR27" s="58">
        <v>13.335000000000001</v>
      </c>
      <c r="AS27" s="58">
        <v>8.0389999999999997</v>
      </c>
      <c r="AT27" s="58">
        <v>5.2960000000000003</v>
      </c>
      <c r="AU27" s="58">
        <v>6.3979999999999997</v>
      </c>
      <c r="AV27" s="58">
        <v>4.6619999999999999</v>
      </c>
      <c r="AW27" s="58">
        <v>1.736</v>
      </c>
      <c r="AX27" s="58">
        <v>6.9370000000000003</v>
      </c>
      <c r="AY27" s="58">
        <v>3.3780000000000001</v>
      </c>
      <c r="AZ27" s="58">
        <v>3.5590000000000002</v>
      </c>
      <c r="BA27" s="58">
        <v>6.7389999999999999</v>
      </c>
      <c r="BB27" s="58">
        <v>4.9249999999999998</v>
      </c>
      <c r="BC27" s="58">
        <v>1.8149999999999999</v>
      </c>
      <c r="BD27" s="58">
        <v>7.1589999999999998</v>
      </c>
      <c r="BE27" s="58">
        <v>3.3780000000000001</v>
      </c>
      <c r="BF27" s="58">
        <v>3.7810000000000001</v>
      </c>
      <c r="BG27" s="58">
        <v>7.3620000000000001</v>
      </c>
      <c r="BH27" s="58">
        <v>3.8029999999999999</v>
      </c>
      <c r="BI27" s="58">
        <v>3.5590000000000002</v>
      </c>
      <c r="BJ27" s="58">
        <v>213.709</v>
      </c>
      <c r="BK27" s="58">
        <v>106.599</v>
      </c>
      <c r="BL27" s="58">
        <v>107.111</v>
      </c>
      <c r="BM27" s="58">
        <v>154.41399999999999</v>
      </c>
      <c r="BN27" s="58">
        <v>85.971999999999994</v>
      </c>
      <c r="BO27" s="58">
        <v>68.442999999999998</v>
      </c>
      <c r="BP27" s="58">
        <v>59.295000000000002</v>
      </c>
      <c r="BQ27" s="58">
        <v>20.626999999999999</v>
      </c>
      <c r="BR27" s="58">
        <v>38.667999999999999</v>
      </c>
      <c r="BS27" s="58">
        <v>21.547999999999998</v>
      </c>
      <c r="BT27" s="58">
        <v>12.507999999999999</v>
      </c>
      <c r="BU27" s="58">
        <v>9.0399999999999991</v>
      </c>
      <c r="BV27" s="58">
        <v>3.2120000000000002</v>
      </c>
      <c r="BW27" s="58">
        <v>2.2450000000000001</v>
      </c>
      <c r="BX27" s="58">
        <v>0.96699999999999997</v>
      </c>
      <c r="BY27" s="58">
        <v>0.749</v>
      </c>
      <c r="BZ27" s="58">
        <v>0.59199999999999997</v>
      </c>
      <c r="CA27" s="58">
        <v>0.157</v>
      </c>
      <c r="CB27" s="58">
        <v>0.157</v>
      </c>
      <c r="CC27" s="58">
        <v>0</v>
      </c>
      <c r="CD27" s="58">
        <v>0.157</v>
      </c>
      <c r="CE27" s="58">
        <v>0.59199999999999997</v>
      </c>
      <c r="CF27" s="58">
        <v>0.59199999999999997</v>
      </c>
      <c r="CG27" s="58">
        <v>0</v>
      </c>
      <c r="CH27" s="58">
        <v>2.4630000000000001</v>
      </c>
      <c r="CI27" s="58">
        <v>1.653</v>
      </c>
      <c r="CJ27" s="58">
        <v>0.81</v>
      </c>
      <c r="CK27" s="58">
        <v>19.756</v>
      </c>
      <c r="CL27" s="58">
        <v>11.198</v>
      </c>
      <c r="CM27" s="58">
        <v>8.5579999999999998</v>
      </c>
      <c r="CN27" s="58">
        <v>6.1459999999999999</v>
      </c>
      <c r="CO27" s="58">
        <v>5.1029999999999998</v>
      </c>
      <c r="CP27" s="58">
        <v>1.0429999999999999</v>
      </c>
      <c r="CQ27" s="58">
        <v>13.61</v>
      </c>
      <c r="CR27" s="58">
        <v>6.0949999999999998</v>
      </c>
      <c r="CS27" s="58">
        <v>7.5149999999999997</v>
      </c>
      <c r="CT27" s="58">
        <v>6.8949999999999996</v>
      </c>
      <c r="CU27" s="58">
        <v>5.6950000000000003</v>
      </c>
      <c r="CV27" s="58">
        <v>1.2</v>
      </c>
      <c r="CW27" s="58">
        <v>14.653</v>
      </c>
      <c r="CX27" s="58">
        <v>6.8129999999999997</v>
      </c>
      <c r="CY27" s="58">
        <v>7.84</v>
      </c>
      <c r="CZ27" s="58">
        <v>13.766999999999999</v>
      </c>
      <c r="DA27" s="58">
        <v>6.0949999999999998</v>
      </c>
      <c r="DB27" s="58">
        <v>7.6719999999999997</v>
      </c>
    </row>
    <row r="28" spans="1:106">
      <c r="A28" s="5">
        <v>42339</v>
      </c>
      <c r="B28" s="58">
        <v>11.722</v>
      </c>
      <c r="C28" s="58">
        <v>7.8810000000000002</v>
      </c>
      <c r="D28" s="58">
        <v>3.8410000000000002</v>
      </c>
      <c r="E28" s="58">
        <v>25.54</v>
      </c>
      <c r="F28" s="58">
        <v>9.8529999999999998</v>
      </c>
      <c r="G28" s="58">
        <v>15.686999999999999</v>
      </c>
      <c r="H28" s="58">
        <v>12.952</v>
      </c>
      <c r="I28" s="58">
        <v>8.7669999999999995</v>
      </c>
      <c r="J28" s="58">
        <v>4.1849999999999996</v>
      </c>
      <c r="K28" s="58">
        <v>28.088000000000001</v>
      </c>
      <c r="L28" s="58">
        <v>10.446</v>
      </c>
      <c r="M28" s="58">
        <v>17.640999999999998</v>
      </c>
      <c r="N28" s="58">
        <v>26.175999999999998</v>
      </c>
      <c r="O28" s="58">
        <v>10.249000000000001</v>
      </c>
      <c r="P28" s="58">
        <v>15.927</v>
      </c>
      <c r="Q28" s="58">
        <v>135.91900000000001</v>
      </c>
      <c r="R28" s="58">
        <v>72.683000000000007</v>
      </c>
      <c r="S28" s="58">
        <v>63.237000000000002</v>
      </c>
      <c r="T28" s="58">
        <v>109.209</v>
      </c>
      <c r="U28" s="58">
        <v>63.664999999999999</v>
      </c>
      <c r="V28" s="58">
        <v>45.543999999999997</v>
      </c>
      <c r="W28" s="58">
        <v>26.71</v>
      </c>
      <c r="X28" s="58">
        <v>9.0180000000000007</v>
      </c>
      <c r="Y28" s="58">
        <v>17.693000000000001</v>
      </c>
      <c r="Z28" s="58">
        <v>14.118</v>
      </c>
      <c r="AA28" s="58">
        <v>7.3029999999999999</v>
      </c>
      <c r="AB28" s="58">
        <v>6.8150000000000004</v>
      </c>
      <c r="AC28" s="58">
        <v>2.0339999999999998</v>
      </c>
      <c r="AD28" s="58">
        <v>1.1930000000000001</v>
      </c>
      <c r="AE28" s="58">
        <v>0.84099999999999997</v>
      </c>
      <c r="AF28" s="58">
        <v>0.89</v>
      </c>
      <c r="AG28" s="58">
        <v>0.69499999999999995</v>
      </c>
      <c r="AH28" s="58">
        <v>0.19600000000000001</v>
      </c>
      <c r="AI28" s="58">
        <v>0.51700000000000002</v>
      </c>
      <c r="AJ28" s="58">
        <v>0.42699999999999999</v>
      </c>
      <c r="AK28" s="58">
        <v>0.09</v>
      </c>
      <c r="AL28" s="58">
        <v>0.373</v>
      </c>
      <c r="AM28" s="58">
        <v>0.26700000000000002</v>
      </c>
      <c r="AN28" s="58">
        <v>0.106</v>
      </c>
      <c r="AO28" s="58">
        <v>1.1439999999999999</v>
      </c>
      <c r="AP28" s="58">
        <v>0.499</v>
      </c>
      <c r="AQ28" s="58">
        <v>0.64500000000000002</v>
      </c>
      <c r="AR28" s="58">
        <v>12.721</v>
      </c>
      <c r="AS28" s="58">
        <v>6.5250000000000004</v>
      </c>
      <c r="AT28" s="58">
        <v>6.1959999999999997</v>
      </c>
      <c r="AU28" s="58">
        <v>5.5190000000000001</v>
      </c>
      <c r="AV28" s="58">
        <v>3.5910000000000002</v>
      </c>
      <c r="AW28" s="58">
        <v>1.929</v>
      </c>
      <c r="AX28" s="58">
        <v>7.202</v>
      </c>
      <c r="AY28" s="58">
        <v>2.9350000000000001</v>
      </c>
      <c r="AZ28" s="58">
        <v>4.2670000000000003</v>
      </c>
      <c r="BA28" s="58">
        <v>6.3310000000000004</v>
      </c>
      <c r="BB28" s="58">
        <v>4.2060000000000004</v>
      </c>
      <c r="BC28" s="58">
        <v>2.1240000000000001</v>
      </c>
      <c r="BD28" s="58">
        <v>7.7880000000000003</v>
      </c>
      <c r="BE28" s="58">
        <v>3.097</v>
      </c>
      <c r="BF28" s="58">
        <v>4.6909999999999998</v>
      </c>
      <c r="BG28" s="58">
        <v>7.718</v>
      </c>
      <c r="BH28" s="58">
        <v>3.3620000000000001</v>
      </c>
      <c r="BI28" s="58">
        <v>4.3559999999999999</v>
      </c>
      <c r="BJ28" s="58">
        <v>218.886</v>
      </c>
      <c r="BK28" s="58">
        <v>109.125</v>
      </c>
      <c r="BL28" s="58">
        <v>109.76</v>
      </c>
      <c r="BM28" s="58">
        <v>158.488</v>
      </c>
      <c r="BN28" s="58">
        <v>90.364000000000004</v>
      </c>
      <c r="BO28" s="58">
        <v>68.123999999999995</v>
      </c>
      <c r="BP28" s="58">
        <v>60.398000000000003</v>
      </c>
      <c r="BQ28" s="58">
        <v>18.760999999999999</v>
      </c>
      <c r="BR28" s="58">
        <v>41.637</v>
      </c>
      <c r="BS28" s="58">
        <v>25.326000000000001</v>
      </c>
      <c r="BT28" s="58">
        <v>11.743</v>
      </c>
      <c r="BU28" s="58">
        <v>13.584</v>
      </c>
      <c r="BV28" s="58">
        <v>4.9909999999999997</v>
      </c>
      <c r="BW28" s="58">
        <v>2.2749999999999999</v>
      </c>
      <c r="BX28" s="58">
        <v>2.7160000000000002</v>
      </c>
      <c r="BY28" s="58">
        <v>2.1469999999999998</v>
      </c>
      <c r="BZ28" s="58">
        <v>1.4830000000000001</v>
      </c>
      <c r="CA28" s="58">
        <v>0.66300000000000003</v>
      </c>
      <c r="CB28" s="58">
        <v>0.76200000000000001</v>
      </c>
      <c r="CC28" s="58">
        <v>0.76200000000000001</v>
      </c>
      <c r="CD28" s="58">
        <v>0</v>
      </c>
      <c r="CE28" s="58">
        <v>1.385</v>
      </c>
      <c r="CF28" s="58">
        <v>0.72199999999999998</v>
      </c>
      <c r="CG28" s="58">
        <v>0.66300000000000003</v>
      </c>
      <c r="CH28" s="58">
        <v>2.8439999999999999</v>
      </c>
      <c r="CI28" s="58">
        <v>0.79200000000000004</v>
      </c>
      <c r="CJ28" s="58">
        <v>2.0529999999999999</v>
      </c>
      <c r="CK28" s="58">
        <v>21.943000000000001</v>
      </c>
      <c r="CL28" s="58">
        <v>10.28</v>
      </c>
      <c r="CM28" s="58">
        <v>11.663</v>
      </c>
      <c r="CN28" s="58">
        <v>6.24</v>
      </c>
      <c r="CO28" s="58">
        <v>4.6269999999999998</v>
      </c>
      <c r="CP28" s="58">
        <v>1.613</v>
      </c>
      <c r="CQ28" s="58">
        <v>15.704000000000001</v>
      </c>
      <c r="CR28" s="58">
        <v>5.6529999999999996</v>
      </c>
      <c r="CS28" s="58">
        <v>10.050000000000001</v>
      </c>
      <c r="CT28" s="58">
        <v>7.9080000000000004</v>
      </c>
      <c r="CU28" s="58">
        <v>5.6319999999999997</v>
      </c>
      <c r="CV28" s="58">
        <v>2.2759999999999998</v>
      </c>
      <c r="CW28" s="58">
        <v>17.417999999999999</v>
      </c>
      <c r="CX28" s="58">
        <v>6.1109999999999998</v>
      </c>
      <c r="CY28" s="58">
        <v>11.307</v>
      </c>
      <c r="CZ28" s="58">
        <v>16.465</v>
      </c>
      <c r="DA28" s="58">
        <v>6.415</v>
      </c>
      <c r="DB28" s="58">
        <v>10.050000000000001</v>
      </c>
    </row>
    <row r="29" spans="1:106">
      <c r="A29" s="5">
        <v>42370</v>
      </c>
      <c r="B29" s="58">
        <v>11.967000000000001</v>
      </c>
      <c r="C29" s="58">
        <v>9.08</v>
      </c>
      <c r="D29" s="58">
        <v>2.887</v>
      </c>
      <c r="E29" s="58">
        <v>22.806999999999999</v>
      </c>
      <c r="F29" s="58">
        <v>9.657</v>
      </c>
      <c r="G29" s="58">
        <v>13.151</v>
      </c>
      <c r="H29" s="58">
        <v>15.071999999999999</v>
      </c>
      <c r="I29" s="58">
        <v>11.163</v>
      </c>
      <c r="J29" s="58">
        <v>3.91</v>
      </c>
      <c r="K29" s="58">
        <v>24.965</v>
      </c>
      <c r="L29" s="58">
        <v>10.95</v>
      </c>
      <c r="M29" s="58">
        <v>14.015000000000001</v>
      </c>
      <c r="N29" s="58">
        <v>24.687999999999999</v>
      </c>
      <c r="O29" s="58">
        <v>10.859</v>
      </c>
      <c r="P29" s="58">
        <v>13.829000000000001</v>
      </c>
      <c r="Q29" s="58">
        <v>132.41999999999999</v>
      </c>
      <c r="R29" s="58">
        <v>70.424000000000007</v>
      </c>
      <c r="S29" s="58">
        <v>61.996000000000002</v>
      </c>
      <c r="T29" s="58">
        <v>109.65300000000001</v>
      </c>
      <c r="U29" s="58">
        <v>62.575000000000003</v>
      </c>
      <c r="V29" s="58">
        <v>47.078000000000003</v>
      </c>
      <c r="W29" s="58">
        <v>22.766999999999999</v>
      </c>
      <c r="X29" s="58">
        <v>7.8490000000000002</v>
      </c>
      <c r="Y29" s="58">
        <v>14.917999999999999</v>
      </c>
      <c r="Z29" s="58">
        <v>13.755000000000001</v>
      </c>
      <c r="AA29" s="58">
        <v>7.4509999999999996</v>
      </c>
      <c r="AB29" s="58">
        <v>6.3040000000000003</v>
      </c>
      <c r="AC29" s="58">
        <v>2.452</v>
      </c>
      <c r="AD29" s="58">
        <v>1.593</v>
      </c>
      <c r="AE29" s="58">
        <v>0.85899999999999999</v>
      </c>
      <c r="AF29" s="58">
        <v>1.5429999999999999</v>
      </c>
      <c r="AG29" s="58">
        <v>1.157</v>
      </c>
      <c r="AH29" s="58">
        <v>0.38600000000000001</v>
      </c>
      <c r="AI29" s="58">
        <v>1.03</v>
      </c>
      <c r="AJ29" s="58">
        <v>0.73499999999999999</v>
      </c>
      <c r="AK29" s="58">
        <v>0.29499999999999998</v>
      </c>
      <c r="AL29" s="58">
        <v>0.51300000000000001</v>
      </c>
      <c r="AM29" s="58">
        <v>0.42199999999999999</v>
      </c>
      <c r="AN29" s="58">
        <v>9.1999999999999998E-2</v>
      </c>
      <c r="AO29" s="58">
        <v>0.90900000000000003</v>
      </c>
      <c r="AP29" s="58">
        <v>0.436</v>
      </c>
      <c r="AQ29" s="58">
        <v>0.47299999999999998</v>
      </c>
      <c r="AR29" s="58">
        <v>12.308999999999999</v>
      </c>
      <c r="AS29" s="58">
        <v>6.5350000000000001</v>
      </c>
      <c r="AT29" s="58">
        <v>5.774</v>
      </c>
      <c r="AU29" s="58">
        <v>6.4870000000000001</v>
      </c>
      <c r="AV29" s="58">
        <v>4.2649999999999997</v>
      </c>
      <c r="AW29" s="58">
        <v>2.222</v>
      </c>
      <c r="AX29" s="58">
        <v>5.8230000000000004</v>
      </c>
      <c r="AY29" s="58">
        <v>2.27</v>
      </c>
      <c r="AZ29" s="58">
        <v>3.552</v>
      </c>
      <c r="BA29" s="58">
        <v>7.556</v>
      </c>
      <c r="BB29" s="58">
        <v>5.0220000000000002</v>
      </c>
      <c r="BC29" s="58">
        <v>2.5339999999999998</v>
      </c>
      <c r="BD29" s="58">
        <v>6.1989999999999998</v>
      </c>
      <c r="BE29" s="58">
        <v>2.4289999999999998</v>
      </c>
      <c r="BF29" s="58">
        <v>3.77</v>
      </c>
      <c r="BG29" s="58">
        <v>6.8529999999999998</v>
      </c>
      <c r="BH29" s="58">
        <v>3.0049999999999999</v>
      </c>
      <c r="BI29" s="58">
        <v>3.847</v>
      </c>
      <c r="BJ29" s="58">
        <v>215.012</v>
      </c>
      <c r="BK29" s="58">
        <v>107.879</v>
      </c>
      <c r="BL29" s="58">
        <v>107.133</v>
      </c>
      <c r="BM29" s="58">
        <v>159.261</v>
      </c>
      <c r="BN29" s="58">
        <v>89.677000000000007</v>
      </c>
      <c r="BO29" s="58">
        <v>69.584999999999994</v>
      </c>
      <c r="BP29" s="58">
        <v>55.750999999999998</v>
      </c>
      <c r="BQ29" s="58">
        <v>18.202999999999999</v>
      </c>
      <c r="BR29" s="58">
        <v>37.548000000000002</v>
      </c>
      <c r="BS29" s="58">
        <v>26.562999999999999</v>
      </c>
      <c r="BT29" s="58">
        <v>13.872999999999999</v>
      </c>
      <c r="BU29" s="58">
        <v>12.689</v>
      </c>
      <c r="BV29" s="58">
        <v>5.7679999999999998</v>
      </c>
      <c r="BW29" s="58">
        <v>3.4020000000000001</v>
      </c>
      <c r="BX29" s="58">
        <v>2.3660000000000001</v>
      </c>
      <c r="BY29" s="58">
        <v>1.925</v>
      </c>
      <c r="BZ29" s="58">
        <v>1.3280000000000001</v>
      </c>
      <c r="CA29" s="58">
        <v>0.59699999999999998</v>
      </c>
      <c r="CB29" s="58">
        <v>0.90300000000000002</v>
      </c>
      <c r="CC29" s="58">
        <v>0.47199999999999998</v>
      </c>
      <c r="CD29" s="58">
        <v>0.43099999999999999</v>
      </c>
      <c r="CE29" s="58">
        <v>1.022</v>
      </c>
      <c r="CF29" s="58">
        <v>0.85599999999999998</v>
      </c>
      <c r="CG29" s="58">
        <v>0.16600000000000001</v>
      </c>
      <c r="CH29" s="58">
        <v>3.843</v>
      </c>
      <c r="CI29" s="58">
        <v>2.0739999999999998</v>
      </c>
      <c r="CJ29" s="58">
        <v>1.7689999999999999</v>
      </c>
      <c r="CK29" s="58">
        <v>23.396000000000001</v>
      </c>
      <c r="CL29" s="58">
        <v>11.952999999999999</v>
      </c>
      <c r="CM29" s="58">
        <v>11.443</v>
      </c>
      <c r="CN29" s="58">
        <v>7.8949999999999996</v>
      </c>
      <c r="CO29" s="58">
        <v>5.4859999999999998</v>
      </c>
      <c r="CP29" s="58">
        <v>2.4089999999999998</v>
      </c>
      <c r="CQ29" s="58">
        <v>15.5</v>
      </c>
      <c r="CR29" s="58">
        <v>6.4669999999999996</v>
      </c>
      <c r="CS29" s="58">
        <v>9.0340000000000007</v>
      </c>
      <c r="CT29" s="58">
        <v>9.5</v>
      </c>
      <c r="CU29" s="58">
        <v>6.6420000000000003</v>
      </c>
      <c r="CV29" s="58">
        <v>2.8570000000000002</v>
      </c>
      <c r="CW29" s="58">
        <v>17.062999999999999</v>
      </c>
      <c r="CX29" s="58">
        <v>7.2309999999999999</v>
      </c>
      <c r="CY29" s="58">
        <v>9.8320000000000007</v>
      </c>
      <c r="CZ29" s="58">
        <v>16.404</v>
      </c>
      <c r="DA29" s="58">
        <v>6.9379999999999997</v>
      </c>
      <c r="DB29" s="58">
        <v>9.4649999999999999</v>
      </c>
    </row>
    <row r="30" spans="1:106">
      <c r="A30" s="5">
        <v>42401</v>
      </c>
      <c r="B30" s="58">
        <v>11.565</v>
      </c>
      <c r="C30" s="58">
        <v>8.5909999999999993</v>
      </c>
      <c r="D30" s="58">
        <v>2.9740000000000002</v>
      </c>
      <c r="E30" s="58">
        <v>17.798999999999999</v>
      </c>
      <c r="F30" s="58">
        <v>6.8559999999999999</v>
      </c>
      <c r="G30" s="58">
        <v>10.944000000000001</v>
      </c>
      <c r="H30" s="58">
        <v>13.423</v>
      </c>
      <c r="I30" s="58">
        <v>9.7569999999999997</v>
      </c>
      <c r="J30" s="58">
        <v>3.6659999999999999</v>
      </c>
      <c r="K30" s="58">
        <v>20.54</v>
      </c>
      <c r="L30" s="58">
        <v>7.8869999999999996</v>
      </c>
      <c r="M30" s="58">
        <v>12.654</v>
      </c>
      <c r="N30" s="58">
        <v>19.402999999999999</v>
      </c>
      <c r="O30" s="58">
        <v>7.843</v>
      </c>
      <c r="P30" s="58">
        <v>11.56</v>
      </c>
      <c r="Q30" s="58">
        <v>130.851</v>
      </c>
      <c r="R30" s="58">
        <v>68.921000000000006</v>
      </c>
      <c r="S30" s="58">
        <v>61.93</v>
      </c>
      <c r="T30" s="58">
        <v>107.333</v>
      </c>
      <c r="U30" s="58">
        <v>61.55</v>
      </c>
      <c r="V30" s="58">
        <v>45.783000000000001</v>
      </c>
      <c r="W30" s="58">
        <v>23.516999999999999</v>
      </c>
      <c r="X30" s="58">
        <v>7.37</v>
      </c>
      <c r="Y30" s="58">
        <v>16.146999999999998</v>
      </c>
      <c r="Z30" s="58">
        <v>13.808</v>
      </c>
      <c r="AA30" s="58">
        <v>7.41</v>
      </c>
      <c r="AB30" s="58">
        <v>6.3970000000000002</v>
      </c>
      <c r="AC30" s="58">
        <v>2.6749999999999998</v>
      </c>
      <c r="AD30" s="58">
        <v>1.948</v>
      </c>
      <c r="AE30" s="58">
        <v>0.72699999999999998</v>
      </c>
      <c r="AF30" s="58">
        <v>1.4790000000000001</v>
      </c>
      <c r="AG30" s="58">
        <v>1.407</v>
      </c>
      <c r="AH30" s="58">
        <v>7.1999999999999995E-2</v>
      </c>
      <c r="AI30" s="58">
        <v>0.76100000000000001</v>
      </c>
      <c r="AJ30" s="58">
        <v>0.68899999999999995</v>
      </c>
      <c r="AK30" s="58">
        <v>7.1999999999999995E-2</v>
      </c>
      <c r="AL30" s="58">
        <v>0.71799999999999997</v>
      </c>
      <c r="AM30" s="58">
        <v>0.71799999999999997</v>
      </c>
      <c r="AN30" s="58">
        <v>0</v>
      </c>
      <c r="AO30" s="58">
        <v>1.196</v>
      </c>
      <c r="AP30" s="58">
        <v>0.54100000000000004</v>
      </c>
      <c r="AQ30" s="58">
        <v>0.65500000000000003</v>
      </c>
      <c r="AR30" s="58">
        <v>11.962999999999999</v>
      </c>
      <c r="AS30" s="58">
        <v>6.1040000000000001</v>
      </c>
      <c r="AT30" s="58">
        <v>5.859</v>
      </c>
      <c r="AU30" s="58">
        <v>5.5309999999999997</v>
      </c>
      <c r="AV30" s="58">
        <v>3.71</v>
      </c>
      <c r="AW30" s="58">
        <v>1.82</v>
      </c>
      <c r="AX30" s="58">
        <v>6.4329999999999998</v>
      </c>
      <c r="AY30" s="58">
        <v>2.3940000000000001</v>
      </c>
      <c r="AZ30" s="58">
        <v>4.0389999999999997</v>
      </c>
      <c r="BA30" s="58">
        <v>6.5279999999999996</v>
      </c>
      <c r="BB30" s="58">
        <v>4.6349999999999998</v>
      </c>
      <c r="BC30" s="58">
        <v>1.893</v>
      </c>
      <c r="BD30" s="58">
        <v>7.28</v>
      </c>
      <c r="BE30" s="58">
        <v>2.7749999999999999</v>
      </c>
      <c r="BF30" s="58">
        <v>4.5049999999999999</v>
      </c>
      <c r="BG30" s="58">
        <v>7.194</v>
      </c>
      <c r="BH30" s="58">
        <v>3.0830000000000002</v>
      </c>
      <c r="BI30" s="58">
        <v>4.1109999999999998</v>
      </c>
      <c r="BJ30" s="58">
        <v>212.642</v>
      </c>
      <c r="BK30" s="58">
        <v>105.991</v>
      </c>
      <c r="BL30" s="58">
        <v>106.651</v>
      </c>
      <c r="BM30" s="58">
        <v>157.84800000000001</v>
      </c>
      <c r="BN30" s="58">
        <v>88.911000000000001</v>
      </c>
      <c r="BO30" s="58">
        <v>68.936999999999998</v>
      </c>
      <c r="BP30" s="58">
        <v>54.792999999999999</v>
      </c>
      <c r="BQ30" s="58">
        <v>17.079000000000001</v>
      </c>
      <c r="BR30" s="58">
        <v>37.713999999999999</v>
      </c>
      <c r="BS30" s="58">
        <v>22.86</v>
      </c>
      <c r="BT30" s="58">
        <v>12.244999999999999</v>
      </c>
      <c r="BU30" s="58">
        <v>10.615</v>
      </c>
      <c r="BV30" s="58">
        <v>3.7229999999999999</v>
      </c>
      <c r="BW30" s="58">
        <v>2.4489999999999998</v>
      </c>
      <c r="BX30" s="58">
        <v>1.274</v>
      </c>
      <c r="BY30" s="58">
        <v>1.1000000000000001</v>
      </c>
      <c r="BZ30" s="58">
        <v>0.70099999999999996</v>
      </c>
      <c r="CA30" s="58">
        <v>0.39900000000000002</v>
      </c>
      <c r="CB30" s="58">
        <v>0.90100000000000002</v>
      </c>
      <c r="CC30" s="58">
        <v>0.70099999999999996</v>
      </c>
      <c r="CD30" s="58">
        <v>0.2</v>
      </c>
      <c r="CE30" s="58">
        <v>0.2</v>
      </c>
      <c r="CF30" s="58">
        <v>0</v>
      </c>
      <c r="CG30" s="58">
        <v>0.2</v>
      </c>
      <c r="CH30" s="58">
        <v>2.6219999999999999</v>
      </c>
      <c r="CI30" s="58">
        <v>1.748</v>
      </c>
      <c r="CJ30" s="58">
        <v>0.874</v>
      </c>
      <c r="CK30" s="58">
        <v>20.568999999999999</v>
      </c>
      <c r="CL30" s="58">
        <v>11.039</v>
      </c>
      <c r="CM30" s="58">
        <v>9.5299999999999994</v>
      </c>
      <c r="CN30" s="58">
        <v>9.2469999999999999</v>
      </c>
      <c r="CO30" s="58">
        <v>6.4420000000000002</v>
      </c>
      <c r="CP30" s="58">
        <v>2.8050000000000002</v>
      </c>
      <c r="CQ30" s="58">
        <v>11.321999999999999</v>
      </c>
      <c r="CR30" s="58">
        <v>4.5970000000000004</v>
      </c>
      <c r="CS30" s="58">
        <v>6.7249999999999996</v>
      </c>
      <c r="CT30" s="58">
        <v>10.004</v>
      </c>
      <c r="CU30" s="58">
        <v>6.8</v>
      </c>
      <c r="CV30" s="58">
        <v>3.2050000000000001</v>
      </c>
      <c r="CW30" s="58">
        <v>12.855</v>
      </c>
      <c r="CX30" s="58">
        <v>5.4450000000000003</v>
      </c>
      <c r="CY30" s="58">
        <v>7.41</v>
      </c>
      <c r="CZ30" s="58">
        <v>12.222</v>
      </c>
      <c r="DA30" s="58">
        <v>5.298</v>
      </c>
      <c r="DB30" s="58">
        <v>6.9249999999999998</v>
      </c>
    </row>
    <row r="31" spans="1:106">
      <c r="A31" s="5">
        <v>42430</v>
      </c>
      <c r="B31" s="58">
        <v>10.629</v>
      </c>
      <c r="C31" s="58">
        <v>8.2170000000000005</v>
      </c>
      <c r="D31" s="58">
        <v>2.4119999999999999</v>
      </c>
      <c r="E31" s="58">
        <v>18.995000000000001</v>
      </c>
      <c r="F31" s="58">
        <v>7.9870000000000001</v>
      </c>
      <c r="G31" s="58">
        <v>11.007999999999999</v>
      </c>
      <c r="H31" s="58">
        <v>12.712999999999999</v>
      </c>
      <c r="I31" s="58">
        <v>9.9589999999999996</v>
      </c>
      <c r="J31" s="58">
        <v>2.7549999999999999</v>
      </c>
      <c r="K31" s="58">
        <v>21.327999999999999</v>
      </c>
      <c r="L31" s="58">
        <v>8.3620000000000001</v>
      </c>
      <c r="M31" s="58">
        <v>12.965999999999999</v>
      </c>
      <c r="N31" s="58">
        <v>20.983000000000001</v>
      </c>
      <c r="O31" s="58">
        <v>9.6319999999999997</v>
      </c>
      <c r="P31" s="58">
        <v>11.351000000000001</v>
      </c>
      <c r="Q31" s="58">
        <v>130.965</v>
      </c>
      <c r="R31" s="58">
        <v>69.072000000000003</v>
      </c>
      <c r="S31" s="58">
        <v>61.893000000000001</v>
      </c>
      <c r="T31" s="58">
        <v>106.09099999999999</v>
      </c>
      <c r="U31" s="58">
        <v>60.795999999999999</v>
      </c>
      <c r="V31" s="58">
        <v>45.295000000000002</v>
      </c>
      <c r="W31" s="58">
        <v>24.873999999999999</v>
      </c>
      <c r="X31" s="58">
        <v>8.2759999999999998</v>
      </c>
      <c r="Y31" s="58">
        <v>16.597999999999999</v>
      </c>
      <c r="Z31" s="58">
        <v>14.882</v>
      </c>
      <c r="AA31" s="58">
        <v>7.8650000000000002</v>
      </c>
      <c r="AB31" s="58">
        <v>7.016</v>
      </c>
      <c r="AC31" s="58">
        <v>1.591</v>
      </c>
      <c r="AD31" s="58">
        <v>1.08</v>
      </c>
      <c r="AE31" s="58">
        <v>0.51100000000000001</v>
      </c>
      <c r="AF31" s="58">
        <v>0.96899999999999997</v>
      </c>
      <c r="AG31" s="58">
        <v>0.70099999999999996</v>
      </c>
      <c r="AH31" s="58">
        <v>0.26800000000000002</v>
      </c>
      <c r="AI31" s="58">
        <v>0.46100000000000002</v>
      </c>
      <c r="AJ31" s="58">
        <v>0.255</v>
      </c>
      <c r="AK31" s="58">
        <v>0.20599999999999999</v>
      </c>
      <c r="AL31" s="58">
        <v>0.50800000000000001</v>
      </c>
      <c r="AM31" s="58">
        <v>0.44600000000000001</v>
      </c>
      <c r="AN31" s="58">
        <v>6.2E-2</v>
      </c>
      <c r="AO31" s="58">
        <v>0.622</v>
      </c>
      <c r="AP31" s="58">
        <v>0.378</v>
      </c>
      <c r="AQ31" s="58">
        <v>0.24299999999999999</v>
      </c>
      <c r="AR31" s="58">
        <v>13.938000000000001</v>
      </c>
      <c r="AS31" s="58">
        <v>7.1289999999999996</v>
      </c>
      <c r="AT31" s="58">
        <v>6.8090000000000002</v>
      </c>
      <c r="AU31" s="58">
        <v>7.3019999999999996</v>
      </c>
      <c r="AV31" s="58">
        <v>4.7590000000000003</v>
      </c>
      <c r="AW31" s="58">
        <v>2.5419999999999998</v>
      </c>
      <c r="AX31" s="58">
        <v>6.6360000000000001</v>
      </c>
      <c r="AY31" s="58">
        <v>2.3690000000000002</v>
      </c>
      <c r="AZ31" s="58">
        <v>4.2670000000000003</v>
      </c>
      <c r="BA31" s="58">
        <v>7.899</v>
      </c>
      <c r="BB31" s="58">
        <v>5.2939999999999996</v>
      </c>
      <c r="BC31" s="58">
        <v>2.6040000000000001</v>
      </c>
      <c r="BD31" s="58">
        <v>6.9829999999999997</v>
      </c>
      <c r="BE31" s="58">
        <v>2.5710000000000002</v>
      </c>
      <c r="BF31" s="58">
        <v>4.4119999999999999</v>
      </c>
      <c r="BG31" s="58">
        <v>7.0970000000000004</v>
      </c>
      <c r="BH31" s="58">
        <v>2.6240000000000001</v>
      </c>
      <c r="BI31" s="58">
        <v>4.4720000000000004</v>
      </c>
      <c r="BJ31" s="58">
        <v>216.643</v>
      </c>
      <c r="BK31" s="58">
        <v>108.684</v>
      </c>
      <c r="BL31" s="58">
        <v>107.959</v>
      </c>
      <c r="BM31" s="58">
        <v>156.78</v>
      </c>
      <c r="BN31" s="58">
        <v>88.819000000000003</v>
      </c>
      <c r="BO31" s="58">
        <v>67.960999999999999</v>
      </c>
      <c r="BP31" s="58">
        <v>59.862000000000002</v>
      </c>
      <c r="BQ31" s="58">
        <v>19.864999999999998</v>
      </c>
      <c r="BR31" s="58">
        <v>39.997</v>
      </c>
      <c r="BS31" s="58">
        <v>23.899000000000001</v>
      </c>
      <c r="BT31" s="58">
        <v>11.848000000000001</v>
      </c>
      <c r="BU31" s="58">
        <v>12.051</v>
      </c>
      <c r="BV31" s="58">
        <v>3.0009999999999999</v>
      </c>
      <c r="BW31" s="58">
        <v>1.875</v>
      </c>
      <c r="BX31" s="58">
        <v>1.1259999999999999</v>
      </c>
      <c r="BY31" s="58">
        <v>0.88300000000000001</v>
      </c>
      <c r="BZ31" s="58">
        <v>0.88300000000000001</v>
      </c>
      <c r="CA31" s="58">
        <v>0</v>
      </c>
      <c r="CB31" s="58">
        <v>0</v>
      </c>
      <c r="CC31" s="58">
        <v>0</v>
      </c>
      <c r="CD31" s="58">
        <v>0</v>
      </c>
      <c r="CE31" s="58">
        <v>0.88300000000000001</v>
      </c>
      <c r="CF31" s="58">
        <v>0.88300000000000001</v>
      </c>
      <c r="CG31" s="58">
        <v>0</v>
      </c>
      <c r="CH31" s="58">
        <v>2.1179999999999999</v>
      </c>
      <c r="CI31" s="58">
        <v>0.99199999999999999</v>
      </c>
      <c r="CJ31" s="58">
        <v>1.1259999999999999</v>
      </c>
      <c r="CK31" s="58">
        <v>21.850999999999999</v>
      </c>
      <c r="CL31" s="58">
        <v>10.484999999999999</v>
      </c>
      <c r="CM31" s="58">
        <v>11.367000000000001</v>
      </c>
      <c r="CN31" s="58">
        <v>7.4089999999999998</v>
      </c>
      <c r="CO31" s="58">
        <v>5.2469999999999999</v>
      </c>
      <c r="CP31" s="58">
        <v>2.1619999999999999</v>
      </c>
      <c r="CQ31" s="58">
        <v>14.443</v>
      </c>
      <c r="CR31" s="58">
        <v>5.2380000000000004</v>
      </c>
      <c r="CS31" s="58">
        <v>9.2050000000000001</v>
      </c>
      <c r="CT31" s="58">
        <v>8.2910000000000004</v>
      </c>
      <c r="CU31" s="58">
        <v>6.13</v>
      </c>
      <c r="CV31" s="58">
        <v>2.1619999999999999</v>
      </c>
      <c r="CW31" s="58">
        <v>15.606999999999999</v>
      </c>
      <c r="CX31" s="58">
        <v>5.718</v>
      </c>
      <c r="CY31" s="58">
        <v>9.8889999999999993</v>
      </c>
      <c r="CZ31" s="58">
        <v>14.443</v>
      </c>
      <c r="DA31" s="58">
        <v>5.2380000000000004</v>
      </c>
      <c r="DB31" s="58">
        <v>9.2050000000000001</v>
      </c>
    </row>
    <row r="32" spans="1:106">
      <c r="A32" s="5">
        <v>42461</v>
      </c>
      <c r="B32" s="58">
        <v>10.226000000000001</v>
      </c>
      <c r="C32" s="58">
        <v>7.72</v>
      </c>
      <c r="D32" s="58">
        <v>2.5059999999999998</v>
      </c>
      <c r="E32" s="58">
        <v>22.687999999999999</v>
      </c>
      <c r="F32" s="58">
        <v>9.3800000000000008</v>
      </c>
      <c r="G32" s="58">
        <v>13.308</v>
      </c>
      <c r="H32" s="58">
        <v>11.837999999999999</v>
      </c>
      <c r="I32" s="58">
        <v>9.1270000000000007</v>
      </c>
      <c r="J32" s="58">
        <v>2.71</v>
      </c>
      <c r="K32" s="58">
        <v>24.422000000000001</v>
      </c>
      <c r="L32" s="58">
        <v>10.013999999999999</v>
      </c>
      <c r="M32" s="58">
        <v>14.409000000000001</v>
      </c>
      <c r="N32" s="58">
        <v>23.504999999999999</v>
      </c>
      <c r="O32" s="58">
        <v>9.9570000000000007</v>
      </c>
      <c r="P32" s="58">
        <v>13.548</v>
      </c>
      <c r="Q32" s="58">
        <v>133.512</v>
      </c>
      <c r="R32" s="58">
        <v>69.933000000000007</v>
      </c>
      <c r="S32" s="58">
        <v>63.579000000000001</v>
      </c>
      <c r="T32" s="58">
        <v>109.393</v>
      </c>
      <c r="U32" s="58">
        <v>62.985999999999997</v>
      </c>
      <c r="V32" s="58">
        <v>46.406999999999996</v>
      </c>
      <c r="W32" s="58">
        <v>24.119</v>
      </c>
      <c r="X32" s="58">
        <v>6.9470000000000001</v>
      </c>
      <c r="Y32" s="58">
        <v>17.172000000000001</v>
      </c>
      <c r="Z32" s="58">
        <v>14.365</v>
      </c>
      <c r="AA32" s="58">
        <v>7.766</v>
      </c>
      <c r="AB32" s="58">
        <v>6.6</v>
      </c>
      <c r="AC32" s="58">
        <v>2.3370000000000002</v>
      </c>
      <c r="AD32" s="58">
        <v>1.5860000000000001</v>
      </c>
      <c r="AE32" s="58">
        <v>0.751</v>
      </c>
      <c r="AF32" s="58">
        <v>1.157</v>
      </c>
      <c r="AG32" s="58">
        <v>1.085</v>
      </c>
      <c r="AH32" s="58">
        <v>7.1999999999999995E-2</v>
      </c>
      <c r="AI32" s="58">
        <v>0.79600000000000004</v>
      </c>
      <c r="AJ32" s="58">
        <v>0.72399999999999998</v>
      </c>
      <c r="AK32" s="58">
        <v>7.1999999999999995E-2</v>
      </c>
      <c r="AL32" s="58">
        <v>0.36099999999999999</v>
      </c>
      <c r="AM32" s="58">
        <v>0.36099999999999999</v>
      </c>
      <c r="AN32" s="58">
        <v>0</v>
      </c>
      <c r="AO32" s="58">
        <v>1.18</v>
      </c>
      <c r="AP32" s="58">
        <v>0.501</v>
      </c>
      <c r="AQ32" s="58">
        <v>0.67900000000000005</v>
      </c>
      <c r="AR32" s="58">
        <v>13.195</v>
      </c>
      <c r="AS32" s="58">
        <v>7.0419999999999998</v>
      </c>
      <c r="AT32" s="58">
        <v>6.1529999999999996</v>
      </c>
      <c r="AU32" s="58">
        <v>6.4409999999999998</v>
      </c>
      <c r="AV32" s="58">
        <v>4.5090000000000003</v>
      </c>
      <c r="AW32" s="58">
        <v>1.9319999999999999</v>
      </c>
      <c r="AX32" s="58">
        <v>6.7530000000000001</v>
      </c>
      <c r="AY32" s="58">
        <v>2.5329999999999999</v>
      </c>
      <c r="AZ32" s="58">
        <v>4.22</v>
      </c>
      <c r="BA32" s="58">
        <v>7.1020000000000003</v>
      </c>
      <c r="BB32" s="58">
        <v>5.0979999999999999</v>
      </c>
      <c r="BC32" s="58">
        <v>2.004</v>
      </c>
      <c r="BD32" s="58">
        <v>7.2629999999999999</v>
      </c>
      <c r="BE32" s="58">
        <v>2.6680000000000001</v>
      </c>
      <c r="BF32" s="58">
        <v>4.5949999999999998</v>
      </c>
      <c r="BG32" s="58">
        <v>7.55</v>
      </c>
      <c r="BH32" s="58">
        <v>3.2570000000000001</v>
      </c>
      <c r="BI32" s="58">
        <v>4.2930000000000001</v>
      </c>
      <c r="BJ32" s="58">
        <v>217.18700000000001</v>
      </c>
      <c r="BK32" s="58">
        <v>109.85</v>
      </c>
      <c r="BL32" s="58">
        <v>107.337</v>
      </c>
      <c r="BM32" s="58">
        <v>157.97200000000001</v>
      </c>
      <c r="BN32" s="58">
        <v>89.814999999999998</v>
      </c>
      <c r="BO32" s="58">
        <v>68.156000000000006</v>
      </c>
      <c r="BP32" s="58">
        <v>59.215000000000003</v>
      </c>
      <c r="BQ32" s="58">
        <v>20.033999999999999</v>
      </c>
      <c r="BR32" s="58">
        <v>39.180999999999997</v>
      </c>
      <c r="BS32" s="58">
        <v>24.606999999999999</v>
      </c>
      <c r="BT32" s="58">
        <v>12.377000000000001</v>
      </c>
      <c r="BU32" s="58">
        <v>12.23</v>
      </c>
      <c r="BV32" s="58">
        <v>3.7450000000000001</v>
      </c>
      <c r="BW32" s="58">
        <v>1.786</v>
      </c>
      <c r="BX32" s="58">
        <v>1.9590000000000001</v>
      </c>
      <c r="BY32" s="58">
        <v>1.573</v>
      </c>
      <c r="BZ32" s="58">
        <v>1.417</v>
      </c>
      <c r="CA32" s="58">
        <v>0.155</v>
      </c>
      <c r="CB32" s="58">
        <v>1.2669999999999999</v>
      </c>
      <c r="CC32" s="58">
        <v>1.1120000000000001</v>
      </c>
      <c r="CD32" s="58">
        <v>0.155</v>
      </c>
      <c r="CE32" s="58">
        <v>0.30499999999999999</v>
      </c>
      <c r="CF32" s="58">
        <v>0.30499999999999999</v>
      </c>
      <c r="CG32" s="58">
        <v>0</v>
      </c>
      <c r="CH32" s="58">
        <v>2.173</v>
      </c>
      <c r="CI32" s="58">
        <v>0.36899999999999999</v>
      </c>
      <c r="CJ32" s="58">
        <v>1.804</v>
      </c>
      <c r="CK32" s="58">
        <v>22.382000000000001</v>
      </c>
      <c r="CL32" s="58">
        <v>11.305999999999999</v>
      </c>
      <c r="CM32" s="58">
        <v>11.076000000000001</v>
      </c>
      <c r="CN32" s="58">
        <v>10.348000000000001</v>
      </c>
      <c r="CO32" s="58">
        <v>7.5030000000000001</v>
      </c>
      <c r="CP32" s="58">
        <v>2.8439999999999999</v>
      </c>
      <c r="CQ32" s="58">
        <v>12.034000000000001</v>
      </c>
      <c r="CR32" s="58">
        <v>3.802</v>
      </c>
      <c r="CS32" s="58">
        <v>8.2319999999999993</v>
      </c>
      <c r="CT32" s="58">
        <v>11.302</v>
      </c>
      <c r="CU32" s="58">
        <v>8.3030000000000008</v>
      </c>
      <c r="CV32" s="58">
        <v>2.9990000000000001</v>
      </c>
      <c r="CW32" s="58">
        <v>13.305</v>
      </c>
      <c r="CX32" s="58">
        <v>4.0739999999999998</v>
      </c>
      <c r="CY32" s="58">
        <v>9.2309999999999999</v>
      </c>
      <c r="CZ32" s="58">
        <v>13.302</v>
      </c>
      <c r="DA32" s="58">
        <v>4.9139999999999997</v>
      </c>
      <c r="DB32" s="58">
        <v>8.3870000000000005</v>
      </c>
    </row>
    <row r="33" spans="1:106">
      <c r="A33" s="5">
        <v>42491</v>
      </c>
      <c r="B33" s="58">
        <v>10.616</v>
      </c>
      <c r="C33" s="58">
        <v>8.0510000000000002</v>
      </c>
      <c r="D33" s="58">
        <v>2.5649999999999999</v>
      </c>
      <c r="E33" s="58">
        <v>22.052</v>
      </c>
      <c r="F33" s="58">
        <v>7.8879999999999999</v>
      </c>
      <c r="G33" s="58">
        <v>14.164</v>
      </c>
      <c r="H33" s="58">
        <v>12.057</v>
      </c>
      <c r="I33" s="58">
        <v>9.2289999999999992</v>
      </c>
      <c r="J33" s="58">
        <v>2.8279999999999998</v>
      </c>
      <c r="K33" s="58">
        <v>25.417000000000002</v>
      </c>
      <c r="L33" s="58">
        <v>9.2550000000000008</v>
      </c>
      <c r="M33" s="58">
        <v>16.161999999999999</v>
      </c>
      <c r="N33" s="58">
        <v>23.170999999999999</v>
      </c>
      <c r="O33" s="58">
        <v>8.5950000000000006</v>
      </c>
      <c r="P33" s="58">
        <v>14.576000000000001</v>
      </c>
      <c r="Q33" s="58">
        <v>137.48099999999999</v>
      </c>
      <c r="R33" s="58">
        <v>72.706000000000003</v>
      </c>
      <c r="S33" s="58">
        <v>64.775000000000006</v>
      </c>
      <c r="T33" s="58">
        <v>109.139</v>
      </c>
      <c r="U33" s="58">
        <v>63.292999999999999</v>
      </c>
      <c r="V33" s="58">
        <v>45.845999999999997</v>
      </c>
      <c r="W33" s="58">
        <v>28.343</v>
      </c>
      <c r="X33" s="58">
        <v>9.4130000000000003</v>
      </c>
      <c r="Y33" s="58">
        <v>18.928999999999998</v>
      </c>
      <c r="Z33" s="58">
        <v>16.388000000000002</v>
      </c>
      <c r="AA33" s="58">
        <v>9.5640000000000001</v>
      </c>
      <c r="AB33" s="58">
        <v>6.8239999999999998</v>
      </c>
      <c r="AC33" s="58">
        <v>1.327</v>
      </c>
      <c r="AD33" s="58">
        <v>0.89700000000000002</v>
      </c>
      <c r="AE33" s="58">
        <v>0.43</v>
      </c>
      <c r="AF33" s="58">
        <v>0.92800000000000005</v>
      </c>
      <c r="AG33" s="58">
        <v>0.72</v>
      </c>
      <c r="AH33" s="58">
        <v>0.20799999999999999</v>
      </c>
      <c r="AI33" s="58">
        <v>0.503</v>
      </c>
      <c r="AJ33" s="58">
        <v>0.29399999999999998</v>
      </c>
      <c r="AK33" s="58">
        <v>0.20799999999999999</v>
      </c>
      <c r="AL33" s="58">
        <v>0.42599999999999999</v>
      </c>
      <c r="AM33" s="58">
        <v>0.42599999999999999</v>
      </c>
      <c r="AN33" s="58">
        <v>0</v>
      </c>
      <c r="AO33" s="58">
        <v>0.39900000000000002</v>
      </c>
      <c r="AP33" s="58">
        <v>0.17699999999999999</v>
      </c>
      <c r="AQ33" s="58">
        <v>0.222</v>
      </c>
      <c r="AR33" s="58">
        <v>15.343</v>
      </c>
      <c r="AS33" s="58">
        <v>8.7409999999999997</v>
      </c>
      <c r="AT33" s="58">
        <v>6.6020000000000003</v>
      </c>
      <c r="AU33" s="58">
        <v>8.7029999999999994</v>
      </c>
      <c r="AV33" s="58">
        <v>5.98</v>
      </c>
      <c r="AW33" s="58">
        <v>2.7229999999999999</v>
      </c>
      <c r="AX33" s="58">
        <v>6.64</v>
      </c>
      <c r="AY33" s="58">
        <v>2.7610000000000001</v>
      </c>
      <c r="AZ33" s="58">
        <v>3.879</v>
      </c>
      <c r="BA33" s="58">
        <v>9.5709999999999997</v>
      </c>
      <c r="BB33" s="58">
        <v>6.7</v>
      </c>
      <c r="BC33" s="58">
        <v>2.871</v>
      </c>
      <c r="BD33" s="58">
        <v>6.8170000000000002</v>
      </c>
      <c r="BE33" s="58">
        <v>2.8639999999999999</v>
      </c>
      <c r="BF33" s="58">
        <v>3.9529999999999998</v>
      </c>
      <c r="BG33" s="58">
        <v>7.1420000000000003</v>
      </c>
      <c r="BH33" s="58">
        <v>3.0550000000000002</v>
      </c>
      <c r="BI33" s="58">
        <v>4.0869999999999997</v>
      </c>
      <c r="BJ33" s="58">
        <v>218.48500000000001</v>
      </c>
      <c r="BK33" s="58">
        <v>110.925</v>
      </c>
      <c r="BL33" s="58">
        <v>107.56100000000001</v>
      </c>
      <c r="BM33" s="58">
        <v>158.571</v>
      </c>
      <c r="BN33" s="58">
        <v>90.86</v>
      </c>
      <c r="BO33" s="58">
        <v>67.710999999999999</v>
      </c>
      <c r="BP33" s="58">
        <v>59.914000000000001</v>
      </c>
      <c r="BQ33" s="58">
        <v>20.065000000000001</v>
      </c>
      <c r="BR33" s="58">
        <v>39.848999999999997</v>
      </c>
      <c r="BS33" s="58">
        <v>25.666</v>
      </c>
      <c r="BT33" s="58">
        <v>14.02</v>
      </c>
      <c r="BU33" s="58">
        <v>11.647</v>
      </c>
      <c r="BV33" s="58">
        <v>4.7089999999999996</v>
      </c>
      <c r="BW33" s="58">
        <v>2.4289999999999998</v>
      </c>
      <c r="BX33" s="58">
        <v>2.2799999999999998</v>
      </c>
      <c r="BY33" s="58">
        <v>1.3859999999999999</v>
      </c>
      <c r="BZ33" s="58">
        <v>0.85699999999999998</v>
      </c>
      <c r="CA33" s="58">
        <v>0.53</v>
      </c>
      <c r="CB33" s="58">
        <v>0.68700000000000006</v>
      </c>
      <c r="CC33" s="58">
        <v>0.157</v>
      </c>
      <c r="CD33" s="58">
        <v>0.53</v>
      </c>
      <c r="CE33" s="58">
        <v>0.7</v>
      </c>
      <c r="CF33" s="58">
        <v>0.7</v>
      </c>
      <c r="CG33" s="58">
        <v>0</v>
      </c>
      <c r="CH33" s="58">
        <v>3.3220000000000001</v>
      </c>
      <c r="CI33" s="58">
        <v>1.573</v>
      </c>
      <c r="CJ33" s="58">
        <v>1.75</v>
      </c>
      <c r="CK33" s="58">
        <v>22.978000000000002</v>
      </c>
      <c r="CL33" s="58">
        <v>12.542</v>
      </c>
      <c r="CM33" s="58">
        <v>10.435</v>
      </c>
      <c r="CN33" s="58">
        <v>9.7850000000000001</v>
      </c>
      <c r="CO33" s="58">
        <v>7.0380000000000003</v>
      </c>
      <c r="CP33" s="58">
        <v>2.7469999999999999</v>
      </c>
      <c r="CQ33" s="58">
        <v>13.193</v>
      </c>
      <c r="CR33" s="58">
        <v>5.5039999999999996</v>
      </c>
      <c r="CS33" s="58">
        <v>7.6890000000000001</v>
      </c>
      <c r="CT33" s="58">
        <v>10.962999999999999</v>
      </c>
      <c r="CU33" s="58">
        <v>7.8949999999999996</v>
      </c>
      <c r="CV33" s="58">
        <v>3.0680000000000001</v>
      </c>
      <c r="CW33" s="58">
        <v>14.704000000000001</v>
      </c>
      <c r="CX33" s="58">
        <v>6.125</v>
      </c>
      <c r="CY33" s="58">
        <v>8.5790000000000006</v>
      </c>
      <c r="CZ33" s="58">
        <v>13.879</v>
      </c>
      <c r="DA33" s="58">
        <v>5.6609999999999996</v>
      </c>
      <c r="DB33" s="58">
        <v>8.2189999999999994</v>
      </c>
    </row>
    <row r="34" spans="1:106">
      <c r="A34" s="5">
        <v>42522</v>
      </c>
      <c r="B34" s="58">
        <v>11.497</v>
      </c>
      <c r="C34" s="58">
        <v>9.4480000000000004</v>
      </c>
      <c r="D34" s="58">
        <v>2.0499999999999998</v>
      </c>
      <c r="E34" s="58">
        <v>23.792999999999999</v>
      </c>
      <c r="F34" s="58">
        <v>8.3350000000000009</v>
      </c>
      <c r="G34" s="58">
        <v>15.458</v>
      </c>
      <c r="H34" s="58">
        <v>13.622</v>
      </c>
      <c r="I34" s="58">
        <v>11.138999999999999</v>
      </c>
      <c r="J34" s="58">
        <v>2.484</v>
      </c>
      <c r="K34" s="58">
        <v>26.035</v>
      </c>
      <c r="L34" s="58">
        <v>9.5619999999999994</v>
      </c>
      <c r="M34" s="58">
        <v>16.472999999999999</v>
      </c>
      <c r="N34" s="58">
        <v>25.155000000000001</v>
      </c>
      <c r="O34" s="58">
        <v>9.1259999999999994</v>
      </c>
      <c r="P34" s="58">
        <v>16.03</v>
      </c>
      <c r="Q34" s="58">
        <v>137.00800000000001</v>
      </c>
      <c r="R34" s="58">
        <v>73.644999999999996</v>
      </c>
      <c r="S34" s="58">
        <v>63.363</v>
      </c>
      <c r="T34" s="58">
        <v>111.301</v>
      </c>
      <c r="U34" s="58">
        <v>65.400000000000006</v>
      </c>
      <c r="V34" s="58">
        <v>45.901000000000003</v>
      </c>
      <c r="W34" s="58">
        <v>25.707000000000001</v>
      </c>
      <c r="X34" s="58">
        <v>8.2449999999999992</v>
      </c>
      <c r="Y34" s="58">
        <v>17.462</v>
      </c>
      <c r="Z34" s="58">
        <v>14.968999999999999</v>
      </c>
      <c r="AA34" s="58">
        <v>8.91</v>
      </c>
      <c r="AB34" s="58">
        <v>6.0590000000000002</v>
      </c>
      <c r="AC34" s="58">
        <v>1.869</v>
      </c>
      <c r="AD34" s="58">
        <v>1.444</v>
      </c>
      <c r="AE34" s="58">
        <v>0.42499999999999999</v>
      </c>
      <c r="AF34" s="58">
        <v>1.157</v>
      </c>
      <c r="AG34" s="58">
        <v>1.018</v>
      </c>
      <c r="AH34" s="58">
        <v>0.13900000000000001</v>
      </c>
      <c r="AI34" s="58">
        <v>0.68</v>
      </c>
      <c r="AJ34" s="58">
        <v>0.54100000000000004</v>
      </c>
      <c r="AK34" s="58">
        <v>0.13900000000000001</v>
      </c>
      <c r="AL34" s="58">
        <v>0.47699999999999998</v>
      </c>
      <c r="AM34" s="58">
        <v>0.47699999999999998</v>
      </c>
      <c r="AN34" s="58">
        <v>0</v>
      </c>
      <c r="AO34" s="58">
        <v>0.71199999999999997</v>
      </c>
      <c r="AP34" s="58">
        <v>0.42499999999999999</v>
      </c>
      <c r="AQ34" s="58">
        <v>0.28599999999999998</v>
      </c>
      <c r="AR34" s="58">
        <v>13.827</v>
      </c>
      <c r="AS34" s="58">
        <v>8.1170000000000009</v>
      </c>
      <c r="AT34" s="58">
        <v>5.71</v>
      </c>
      <c r="AU34" s="58">
        <v>7.5309999999999997</v>
      </c>
      <c r="AV34" s="58">
        <v>5.71</v>
      </c>
      <c r="AW34" s="58">
        <v>1.821</v>
      </c>
      <c r="AX34" s="58">
        <v>6.2960000000000003</v>
      </c>
      <c r="AY34" s="58">
        <v>2.407</v>
      </c>
      <c r="AZ34" s="58">
        <v>3.8889999999999998</v>
      </c>
      <c r="BA34" s="58">
        <v>8.4629999999999992</v>
      </c>
      <c r="BB34" s="58">
        <v>6.5030000000000001</v>
      </c>
      <c r="BC34" s="58">
        <v>1.9590000000000001</v>
      </c>
      <c r="BD34" s="58">
        <v>6.5060000000000002</v>
      </c>
      <c r="BE34" s="58">
        <v>2.407</v>
      </c>
      <c r="BF34" s="58">
        <v>4.0990000000000002</v>
      </c>
      <c r="BG34" s="58">
        <v>6.976</v>
      </c>
      <c r="BH34" s="58">
        <v>2.9489999999999998</v>
      </c>
      <c r="BI34" s="58">
        <v>4.0279999999999996</v>
      </c>
      <c r="BJ34" s="58">
        <v>219.13399999999999</v>
      </c>
      <c r="BK34" s="58">
        <v>111.044</v>
      </c>
      <c r="BL34" s="58">
        <v>108.09099999999999</v>
      </c>
      <c r="BM34" s="58">
        <v>160.471</v>
      </c>
      <c r="BN34" s="58">
        <v>91.421999999999997</v>
      </c>
      <c r="BO34" s="58">
        <v>69.049000000000007</v>
      </c>
      <c r="BP34" s="58">
        <v>58.662999999999997</v>
      </c>
      <c r="BQ34" s="58">
        <v>19.622</v>
      </c>
      <c r="BR34" s="58">
        <v>39.040999999999997</v>
      </c>
      <c r="BS34" s="58">
        <v>23.024999999999999</v>
      </c>
      <c r="BT34" s="58">
        <v>12.587999999999999</v>
      </c>
      <c r="BU34" s="58">
        <v>10.436999999999999</v>
      </c>
      <c r="BV34" s="58">
        <v>4.3949999999999996</v>
      </c>
      <c r="BW34" s="58">
        <v>2.427</v>
      </c>
      <c r="BX34" s="58">
        <v>1.968</v>
      </c>
      <c r="BY34" s="58">
        <v>1.7669999999999999</v>
      </c>
      <c r="BZ34" s="58">
        <v>1.073</v>
      </c>
      <c r="CA34" s="58">
        <v>0.69399999999999995</v>
      </c>
      <c r="CB34" s="58">
        <v>0.58099999999999996</v>
      </c>
      <c r="CC34" s="58">
        <v>0.58099999999999996</v>
      </c>
      <c r="CD34" s="58">
        <v>0</v>
      </c>
      <c r="CE34" s="58">
        <v>1.1859999999999999</v>
      </c>
      <c r="CF34" s="58">
        <v>0.49199999999999999</v>
      </c>
      <c r="CG34" s="58">
        <v>0.69399999999999995</v>
      </c>
      <c r="CH34" s="58">
        <v>2.6280000000000001</v>
      </c>
      <c r="CI34" s="58">
        <v>1.3540000000000001</v>
      </c>
      <c r="CJ34" s="58">
        <v>1.274</v>
      </c>
      <c r="CK34" s="58">
        <v>20.094000000000001</v>
      </c>
      <c r="CL34" s="58">
        <v>11.090999999999999</v>
      </c>
      <c r="CM34" s="58">
        <v>9.0020000000000007</v>
      </c>
      <c r="CN34" s="58">
        <v>7.6349999999999998</v>
      </c>
      <c r="CO34" s="58">
        <v>5.9560000000000004</v>
      </c>
      <c r="CP34" s="58">
        <v>1.68</v>
      </c>
      <c r="CQ34" s="58">
        <v>12.458</v>
      </c>
      <c r="CR34" s="58">
        <v>5.1349999999999998</v>
      </c>
      <c r="CS34" s="58">
        <v>7.3230000000000004</v>
      </c>
      <c r="CT34" s="58">
        <v>9.1690000000000005</v>
      </c>
      <c r="CU34" s="58">
        <v>7.0289999999999999</v>
      </c>
      <c r="CV34" s="58">
        <v>2.141</v>
      </c>
      <c r="CW34" s="58">
        <v>13.855</v>
      </c>
      <c r="CX34" s="58">
        <v>5.5590000000000002</v>
      </c>
      <c r="CY34" s="58">
        <v>8.2959999999999994</v>
      </c>
      <c r="CZ34" s="58">
        <v>13.04</v>
      </c>
      <c r="DA34" s="58">
        <v>5.7169999999999996</v>
      </c>
      <c r="DB34" s="58">
        <v>7.3230000000000004</v>
      </c>
    </row>
    <row r="35" spans="1:106">
      <c r="A35" s="5">
        <v>42552</v>
      </c>
      <c r="B35" s="58">
        <v>12.786</v>
      </c>
      <c r="C35" s="58">
        <v>9.9879999999999995</v>
      </c>
      <c r="D35" s="58">
        <v>2.7989999999999999</v>
      </c>
      <c r="E35" s="58">
        <v>22.201000000000001</v>
      </c>
      <c r="F35" s="58">
        <v>7.1689999999999996</v>
      </c>
      <c r="G35" s="58">
        <v>15.031000000000001</v>
      </c>
      <c r="H35" s="58">
        <v>15.949</v>
      </c>
      <c r="I35" s="58">
        <v>12.313000000000001</v>
      </c>
      <c r="J35" s="58">
        <v>3.6360000000000001</v>
      </c>
      <c r="K35" s="58">
        <v>25.585000000000001</v>
      </c>
      <c r="L35" s="58">
        <v>8.4640000000000004</v>
      </c>
      <c r="M35" s="58">
        <v>17.122</v>
      </c>
      <c r="N35" s="58">
        <v>23.687000000000001</v>
      </c>
      <c r="O35" s="58">
        <v>8.2799999999999994</v>
      </c>
      <c r="P35" s="58">
        <v>15.406000000000001</v>
      </c>
      <c r="Q35" s="58">
        <v>135.696</v>
      </c>
      <c r="R35" s="58">
        <v>73.290999999999997</v>
      </c>
      <c r="S35" s="58">
        <v>62.405000000000001</v>
      </c>
      <c r="T35" s="58">
        <v>109.66500000000001</v>
      </c>
      <c r="U35" s="58">
        <v>64.353999999999999</v>
      </c>
      <c r="V35" s="58">
        <v>45.311</v>
      </c>
      <c r="W35" s="58">
        <v>26.030999999999999</v>
      </c>
      <c r="X35" s="58">
        <v>8.9369999999999994</v>
      </c>
      <c r="Y35" s="58">
        <v>17.094000000000001</v>
      </c>
      <c r="Z35" s="58">
        <v>13.38</v>
      </c>
      <c r="AA35" s="58">
        <v>7.843</v>
      </c>
      <c r="AB35" s="58">
        <v>5.5369999999999999</v>
      </c>
      <c r="AC35" s="58">
        <v>2.0720000000000001</v>
      </c>
      <c r="AD35" s="58">
        <v>1.593</v>
      </c>
      <c r="AE35" s="58">
        <v>0.47899999999999998</v>
      </c>
      <c r="AF35" s="58">
        <v>1.2769999999999999</v>
      </c>
      <c r="AG35" s="58">
        <v>1.0980000000000001</v>
      </c>
      <c r="AH35" s="58">
        <v>0.17899999999999999</v>
      </c>
      <c r="AI35" s="58">
        <v>0.624</v>
      </c>
      <c r="AJ35" s="58">
        <v>0.624</v>
      </c>
      <c r="AK35" s="58">
        <v>0</v>
      </c>
      <c r="AL35" s="58">
        <v>0.65400000000000003</v>
      </c>
      <c r="AM35" s="58">
        <v>0.47399999999999998</v>
      </c>
      <c r="AN35" s="58">
        <v>0.17899999999999999</v>
      </c>
      <c r="AO35" s="58">
        <v>0.79500000000000004</v>
      </c>
      <c r="AP35" s="58">
        <v>0.495</v>
      </c>
      <c r="AQ35" s="58">
        <v>0.3</v>
      </c>
      <c r="AR35" s="58">
        <v>11.965</v>
      </c>
      <c r="AS35" s="58">
        <v>6.8410000000000002</v>
      </c>
      <c r="AT35" s="58">
        <v>5.125</v>
      </c>
      <c r="AU35" s="58">
        <v>5.6609999999999996</v>
      </c>
      <c r="AV35" s="58">
        <v>3.8679999999999999</v>
      </c>
      <c r="AW35" s="58">
        <v>1.792</v>
      </c>
      <c r="AX35" s="58">
        <v>6.3049999999999997</v>
      </c>
      <c r="AY35" s="58">
        <v>2.972</v>
      </c>
      <c r="AZ35" s="58">
        <v>3.3330000000000002</v>
      </c>
      <c r="BA35" s="58">
        <v>6.6539999999999999</v>
      </c>
      <c r="BB35" s="58">
        <v>4.6820000000000004</v>
      </c>
      <c r="BC35" s="58">
        <v>1.972</v>
      </c>
      <c r="BD35" s="58">
        <v>6.7270000000000003</v>
      </c>
      <c r="BE35" s="58">
        <v>3.161</v>
      </c>
      <c r="BF35" s="58">
        <v>3.5659999999999998</v>
      </c>
      <c r="BG35" s="58">
        <v>6.9279999999999999</v>
      </c>
      <c r="BH35" s="58">
        <v>3.5960000000000001</v>
      </c>
      <c r="BI35" s="58">
        <v>3.3330000000000002</v>
      </c>
      <c r="BJ35" s="58">
        <v>219.68899999999999</v>
      </c>
      <c r="BK35" s="58">
        <v>111.38800000000001</v>
      </c>
      <c r="BL35" s="58">
        <v>108.301</v>
      </c>
      <c r="BM35" s="58">
        <v>164.60300000000001</v>
      </c>
      <c r="BN35" s="58">
        <v>92.230999999999995</v>
      </c>
      <c r="BO35" s="58">
        <v>72.372</v>
      </c>
      <c r="BP35" s="58">
        <v>55.085999999999999</v>
      </c>
      <c r="BQ35" s="58">
        <v>19.157</v>
      </c>
      <c r="BR35" s="58">
        <v>35.929000000000002</v>
      </c>
      <c r="BS35" s="58">
        <v>26.905999999999999</v>
      </c>
      <c r="BT35" s="58">
        <v>14.827999999999999</v>
      </c>
      <c r="BU35" s="58">
        <v>12.079000000000001</v>
      </c>
      <c r="BV35" s="58">
        <v>4.6879999999999997</v>
      </c>
      <c r="BW35" s="58">
        <v>3.16</v>
      </c>
      <c r="BX35" s="58">
        <v>1.528</v>
      </c>
      <c r="BY35" s="58">
        <v>1.31</v>
      </c>
      <c r="BZ35" s="58">
        <v>0.52200000000000002</v>
      </c>
      <c r="CA35" s="58">
        <v>0.78800000000000003</v>
      </c>
      <c r="CB35" s="58">
        <v>0.17199999999999999</v>
      </c>
      <c r="CC35" s="58">
        <v>0.17199999999999999</v>
      </c>
      <c r="CD35" s="58">
        <v>0</v>
      </c>
      <c r="CE35" s="58">
        <v>1.1379999999999999</v>
      </c>
      <c r="CF35" s="58">
        <v>0.35</v>
      </c>
      <c r="CG35" s="58">
        <v>0.78800000000000003</v>
      </c>
      <c r="CH35" s="58">
        <v>3.3780000000000001</v>
      </c>
      <c r="CI35" s="58">
        <v>2.6379999999999999</v>
      </c>
      <c r="CJ35" s="58">
        <v>0.74</v>
      </c>
      <c r="CK35" s="58">
        <v>23.553999999999998</v>
      </c>
      <c r="CL35" s="58">
        <v>12.833</v>
      </c>
      <c r="CM35" s="58">
        <v>10.721</v>
      </c>
      <c r="CN35" s="58">
        <v>11.334</v>
      </c>
      <c r="CO35" s="58">
        <v>7.5460000000000003</v>
      </c>
      <c r="CP35" s="58">
        <v>3.7869999999999999</v>
      </c>
      <c r="CQ35" s="58">
        <v>12.22</v>
      </c>
      <c r="CR35" s="58">
        <v>5.2869999999999999</v>
      </c>
      <c r="CS35" s="58">
        <v>6.9340000000000002</v>
      </c>
      <c r="CT35" s="58">
        <v>12.472</v>
      </c>
      <c r="CU35" s="58">
        <v>7.8959999999999999</v>
      </c>
      <c r="CV35" s="58">
        <v>4.5750000000000002</v>
      </c>
      <c r="CW35" s="58">
        <v>14.435</v>
      </c>
      <c r="CX35" s="58">
        <v>6.931</v>
      </c>
      <c r="CY35" s="58">
        <v>7.5030000000000001</v>
      </c>
      <c r="CZ35" s="58">
        <v>12.391999999999999</v>
      </c>
      <c r="DA35" s="58">
        <v>5.4580000000000002</v>
      </c>
      <c r="DB35" s="58">
        <v>6.9340000000000002</v>
      </c>
    </row>
    <row r="36" spans="1:106">
      <c r="A36" s="5">
        <v>42583</v>
      </c>
      <c r="B36" s="58">
        <v>12.622</v>
      </c>
      <c r="C36" s="58">
        <v>9.3930000000000007</v>
      </c>
      <c r="D36" s="58">
        <v>3.23</v>
      </c>
      <c r="E36" s="58">
        <v>23.777000000000001</v>
      </c>
      <c r="F36" s="58">
        <v>7.7569999999999997</v>
      </c>
      <c r="G36" s="58">
        <v>16.02</v>
      </c>
      <c r="H36" s="58">
        <v>14.708</v>
      </c>
      <c r="I36" s="58">
        <v>10.938000000000001</v>
      </c>
      <c r="J36" s="58">
        <v>3.77</v>
      </c>
      <c r="K36" s="58">
        <v>26.355</v>
      </c>
      <c r="L36" s="58">
        <v>8.9450000000000003</v>
      </c>
      <c r="M36" s="58">
        <v>17.41</v>
      </c>
      <c r="N36" s="58">
        <v>24.681999999999999</v>
      </c>
      <c r="O36" s="58">
        <v>8.33</v>
      </c>
      <c r="P36" s="58">
        <v>16.352</v>
      </c>
      <c r="Q36" s="58">
        <v>133.41800000000001</v>
      </c>
      <c r="R36" s="58">
        <v>71.772999999999996</v>
      </c>
      <c r="S36" s="58">
        <v>61.645000000000003</v>
      </c>
      <c r="T36" s="58">
        <v>106.23399999999999</v>
      </c>
      <c r="U36" s="58">
        <v>61.981000000000002</v>
      </c>
      <c r="V36" s="58">
        <v>44.252000000000002</v>
      </c>
      <c r="W36" s="58">
        <v>27.184999999999999</v>
      </c>
      <c r="X36" s="58">
        <v>9.7919999999999998</v>
      </c>
      <c r="Y36" s="58">
        <v>17.393000000000001</v>
      </c>
      <c r="Z36" s="58">
        <v>14.192</v>
      </c>
      <c r="AA36" s="58">
        <v>8.2569999999999997</v>
      </c>
      <c r="AB36" s="58">
        <v>5.9349999999999996</v>
      </c>
      <c r="AC36" s="58">
        <v>2.391</v>
      </c>
      <c r="AD36" s="58">
        <v>1.7110000000000001</v>
      </c>
      <c r="AE36" s="58">
        <v>0.68</v>
      </c>
      <c r="AF36" s="58">
        <v>0.94599999999999995</v>
      </c>
      <c r="AG36" s="58">
        <v>0.84699999999999998</v>
      </c>
      <c r="AH36" s="58">
        <v>9.9000000000000005E-2</v>
      </c>
      <c r="AI36" s="58">
        <v>0.41399999999999998</v>
      </c>
      <c r="AJ36" s="58">
        <v>0.41399999999999998</v>
      </c>
      <c r="AK36" s="58">
        <v>0</v>
      </c>
      <c r="AL36" s="58">
        <v>0.53200000000000003</v>
      </c>
      <c r="AM36" s="58">
        <v>0.433</v>
      </c>
      <c r="AN36" s="58">
        <v>9.9000000000000005E-2</v>
      </c>
      <c r="AO36" s="58">
        <v>1.4450000000000001</v>
      </c>
      <c r="AP36" s="58">
        <v>0.86399999999999999</v>
      </c>
      <c r="AQ36" s="58">
        <v>0.58099999999999996</v>
      </c>
      <c r="AR36" s="58">
        <v>12.866</v>
      </c>
      <c r="AS36" s="58">
        <v>7.21</v>
      </c>
      <c r="AT36" s="58">
        <v>5.6559999999999997</v>
      </c>
      <c r="AU36" s="58">
        <v>6.5990000000000002</v>
      </c>
      <c r="AV36" s="58">
        <v>4.476</v>
      </c>
      <c r="AW36" s="58">
        <v>2.1230000000000002</v>
      </c>
      <c r="AX36" s="58">
        <v>6.266</v>
      </c>
      <c r="AY36" s="58">
        <v>2.734</v>
      </c>
      <c r="AZ36" s="58">
        <v>3.5329999999999999</v>
      </c>
      <c r="BA36" s="58">
        <v>7.3739999999999997</v>
      </c>
      <c r="BB36" s="58">
        <v>5.1529999999999996</v>
      </c>
      <c r="BC36" s="58">
        <v>2.222</v>
      </c>
      <c r="BD36" s="58">
        <v>6.8170000000000002</v>
      </c>
      <c r="BE36" s="58">
        <v>3.1040000000000001</v>
      </c>
      <c r="BF36" s="58">
        <v>3.7130000000000001</v>
      </c>
      <c r="BG36" s="58">
        <v>6.681</v>
      </c>
      <c r="BH36" s="58">
        <v>3.1480000000000001</v>
      </c>
      <c r="BI36" s="58">
        <v>3.5329999999999999</v>
      </c>
      <c r="BJ36" s="58">
        <v>219.364</v>
      </c>
      <c r="BK36" s="58">
        <v>112.407</v>
      </c>
      <c r="BL36" s="58">
        <v>106.95699999999999</v>
      </c>
      <c r="BM36" s="58">
        <v>158.50800000000001</v>
      </c>
      <c r="BN36" s="58">
        <v>89.853999999999999</v>
      </c>
      <c r="BO36" s="58">
        <v>68.653000000000006</v>
      </c>
      <c r="BP36" s="58">
        <v>60.856000000000002</v>
      </c>
      <c r="BQ36" s="58">
        <v>22.552</v>
      </c>
      <c r="BR36" s="58">
        <v>38.304000000000002</v>
      </c>
      <c r="BS36" s="58">
        <v>22.332999999999998</v>
      </c>
      <c r="BT36" s="58">
        <v>12.927</v>
      </c>
      <c r="BU36" s="58">
        <v>9.4060000000000006</v>
      </c>
      <c r="BV36" s="58">
        <v>4.3440000000000003</v>
      </c>
      <c r="BW36" s="58">
        <v>2.7949999999999999</v>
      </c>
      <c r="BX36" s="58">
        <v>1.5489999999999999</v>
      </c>
      <c r="BY36" s="58">
        <v>1.732</v>
      </c>
      <c r="BZ36" s="58">
        <v>1.24</v>
      </c>
      <c r="CA36" s="58">
        <v>0.49299999999999999</v>
      </c>
      <c r="CB36" s="58">
        <v>1.077</v>
      </c>
      <c r="CC36" s="58">
        <v>0.75700000000000001</v>
      </c>
      <c r="CD36" s="58">
        <v>0.32</v>
      </c>
      <c r="CE36" s="58">
        <v>0.65500000000000003</v>
      </c>
      <c r="CF36" s="58">
        <v>0.48299999999999998</v>
      </c>
      <c r="CG36" s="58">
        <v>0.17299999999999999</v>
      </c>
      <c r="CH36" s="58">
        <v>2.6110000000000002</v>
      </c>
      <c r="CI36" s="58">
        <v>1.5549999999999999</v>
      </c>
      <c r="CJ36" s="58">
        <v>1.056</v>
      </c>
      <c r="CK36" s="58">
        <v>20.116</v>
      </c>
      <c r="CL36" s="58">
        <v>11.699</v>
      </c>
      <c r="CM36" s="58">
        <v>8.4169999999999998</v>
      </c>
      <c r="CN36" s="58">
        <v>8.6780000000000008</v>
      </c>
      <c r="CO36" s="58">
        <v>6.28</v>
      </c>
      <c r="CP36" s="58">
        <v>2.3980000000000001</v>
      </c>
      <c r="CQ36" s="58">
        <v>11.438000000000001</v>
      </c>
      <c r="CR36" s="58">
        <v>5.4189999999999996</v>
      </c>
      <c r="CS36" s="58">
        <v>6.0190000000000001</v>
      </c>
      <c r="CT36" s="58">
        <v>9.6720000000000006</v>
      </c>
      <c r="CU36" s="58">
        <v>6.7809999999999997</v>
      </c>
      <c r="CV36" s="58">
        <v>2.891</v>
      </c>
      <c r="CW36" s="58">
        <v>12.661</v>
      </c>
      <c r="CX36" s="58">
        <v>6.1449999999999996</v>
      </c>
      <c r="CY36" s="58">
        <v>6.5149999999999997</v>
      </c>
      <c r="CZ36" s="58">
        <v>12.515000000000001</v>
      </c>
      <c r="DA36" s="58">
        <v>6.1760000000000002</v>
      </c>
      <c r="DB36" s="58">
        <v>6.3390000000000004</v>
      </c>
    </row>
    <row r="37" spans="1:106">
      <c r="A37" s="5">
        <v>42614</v>
      </c>
      <c r="B37" s="58">
        <v>11.17</v>
      </c>
      <c r="C37" s="58">
        <v>9.0540000000000003</v>
      </c>
      <c r="D37" s="58">
        <v>2.1160000000000001</v>
      </c>
      <c r="E37" s="58">
        <v>22.312999999999999</v>
      </c>
      <c r="F37" s="58">
        <v>8.077</v>
      </c>
      <c r="G37" s="58">
        <v>14.236000000000001</v>
      </c>
      <c r="H37" s="58">
        <v>13.189</v>
      </c>
      <c r="I37" s="58">
        <v>10.602</v>
      </c>
      <c r="J37" s="58">
        <v>2.5870000000000002</v>
      </c>
      <c r="K37" s="58">
        <v>23.873999999999999</v>
      </c>
      <c r="L37" s="58">
        <v>8.7729999999999997</v>
      </c>
      <c r="M37" s="58">
        <v>15.101000000000001</v>
      </c>
      <c r="N37" s="58">
        <v>23.06</v>
      </c>
      <c r="O37" s="58">
        <v>8.6869999999999994</v>
      </c>
      <c r="P37" s="58">
        <v>14.372999999999999</v>
      </c>
      <c r="Q37" s="58">
        <v>137.27000000000001</v>
      </c>
      <c r="R37" s="58">
        <v>74.137</v>
      </c>
      <c r="S37" s="58">
        <v>63.131999999999998</v>
      </c>
      <c r="T37" s="58">
        <v>108.494</v>
      </c>
      <c r="U37" s="58">
        <v>64.147999999999996</v>
      </c>
      <c r="V37" s="58">
        <v>44.345999999999997</v>
      </c>
      <c r="W37" s="58">
        <v>28.774999999999999</v>
      </c>
      <c r="X37" s="58">
        <v>9.9890000000000008</v>
      </c>
      <c r="Y37" s="58">
        <v>18.786000000000001</v>
      </c>
      <c r="Z37" s="58">
        <v>12.708</v>
      </c>
      <c r="AA37" s="58">
        <v>7.7279999999999998</v>
      </c>
      <c r="AB37" s="58">
        <v>4.9800000000000004</v>
      </c>
      <c r="AC37" s="58">
        <v>1.0549999999999999</v>
      </c>
      <c r="AD37" s="58">
        <v>0.78100000000000003</v>
      </c>
      <c r="AE37" s="58">
        <v>0.27400000000000002</v>
      </c>
      <c r="AF37" s="58">
        <v>0.628</v>
      </c>
      <c r="AG37" s="58">
        <v>0.628</v>
      </c>
      <c r="AH37" s="58">
        <v>0</v>
      </c>
      <c r="AI37" s="58">
        <v>0.36899999999999999</v>
      </c>
      <c r="AJ37" s="58">
        <v>0.36899999999999999</v>
      </c>
      <c r="AK37" s="58">
        <v>0</v>
      </c>
      <c r="AL37" s="58">
        <v>0.25800000000000001</v>
      </c>
      <c r="AM37" s="58">
        <v>0.25800000000000001</v>
      </c>
      <c r="AN37" s="58">
        <v>0</v>
      </c>
      <c r="AO37" s="58">
        <v>0.42699999999999999</v>
      </c>
      <c r="AP37" s="58">
        <v>0.153</v>
      </c>
      <c r="AQ37" s="58">
        <v>0.27400000000000002</v>
      </c>
      <c r="AR37" s="58">
        <v>11.977</v>
      </c>
      <c r="AS37" s="58">
        <v>7.056</v>
      </c>
      <c r="AT37" s="58">
        <v>4.9210000000000003</v>
      </c>
      <c r="AU37" s="58">
        <v>5.69</v>
      </c>
      <c r="AV37" s="58">
        <v>3.8170000000000002</v>
      </c>
      <c r="AW37" s="58">
        <v>1.873</v>
      </c>
      <c r="AX37" s="58">
        <v>6.2869999999999999</v>
      </c>
      <c r="AY37" s="58">
        <v>3.2389999999999999</v>
      </c>
      <c r="AZ37" s="58">
        <v>3.048</v>
      </c>
      <c r="BA37" s="58">
        <v>6.2089999999999996</v>
      </c>
      <c r="BB37" s="58">
        <v>4.3360000000000003</v>
      </c>
      <c r="BC37" s="58">
        <v>1.873</v>
      </c>
      <c r="BD37" s="58">
        <v>6.4989999999999997</v>
      </c>
      <c r="BE37" s="58">
        <v>3.3919999999999999</v>
      </c>
      <c r="BF37" s="58">
        <v>3.1070000000000002</v>
      </c>
      <c r="BG37" s="58">
        <v>6.6559999999999997</v>
      </c>
      <c r="BH37" s="58">
        <v>3.6080000000000001</v>
      </c>
      <c r="BI37" s="58">
        <v>3.048</v>
      </c>
      <c r="BJ37" s="58">
        <v>216.779</v>
      </c>
      <c r="BK37" s="58">
        <v>110.358</v>
      </c>
      <c r="BL37" s="58">
        <v>106.422</v>
      </c>
      <c r="BM37" s="58">
        <v>158.11699999999999</v>
      </c>
      <c r="BN37" s="58">
        <v>92.037999999999997</v>
      </c>
      <c r="BO37" s="58">
        <v>66.078000000000003</v>
      </c>
      <c r="BP37" s="58">
        <v>58.662999999999997</v>
      </c>
      <c r="BQ37" s="58">
        <v>18.318999999999999</v>
      </c>
      <c r="BR37" s="58">
        <v>40.343000000000004</v>
      </c>
      <c r="BS37" s="58">
        <v>20.460999999999999</v>
      </c>
      <c r="BT37" s="58">
        <v>11.109</v>
      </c>
      <c r="BU37" s="58">
        <v>9.3520000000000003</v>
      </c>
      <c r="BV37" s="58">
        <v>5.0149999999999997</v>
      </c>
      <c r="BW37" s="58">
        <v>2.8220000000000001</v>
      </c>
      <c r="BX37" s="58">
        <v>2.1930000000000001</v>
      </c>
      <c r="BY37" s="58">
        <v>1.2</v>
      </c>
      <c r="BZ37" s="58">
        <v>0.80200000000000005</v>
      </c>
      <c r="CA37" s="58">
        <v>0.39700000000000002</v>
      </c>
      <c r="CB37" s="58">
        <v>0.18</v>
      </c>
      <c r="CC37" s="58">
        <v>0.18</v>
      </c>
      <c r="CD37" s="58">
        <v>0</v>
      </c>
      <c r="CE37" s="58">
        <v>1.0189999999999999</v>
      </c>
      <c r="CF37" s="58">
        <v>0.622</v>
      </c>
      <c r="CG37" s="58">
        <v>0.39700000000000002</v>
      </c>
      <c r="CH37" s="58">
        <v>3.8159999999999998</v>
      </c>
      <c r="CI37" s="58">
        <v>2.02</v>
      </c>
      <c r="CJ37" s="58">
        <v>1.796</v>
      </c>
      <c r="CK37" s="58">
        <v>17.652999999999999</v>
      </c>
      <c r="CL37" s="58">
        <v>9.6080000000000005</v>
      </c>
      <c r="CM37" s="58">
        <v>8.0449999999999999</v>
      </c>
      <c r="CN37" s="58">
        <v>7.13</v>
      </c>
      <c r="CO37" s="58">
        <v>5.6269999999999998</v>
      </c>
      <c r="CP37" s="58">
        <v>1.5029999999999999</v>
      </c>
      <c r="CQ37" s="58">
        <v>10.523</v>
      </c>
      <c r="CR37" s="58">
        <v>3.9809999999999999</v>
      </c>
      <c r="CS37" s="58">
        <v>6.5430000000000001</v>
      </c>
      <c r="CT37" s="58">
        <v>8.1489999999999991</v>
      </c>
      <c r="CU37" s="58">
        <v>6.2489999999999997</v>
      </c>
      <c r="CV37" s="58">
        <v>1.9</v>
      </c>
      <c r="CW37" s="58">
        <v>12.311</v>
      </c>
      <c r="CX37" s="58">
        <v>4.8600000000000003</v>
      </c>
      <c r="CY37" s="58">
        <v>7.452</v>
      </c>
      <c r="CZ37" s="58">
        <v>10.702999999999999</v>
      </c>
      <c r="DA37" s="58">
        <v>4.1609999999999996</v>
      </c>
      <c r="DB37" s="58">
        <v>6.5430000000000001</v>
      </c>
    </row>
    <row r="38" spans="1:106">
      <c r="A38" s="5">
        <v>42644</v>
      </c>
      <c r="B38" s="58">
        <v>10.7</v>
      </c>
      <c r="C38" s="58">
        <v>8.1579999999999995</v>
      </c>
      <c r="D38" s="58">
        <v>2.5419999999999998</v>
      </c>
      <c r="E38" s="58">
        <v>23.021000000000001</v>
      </c>
      <c r="F38" s="58">
        <v>8.3239999999999998</v>
      </c>
      <c r="G38" s="58">
        <v>14.698</v>
      </c>
      <c r="H38" s="58">
        <v>12.715</v>
      </c>
      <c r="I38" s="58">
        <v>9.73</v>
      </c>
      <c r="J38" s="58">
        <v>2.9849999999999999</v>
      </c>
      <c r="K38" s="58">
        <v>24.712</v>
      </c>
      <c r="L38" s="58">
        <v>8.8320000000000007</v>
      </c>
      <c r="M38" s="58">
        <v>15.88</v>
      </c>
      <c r="N38" s="58">
        <v>24.253</v>
      </c>
      <c r="O38" s="58">
        <v>9.0609999999999999</v>
      </c>
      <c r="P38" s="58">
        <v>15.193</v>
      </c>
      <c r="Q38" s="58">
        <v>139.77500000000001</v>
      </c>
      <c r="R38" s="58">
        <v>75.037999999999997</v>
      </c>
      <c r="S38" s="58">
        <v>64.736999999999995</v>
      </c>
      <c r="T38" s="58">
        <v>112.316</v>
      </c>
      <c r="U38" s="58">
        <v>66.55</v>
      </c>
      <c r="V38" s="58">
        <v>45.767000000000003</v>
      </c>
      <c r="W38" s="58">
        <v>27.459</v>
      </c>
      <c r="X38" s="58">
        <v>8.4879999999999995</v>
      </c>
      <c r="Y38" s="58">
        <v>18.971</v>
      </c>
      <c r="Z38" s="58">
        <v>12.678000000000001</v>
      </c>
      <c r="AA38" s="58">
        <v>7.5369999999999999</v>
      </c>
      <c r="AB38" s="58">
        <v>5.141</v>
      </c>
      <c r="AC38" s="58">
        <v>1.7430000000000001</v>
      </c>
      <c r="AD38" s="58">
        <v>1.0920000000000001</v>
      </c>
      <c r="AE38" s="58">
        <v>0.65</v>
      </c>
      <c r="AF38" s="58">
        <v>1.056</v>
      </c>
      <c r="AG38" s="58">
        <v>0.81100000000000005</v>
      </c>
      <c r="AH38" s="58">
        <v>0.245</v>
      </c>
      <c r="AI38" s="58">
        <v>0.93600000000000005</v>
      </c>
      <c r="AJ38" s="58">
        <v>0.76300000000000001</v>
      </c>
      <c r="AK38" s="58">
        <v>0.17399999999999999</v>
      </c>
      <c r="AL38" s="58">
        <v>0.11899999999999999</v>
      </c>
      <c r="AM38" s="58">
        <v>4.8000000000000001E-2</v>
      </c>
      <c r="AN38" s="58">
        <v>7.0999999999999994E-2</v>
      </c>
      <c r="AO38" s="58">
        <v>0.68700000000000006</v>
      </c>
      <c r="AP38" s="58">
        <v>0.28199999999999997</v>
      </c>
      <c r="AQ38" s="58">
        <v>0.40500000000000003</v>
      </c>
      <c r="AR38" s="58">
        <v>11.15</v>
      </c>
      <c r="AS38" s="58">
        <v>6.5380000000000003</v>
      </c>
      <c r="AT38" s="58">
        <v>4.6120000000000001</v>
      </c>
      <c r="AU38" s="58">
        <v>5.5679999999999996</v>
      </c>
      <c r="AV38" s="58">
        <v>3.86</v>
      </c>
      <c r="AW38" s="58">
        <v>1.708</v>
      </c>
      <c r="AX38" s="58">
        <v>5.5819999999999999</v>
      </c>
      <c r="AY38" s="58">
        <v>2.6779999999999999</v>
      </c>
      <c r="AZ38" s="58">
        <v>2.9039999999999999</v>
      </c>
      <c r="BA38" s="58">
        <v>6.6230000000000002</v>
      </c>
      <c r="BB38" s="58">
        <v>4.6710000000000003</v>
      </c>
      <c r="BC38" s="58">
        <v>1.9530000000000001</v>
      </c>
      <c r="BD38" s="58">
        <v>6.0540000000000003</v>
      </c>
      <c r="BE38" s="58">
        <v>2.8660000000000001</v>
      </c>
      <c r="BF38" s="58">
        <v>3.1880000000000002</v>
      </c>
      <c r="BG38" s="58">
        <v>6.5190000000000001</v>
      </c>
      <c r="BH38" s="58">
        <v>3.4409999999999998</v>
      </c>
      <c r="BI38" s="58">
        <v>3.0779999999999998</v>
      </c>
      <c r="BJ38" s="58">
        <v>215.691</v>
      </c>
      <c r="BK38" s="58">
        <v>109.52200000000001</v>
      </c>
      <c r="BL38" s="58">
        <v>106.169</v>
      </c>
      <c r="BM38" s="58">
        <v>157.41</v>
      </c>
      <c r="BN38" s="58">
        <v>89.076999999999998</v>
      </c>
      <c r="BO38" s="58">
        <v>68.332999999999998</v>
      </c>
      <c r="BP38" s="58">
        <v>58.280999999999999</v>
      </c>
      <c r="BQ38" s="58">
        <v>20.445</v>
      </c>
      <c r="BR38" s="58">
        <v>37.835999999999999</v>
      </c>
      <c r="BS38" s="58">
        <v>19.341999999999999</v>
      </c>
      <c r="BT38" s="58">
        <v>10.194000000000001</v>
      </c>
      <c r="BU38" s="58">
        <v>9.1479999999999997</v>
      </c>
      <c r="BV38" s="58">
        <v>3.2549999999999999</v>
      </c>
      <c r="BW38" s="58">
        <v>1.7969999999999999</v>
      </c>
      <c r="BX38" s="58">
        <v>1.458</v>
      </c>
      <c r="BY38" s="58">
        <v>0.65300000000000002</v>
      </c>
      <c r="BZ38" s="58">
        <v>0.28999999999999998</v>
      </c>
      <c r="CA38" s="58">
        <v>0.36299999999999999</v>
      </c>
      <c r="CB38" s="58">
        <v>0.5</v>
      </c>
      <c r="CC38" s="58">
        <v>0.13700000000000001</v>
      </c>
      <c r="CD38" s="58">
        <v>0.36299999999999999</v>
      </c>
      <c r="CE38" s="58">
        <v>0.153</v>
      </c>
      <c r="CF38" s="58">
        <v>0.153</v>
      </c>
      <c r="CG38" s="58">
        <v>0</v>
      </c>
      <c r="CH38" s="58">
        <v>2.6019999999999999</v>
      </c>
      <c r="CI38" s="58">
        <v>1.5069999999999999</v>
      </c>
      <c r="CJ38" s="58">
        <v>1.095</v>
      </c>
      <c r="CK38" s="58">
        <v>18.149000000000001</v>
      </c>
      <c r="CL38" s="58">
        <v>9.5429999999999993</v>
      </c>
      <c r="CM38" s="58">
        <v>8.6059999999999999</v>
      </c>
      <c r="CN38" s="58">
        <v>7.5579999999999998</v>
      </c>
      <c r="CO38" s="58">
        <v>5.31</v>
      </c>
      <c r="CP38" s="58">
        <v>2.2480000000000002</v>
      </c>
      <c r="CQ38" s="58">
        <v>10.590999999999999</v>
      </c>
      <c r="CR38" s="58">
        <v>4.234</v>
      </c>
      <c r="CS38" s="58">
        <v>6.3570000000000002</v>
      </c>
      <c r="CT38" s="58">
        <v>8.032</v>
      </c>
      <c r="CU38" s="58">
        <v>5.6</v>
      </c>
      <c r="CV38" s="58">
        <v>2.4319999999999999</v>
      </c>
      <c r="CW38" s="58">
        <v>11.311</v>
      </c>
      <c r="CX38" s="58">
        <v>4.5949999999999998</v>
      </c>
      <c r="CY38" s="58">
        <v>6.7160000000000002</v>
      </c>
      <c r="CZ38" s="58">
        <v>11.090999999999999</v>
      </c>
      <c r="DA38" s="58">
        <v>4.37</v>
      </c>
      <c r="DB38" s="58">
        <v>6.72</v>
      </c>
    </row>
    <row r="39" spans="1:106">
      <c r="A39" s="5">
        <v>42675</v>
      </c>
      <c r="B39" s="58">
        <v>10.231</v>
      </c>
      <c r="C39" s="58">
        <v>7.66</v>
      </c>
      <c r="D39" s="58">
        <v>2.5710000000000002</v>
      </c>
      <c r="E39" s="58">
        <v>26.021000000000001</v>
      </c>
      <c r="F39" s="58">
        <v>10.430999999999999</v>
      </c>
      <c r="G39" s="58">
        <v>15.59</v>
      </c>
      <c r="H39" s="58">
        <v>12.135</v>
      </c>
      <c r="I39" s="58">
        <v>9.23</v>
      </c>
      <c r="J39" s="58">
        <v>2.9049999999999998</v>
      </c>
      <c r="K39" s="58">
        <v>27.677</v>
      </c>
      <c r="L39" s="58">
        <v>10.896000000000001</v>
      </c>
      <c r="M39" s="58">
        <v>16.780999999999999</v>
      </c>
      <c r="N39" s="58">
        <v>27.649000000000001</v>
      </c>
      <c r="O39" s="58">
        <v>11.287000000000001</v>
      </c>
      <c r="P39" s="58">
        <v>16.361000000000001</v>
      </c>
      <c r="Q39" s="58">
        <v>138.131</v>
      </c>
      <c r="R39" s="58">
        <v>74.447000000000003</v>
      </c>
      <c r="S39" s="58">
        <v>63.683</v>
      </c>
      <c r="T39" s="58">
        <v>110.41800000000001</v>
      </c>
      <c r="U39" s="58">
        <v>65.251999999999995</v>
      </c>
      <c r="V39" s="58">
        <v>45.165999999999997</v>
      </c>
      <c r="W39" s="58">
        <v>27.713000000000001</v>
      </c>
      <c r="X39" s="58">
        <v>9.1950000000000003</v>
      </c>
      <c r="Y39" s="58">
        <v>18.518000000000001</v>
      </c>
      <c r="Z39" s="58">
        <v>12.776999999999999</v>
      </c>
      <c r="AA39" s="58">
        <v>7.883</v>
      </c>
      <c r="AB39" s="58">
        <v>4.8929999999999998</v>
      </c>
      <c r="AC39" s="58">
        <v>1.1919999999999999</v>
      </c>
      <c r="AD39" s="58">
        <v>0.72099999999999997</v>
      </c>
      <c r="AE39" s="58">
        <v>0.47099999999999997</v>
      </c>
      <c r="AF39" s="58">
        <v>0.72499999999999998</v>
      </c>
      <c r="AG39" s="58">
        <v>0.56599999999999995</v>
      </c>
      <c r="AH39" s="58">
        <v>0.16</v>
      </c>
      <c r="AI39" s="58">
        <v>0.39300000000000002</v>
      </c>
      <c r="AJ39" s="58">
        <v>0.29399999999999998</v>
      </c>
      <c r="AK39" s="58">
        <v>0.1</v>
      </c>
      <c r="AL39" s="58">
        <v>0.33200000000000002</v>
      </c>
      <c r="AM39" s="58">
        <v>0.27200000000000002</v>
      </c>
      <c r="AN39" s="58">
        <v>0.06</v>
      </c>
      <c r="AO39" s="58">
        <v>0.46700000000000003</v>
      </c>
      <c r="AP39" s="58">
        <v>0.156</v>
      </c>
      <c r="AQ39" s="58">
        <v>0.311</v>
      </c>
      <c r="AR39" s="58">
        <v>11.835000000000001</v>
      </c>
      <c r="AS39" s="58">
        <v>7.2439999999999998</v>
      </c>
      <c r="AT39" s="58">
        <v>4.5910000000000002</v>
      </c>
      <c r="AU39" s="58">
        <v>5.694</v>
      </c>
      <c r="AV39" s="58">
        <v>4.3090000000000002</v>
      </c>
      <c r="AW39" s="58">
        <v>1.385</v>
      </c>
      <c r="AX39" s="58">
        <v>6.141</v>
      </c>
      <c r="AY39" s="58">
        <v>2.9350000000000001</v>
      </c>
      <c r="AZ39" s="58">
        <v>3.206</v>
      </c>
      <c r="BA39" s="58">
        <v>6.2380000000000004</v>
      </c>
      <c r="BB39" s="58">
        <v>4.7930000000000001</v>
      </c>
      <c r="BC39" s="58">
        <v>1.4450000000000001</v>
      </c>
      <c r="BD39" s="58">
        <v>6.5389999999999997</v>
      </c>
      <c r="BE39" s="58">
        <v>3.09</v>
      </c>
      <c r="BF39" s="58">
        <v>3.448</v>
      </c>
      <c r="BG39" s="58">
        <v>6.5339999999999998</v>
      </c>
      <c r="BH39" s="58">
        <v>3.2280000000000002</v>
      </c>
      <c r="BI39" s="58">
        <v>3.306</v>
      </c>
      <c r="BJ39" s="58">
        <v>220.76300000000001</v>
      </c>
      <c r="BK39" s="58">
        <v>111.306</v>
      </c>
      <c r="BL39" s="58">
        <v>109.458</v>
      </c>
      <c r="BM39" s="58">
        <v>161.35499999999999</v>
      </c>
      <c r="BN39" s="58">
        <v>93.347999999999999</v>
      </c>
      <c r="BO39" s="58">
        <v>68.007000000000005</v>
      </c>
      <c r="BP39" s="58">
        <v>59.408000000000001</v>
      </c>
      <c r="BQ39" s="58">
        <v>17.957999999999998</v>
      </c>
      <c r="BR39" s="58">
        <v>41.451000000000001</v>
      </c>
      <c r="BS39" s="58">
        <v>19.765000000000001</v>
      </c>
      <c r="BT39" s="58">
        <v>9.5540000000000003</v>
      </c>
      <c r="BU39" s="58">
        <v>10.211</v>
      </c>
      <c r="BV39" s="58">
        <v>3.1850000000000001</v>
      </c>
      <c r="BW39" s="58">
        <v>2.0049999999999999</v>
      </c>
      <c r="BX39" s="58">
        <v>1.18</v>
      </c>
      <c r="BY39" s="58">
        <v>0.91100000000000003</v>
      </c>
      <c r="BZ39" s="58">
        <v>0.746</v>
      </c>
      <c r="CA39" s="58">
        <v>0.16500000000000001</v>
      </c>
      <c r="CB39" s="58">
        <v>0.746</v>
      </c>
      <c r="CC39" s="58">
        <v>0.746</v>
      </c>
      <c r="CD39" s="58">
        <v>0</v>
      </c>
      <c r="CE39" s="58">
        <v>0.16500000000000001</v>
      </c>
      <c r="CF39" s="58">
        <v>0</v>
      </c>
      <c r="CG39" s="58">
        <v>0.16500000000000001</v>
      </c>
      <c r="CH39" s="58">
        <v>2.274</v>
      </c>
      <c r="CI39" s="58">
        <v>1.258</v>
      </c>
      <c r="CJ39" s="58">
        <v>1.0149999999999999</v>
      </c>
      <c r="CK39" s="58">
        <v>18.337</v>
      </c>
      <c r="CL39" s="58">
        <v>8.7550000000000008</v>
      </c>
      <c r="CM39" s="58">
        <v>9.5820000000000007</v>
      </c>
      <c r="CN39" s="58">
        <v>6.6790000000000003</v>
      </c>
      <c r="CO39" s="58">
        <v>5.0270000000000001</v>
      </c>
      <c r="CP39" s="58">
        <v>1.6519999999999999</v>
      </c>
      <c r="CQ39" s="58">
        <v>11.659000000000001</v>
      </c>
      <c r="CR39" s="58">
        <v>3.7280000000000002</v>
      </c>
      <c r="CS39" s="58">
        <v>7.931</v>
      </c>
      <c r="CT39" s="58">
        <v>7.2220000000000004</v>
      </c>
      <c r="CU39" s="58">
        <v>5.4059999999999997</v>
      </c>
      <c r="CV39" s="58">
        <v>1.8160000000000001</v>
      </c>
      <c r="CW39" s="58">
        <v>12.542999999999999</v>
      </c>
      <c r="CX39" s="58">
        <v>4.1479999999999997</v>
      </c>
      <c r="CY39" s="58">
        <v>8.3949999999999996</v>
      </c>
      <c r="CZ39" s="58">
        <v>12.404999999999999</v>
      </c>
      <c r="DA39" s="58">
        <v>4.4740000000000002</v>
      </c>
      <c r="DB39" s="58">
        <v>7.931</v>
      </c>
    </row>
    <row r="40" spans="1:106">
      <c r="A40" s="5">
        <v>42705</v>
      </c>
      <c r="B40" s="58">
        <v>10.916</v>
      </c>
      <c r="C40" s="58">
        <v>7.5380000000000003</v>
      </c>
      <c r="D40" s="58">
        <v>3.3780000000000001</v>
      </c>
      <c r="E40" s="58">
        <v>23.538</v>
      </c>
      <c r="F40" s="58">
        <v>8.9060000000000006</v>
      </c>
      <c r="G40" s="58">
        <v>14.632</v>
      </c>
      <c r="H40" s="58">
        <v>12.89</v>
      </c>
      <c r="I40" s="58">
        <v>8.6189999999999998</v>
      </c>
      <c r="J40" s="58">
        <v>4.2709999999999999</v>
      </c>
      <c r="K40" s="58">
        <v>25.625</v>
      </c>
      <c r="L40" s="58">
        <v>9.67</v>
      </c>
      <c r="M40" s="58">
        <v>15.955</v>
      </c>
      <c r="N40" s="58">
        <v>24.515000000000001</v>
      </c>
      <c r="O40" s="58">
        <v>9.3829999999999991</v>
      </c>
      <c r="P40" s="58">
        <v>15.132</v>
      </c>
      <c r="Q40" s="58">
        <v>141.67099999999999</v>
      </c>
      <c r="R40" s="58">
        <v>75.819000000000003</v>
      </c>
      <c r="S40" s="58">
        <v>65.852000000000004</v>
      </c>
      <c r="T40" s="58">
        <v>113.315</v>
      </c>
      <c r="U40" s="58">
        <v>65.778000000000006</v>
      </c>
      <c r="V40" s="58">
        <v>47.536999999999999</v>
      </c>
      <c r="W40" s="58">
        <v>28.356000000000002</v>
      </c>
      <c r="X40" s="58">
        <v>10.041</v>
      </c>
      <c r="Y40" s="58">
        <v>18.315000000000001</v>
      </c>
      <c r="Z40" s="58">
        <v>15.257999999999999</v>
      </c>
      <c r="AA40" s="58">
        <v>7.67</v>
      </c>
      <c r="AB40" s="58">
        <v>7.5890000000000004</v>
      </c>
      <c r="AC40" s="58">
        <v>2.742</v>
      </c>
      <c r="AD40" s="58">
        <v>1.516</v>
      </c>
      <c r="AE40" s="58">
        <v>1.226</v>
      </c>
      <c r="AF40" s="58">
        <v>1.653</v>
      </c>
      <c r="AG40" s="58">
        <v>0.96599999999999997</v>
      </c>
      <c r="AH40" s="58">
        <v>0.68700000000000006</v>
      </c>
      <c r="AI40" s="58">
        <v>0.95599999999999996</v>
      </c>
      <c r="AJ40" s="58">
        <v>0.58899999999999997</v>
      </c>
      <c r="AK40" s="58">
        <v>0.36699999999999999</v>
      </c>
      <c r="AL40" s="58">
        <v>0.69599999999999995</v>
      </c>
      <c r="AM40" s="58">
        <v>0.377</v>
      </c>
      <c r="AN40" s="58">
        <v>0.31900000000000001</v>
      </c>
      <c r="AO40" s="58">
        <v>1.089</v>
      </c>
      <c r="AP40" s="58">
        <v>0.55000000000000004</v>
      </c>
      <c r="AQ40" s="58">
        <v>0.53900000000000003</v>
      </c>
      <c r="AR40" s="58">
        <v>13.48</v>
      </c>
      <c r="AS40" s="58">
        <v>6.5359999999999996</v>
      </c>
      <c r="AT40" s="58">
        <v>6.944</v>
      </c>
      <c r="AU40" s="58">
        <v>5.9889999999999999</v>
      </c>
      <c r="AV40" s="58">
        <v>3.7280000000000002</v>
      </c>
      <c r="AW40" s="58">
        <v>2.2610000000000001</v>
      </c>
      <c r="AX40" s="58">
        <v>7.492</v>
      </c>
      <c r="AY40" s="58">
        <v>2.8079999999999998</v>
      </c>
      <c r="AZ40" s="58">
        <v>4.6829999999999998</v>
      </c>
      <c r="BA40" s="58">
        <v>7.2409999999999997</v>
      </c>
      <c r="BB40" s="58">
        <v>4.5259999999999998</v>
      </c>
      <c r="BC40" s="58">
        <v>2.7149999999999999</v>
      </c>
      <c r="BD40" s="58">
        <v>8.0169999999999995</v>
      </c>
      <c r="BE40" s="58">
        <v>3.1429999999999998</v>
      </c>
      <c r="BF40" s="58">
        <v>4.8739999999999997</v>
      </c>
      <c r="BG40" s="58">
        <v>8.4480000000000004</v>
      </c>
      <c r="BH40" s="58">
        <v>3.3969999999999998</v>
      </c>
      <c r="BI40" s="58">
        <v>5.0510000000000002</v>
      </c>
      <c r="BJ40" s="58">
        <v>225.12700000000001</v>
      </c>
      <c r="BK40" s="58">
        <v>113.789</v>
      </c>
      <c r="BL40" s="58">
        <v>111.339</v>
      </c>
      <c r="BM40" s="58">
        <v>164.00399999999999</v>
      </c>
      <c r="BN40" s="58">
        <v>95.278000000000006</v>
      </c>
      <c r="BO40" s="58">
        <v>68.725999999999999</v>
      </c>
      <c r="BP40" s="58">
        <v>61.122999999999998</v>
      </c>
      <c r="BQ40" s="58">
        <v>18.510000000000002</v>
      </c>
      <c r="BR40" s="58">
        <v>42.613</v>
      </c>
      <c r="BS40" s="58">
        <v>26.581</v>
      </c>
      <c r="BT40" s="58">
        <v>12.976000000000001</v>
      </c>
      <c r="BU40" s="58">
        <v>13.606</v>
      </c>
      <c r="BV40" s="58">
        <v>4.1369999999999996</v>
      </c>
      <c r="BW40" s="58">
        <v>1.9239999999999999</v>
      </c>
      <c r="BX40" s="58">
        <v>2.214</v>
      </c>
      <c r="BY40" s="58">
        <v>0.91600000000000004</v>
      </c>
      <c r="BZ40" s="58">
        <v>0.74199999999999999</v>
      </c>
      <c r="CA40" s="58">
        <v>0.17499999999999999</v>
      </c>
      <c r="CB40" s="58">
        <v>0.35399999999999998</v>
      </c>
      <c r="CC40" s="58">
        <v>0.35399999999999998</v>
      </c>
      <c r="CD40" s="58">
        <v>0</v>
      </c>
      <c r="CE40" s="58">
        <v>0.56200000000000006</v>
      </c>
      <c r="CF40" s="58">
        <v>0.38700000000000001</v>
      </c>
      <c r="CG40" s="58">
        <v>0.17499999999999999</v>
      </c>
      <c r="CH40" s="58">
        <v>3.2210000000000001</v>
      </c>
      <c r="CI40" s="58">
        <v>1.1819999999999999</v>
      </c>
      <c r="CJ40" s="58">
        <v>2.0390000000000001</v>
      </c>
      <c r="CK40" s="58">
        <v>24.719000000000001</v>
      </c>
      <c r="CL40" s="58">
        <v>11.782</v>
      </c>
      <c r="CM40" s="58">
        <v>12.936999999999999</v>
      </c>
      <c r="CN40" s="58">
        <v>7.4770000000000003</v>
      </c>
      <c r="CO40" s="58">
        <v>5.5490000000000004</v>
      </c>
      <c r="CP40" s="58">
        <v>1.9279999999999999</v>
      </c>
      <c r="CQ40" s="58">
        <v>17.242000000000001</v>
      </c>
      <c r="CR40" s="58">
        <v>6.2329999999999997</v>
      </c>
      <c r="CS40" s="58">
        <v>11.009</v>
      </c>
      <c r="CT40" s="58">
        <v>8.1739999999999995</v>
      </c>
      <c r="CU40" s="58">
        <v>6.0720000000000001</v>
      </c>
      <c r="CV40" s="58">
        <v>2.1019999999999999</v>
      </c>
      <c r="CW40" s="58">
        <v>18.407</v>
      </c>
      <c r="CX40" s="58">
        <v>6.9039999999999999</v>
      </c>
      <c r="CY40" s="58">
        <v>11.504</v>
      </c>
      <c r="CZ40" s="58">
        <v>17.597000000000001</v>
      </c>
      <c r="DA40" s="58">
        <v>6.5880000000000001</v>
      </c>
      <c r="DB40" s="58">
        <v>11.009</v>
      </c>
    </row>
    <row r="41" spans="1:106">
      <c r="A41" s="5">
        <v>42736</v>
      </c>
      <c r="B41" s="58">
        <v>11.162000000000001</v>
      </c>
      <c r="C41" s="58">
        <v>9.1240000000000006</v>
      </c>
      <c r="D41" s="58">
        <v>2.0379999999999998</v>
      </c>
      <c r="E41" s="58">
        <v>22.166</v>
      </c>
      <c r="F41" s="58">
        <v>8.2319999999999993</v>
      </c>
      <c r="G41" s="58">
        <v>13.933999999999999</v>
      </c>
      <c r="H41" s="58">
        <v>12.564</v>
      </c>
      <c r="I41" s="58">
        <v>10.176</v>
      </c>
      <c r="J41" s="58">
        <v>2.3879999999999999</v>
      </c>
      <c r="K41" s="58">
        <v>23.885000000000002</v>
      </c>
      <c r="L41" s="58">
        <v>8.9009999999999998</v>
      </c>
      <c r="M41" s="58">
        <v>14.984999999999999</v>
      </c>
      <c r="N41" s="58">
        <v>23.314</v>
      </c>
      <c r="O41" s="58">
        <v>9.16</v>
      </c>
      <c r="P41" s="58">
        <v>14.154</v>
      </c>
      <c r="Q41" s="58">
        <v>138.31399999999999</v>
      </c>
      <c r="R41" s="58">
        <v>75.078000000000003</v>
      </c>
      <c r="S41" s="58">
        <v>63.235999999999997</v>
      </c>
      <c r="T41" s="58">
        <v>110.511</v>
      </c>
      <c r="U41" s="58">
        <v>65.116</v>
      </c>
      <c r="V41" s="58">
        <v>45.395000000000003</v>
      </c>
      <c r="W41" s="58">
        <v>27.803000000000001</v>
      </c>
      <c r="X41" s="58">
        <v>9.9619999999999997</v>
      </c>
      <c r="Y41" s="58">
        <v>17.841000000000001</v>
      </c>
      <c r="Z41" s="58">
        <v>16.350000000000001</v>
      </c>
      <c r="AA41" s="58">
        <v>8.89</v>
      </c>
      <c r="AB41" s="58">
        <v>7.46</v>
      </c>
      <c r="AC41" s="58">
        <v>2.7549999999999999</v>
      </c>
      <c r="AD41" s="58">
        <v>1.69</v>
      </c>
      <c r="AE41" s="58">
        <v>1.0649999999999999</v>
      </c>
      <c r="AF41" s="58">
        <v>1.32</v>
      </c>
      <c r="AG41" s="58">
        <v>0.95699999999999996</v>
      </c>
      <c r="AH41" s="58">
        <v>0.36199999999999999</v>
      </c>
      <c r="AI41" s="58">
        <v>1.089</v>
      </c>
      <c r="AJ41" s="58">
        <v>0.80600000000000005</v>
      </c>
      <c r="AK41" s="58">
        <v>0.28299999999999997</v>
      </c>
      <c r="AL41" s="58">
        <v>0.23</v>
      </c>
      <c r="AM41" s="58">
        <v>0.151</v>
      </c>
      <c r="AN41" s="58">
        <v>7.9000000000000001E-2</v>
      </c>
      <c r="AO41" s="58">
        <v>1.4359999999999999</v>
      </c>
      <c r="AP41" s="58">
        <v>0.73299999999999998</v>
      </c>
      <c r="AQ41" s="58">
        <v>0.70299999999999996</v>
      </c>
      <c r="AR41" s="58">
        <v>14.855</v>
      </c>
      <c r="AS41" s="58">
        <v>7.9139999999999997</v>
      </c>
      <c r="AT41" s="58">
        <v>6.9409999999999998</v>
      </c>
      <c r="AU41" s="58">
        <v>6.2519999999999998</v>
      </c>
      <c r="AV41" s="58">
        <v>4.4660000000000002</v>
      </c>
      <c r="AW41" s="58">
        <v>1.786</v>
      </c>
      <c r="AX41" s="58">
        <v>8.6029999999999998</v>
      </c>
      <c r="AY41" s="58">
        <v>3.448</v>
      </c>
      <c r="AZ41" s="58">
        <v>5.1550000000000002</v>
      </c>
      <c r="BA41" s="58">
        <v>7.4610000000000003</v>
      </c>
      <c r="BB41" s="58">
        <v>5.3129999999999997</v>
      </c>
      <c r="BC41" s="58">
        <v>2.149</v>
      </c>
      <c r="BD41" s="58">
        <v>8.8889999999999993</v>
      </c>
      <c r="BE41" s="58">
        <v>3.5779999999999998</v>
      </c>
      <c r="BF41" s="58">
        <v>5.3109999999999999</v>
      </c>
      <c r="BG41" s="58">
        <v>9.6920000000000002</v>
      </c>
      <c r="BH41" s="58">
        <v>4.2539999999999996</v>
      </c>
      <c r="BI41" s="58">
        <v>5.4379999999999997</v>
      </c>
      <c r="BJ41" s="58">
        <v>219.45699999999999</v>
      </c>
      <c r="BK41" s="58">
        <v>112.42</v>
      </c>
      <c r="BL41" s="58">
        <v>107.03700000000001</v>
      </c>
      <c r="BM41" s="58">
        <v>159.834</v>
      </c>
      <c r="BN41" s="58">
        <v>93.302000000000007</v>
      </c>
      <c r="BO41" s="58">
        <v>66.531999999999996</v>
      </c>
      <c r="BP41" s="58">
        <v>59.622999999999998</v>
      </c>
      <c r="BQ41" s="58">
        <v>19.117999999999999</v>
      </c>
      <c r="BR41" s="58">
        <v>40.505000000000003</v>
      </c>
      <c r="BS41" s="58">
        <v>24.329000000000001</v>
      </c>
      <c r="BT41" s="58">
        <v>13.502000000000001</v>
      </c>
      <c r="BU41" s="58">
        <v>10.827</v>
      </c>
      <c r="BV41" s="58">
        <v>4.62</v>
      </c>
      <c r="BW41" s="58">
        <v>1.96</v>
      </c>
      <c r="BX41" s="58">
        <v>2.66</v>
      </c>
      <c r="BY41" s="58">
        <v>1.5169999999999999</v>
      </c>
      <c r="BZ41" s="58">
        <v>0.99</v>
      </c>
      <c r="CA41" s="58">
        <v>0.52800000000000002</v>
      </c>
      <c r="CB41" s="58">
        <v>1.361</v>
      </c>
      <c r="CC41" s="58">
        <v>0.83399999999999996</v>
      </c>
      <c r="CD41" s="58">
        <v>0.52800000000000002</v>
      </c>
      <c r="CE41" s="58">
        <v>0.156</v>
      </c>
      <c r="CF41" s="58">
        <v>0.156</v>
      </c>
      <c r="CG41" s="58">
        <v>0</v>
      </c>
      <c r="CH41" s="58">
        <v>3.1030000000000002</v>
      </c>
      <c r="CI41" s="58">
        <v>0.97</v>
      </c>
      <c r="CJ41" s="58">
        <v>2.133</v>
      </c>
      <c r="CK41" s="58">
        <v>21.837</v>
      </c>
      <c r="CL41" s="58">
        <v>12.413</v>
      </c>
      <c r="CM41" s="58">
        <v>9.4239999999999995</v>
      </c>
      <c r="CN41" s="58">
        <v>7.47</v>
      </c>
      <c r="CO41" s="58">
        <v>5.7439999999999998</v>
      </c>
      <c r="CP41" s="58">
        <v>1.7270000000000001</v>
      </c>
      <c r="CQ41" s="58">
        <v>14.366</v>
      </c>
      <c r="CR41" s="58">
        <v>6.6689999999999996</v>
      </c>
      <c r="CS41" s="58">
        <v>7.6980000000000004</v>
      </c>
      <c r="CT41" s="58">
        <v>8.7439999999999998</v>
      </c>
      <c r="CU41" s="58">
        <v>6.4889999999999999</v>
      </c>
      <c r="CV41" s="58">
        <v>2.254</v>
      </c>
      <c r="CW41" s="58">
        <v>15.585000000000001</v>
      </c>
      <c r="CX41" s="58">
        <v>7.0119999999999996</v>
      </c>
      <c r="CY41" s="58">
        <v>8.5730000000000004</v>
      </c>
      <c r="CZ41" s="58">
        <v>15.728</v>
      </c>
      <c r="DA41" s="58">
        <v>7.5030000000000001</v>
      </c>
      <c r="DB41" s="58">
        <v>8.2249999999999996</v>
      </c>
    </row>
    <row r="42" spans="1:106">
      <c r="A42" s="5">
        <v>42767</v>
      </c>
      <c r="B42" s="58">
        <v>9.4960000000000004</v>
      </c>
      <c r="C42" s="58">
        <v>7.117</v>
      </c>
      <c r="D42" s="58">
        <v>2.379</v>
      </c>
      <c r="E42" s="58">
        <v>23.07</v>
      </c>
      <c r="F42" s="58">
        <v>9.2690000000000001</v>
      </c>
      <c r="G42" s="58">
        <v>13.801</v>
      </c>
      <c r="H42" s="58">
        <v>11.683</v>
      </c>
      <c r="I42" s="58">
        <v>8.923</v>
      </c>
      <c r="J42" s="58">
        <v>2.76</v>
      </c>
      <c r="K42" s="58">
        <v>25.678999999999998</v>
      </c>
      <c r="L42" s="58">
        <v>10.414</v>
      </c>
      <c r="M42" s="58">
        <v>15.263999999999999</v>
      </c>
      <c r="N42" s="58">
        <v>24.265999999999998</v>
      </c>
      <c r="O42" s="58">
        <v>10.163</v>
      </c>
      <c r="P42" s="58">
        <v>14.102</v>
      </c>
      <c r="Q42" s="58">
        <v>142.35400000000001</v>
      </c>
      <c r="R42" s="58">
        <v>76.849000000000004</v>
      </c>
      <c r="S42" s="58">
        <v>65.504999999999995</v>
      </c>
      <c r="T42" s="58">
        <v>112.367</v>
      </c>
      <c r="U42" s="58">
        <v>66.706999999999994</v>
      </c>
      <c r="V42" s="58">
        <v>45.66</v>
      </c>
      <c r="W42" s="58">
        <v>29.986999999999998</v>
      </c>
      <c r="X42" s="58">
        <v>10.141999999999999</v>
      </c>
      <c r="Y42" s="58">
        <v>19.846</v>
      </c>
      <c r="Z42" s="58">
        <v>15.94</v>
      </c>
      <c r="AA42" s="58">
        <v>9.2579999999999991</v>
      </c>
      <c r="AB42" s="58">
        <v>6.6820000000000004</v>
      </c>
      <c r="AC42" s="58">
        <v>2.2509999999999999</v>
      </c>
      <c r="AD42" s="58">
        <v>1.57</v>
      </c>
      <c r="AE42" s="58">
        <v>0.68100000000000005</v>
      </c>
      <c r="AF42" s="58">
        <v>1.3069999999999999</v>
      </c>
      <c r="AG42" s="58">
        <v>1.0680000000000001</v>
      </c>
      <c r="AH42" s="58">
        <v>0.23899999999999999</v>
      </c>
      <c r="AI42" s="58">
        <v>0.89300000000000002</v>
      </c>
      <c r="AJ42" s="58">
        <v>0.72299999999999998</v>
      </c>
      <c r="AK42" s="58">
        <v>0.17</v>
      </c>
      <c r="AL42" s="58">
        <v>0.41399999999999998</v>
      </c>
      <c r="AM42" s="58">
        <v>0.34599999999999997</v>
      </c>
      <c r="AN42" s="58">
        <v>6.8000000000000005E-2</v>
      </c>
      <c r="AO42" s="58">
        <v>0.94399999999999995</v>
      </c>
      <c r="AP42" s="58">
        <v>0.502</v>
      </c>
      <c r="AQ42" s="58">
        <v>0.442</v>
      </c>
      <c r="AR42" s="58">
        <v>14.313000000000001</v>
      </c>
      <c r="AS42" s="58">
        <v>8.2050000000000001</v>
      </c>
      <c r="AT42" s="58">
        <v>6.1079999999999997</v>
      </c>
      <c r="AU42" s="58">
        <v>7.0350000000000001</v>
      </c>
      <c r="AV42" s="58">
        <v>5.0339999999999998</v>
      </c>
      <c r="AW42" s="58">
        <v>2.0009999999999999</v>
      </c>
      <c r="AX42" s="58">
        <v>7.2779999999999996</v>
      </c>
      <c r="AY42" s="58">
        <v>3.1709999999999998</v>
      </c>
      <c r="AZ42" s="58">
        <v>4.1070000000000002</v>
      </c>
      <c r="BA42" s="58">
        <v>8.0960000000000001</v>
      </c>
      <c r="BB42" s="58">
        <v>5.9269999999999996</v>
      </c>
      <c r="BC42" s="58">
        <v>2.169</v>
      </c>
      <c r="BD42" s="58">
        <v>7.8440000000000003</v>
      </c>
      <c r="BE42" s="58">
        <v>3.3319999999999999</v>
      </c>
      <c r="BF42" s="58">
        <v>4.5119999999999996</v>
      </c>
      <c r="BG42" s="58">
        <v>8.1709999999999994</v>
      </c>
      <c r="BH42" s="58">
        <v>3.8929999999999998</v>
      </c>
      <c r="BI42" s="58">
        <v>4.2770000000000001</v>
      </c>
      <c r="BJ42" s="58">
        <v>221.59200000000001</v>
      </c>
      <c r="BK42" s="58">
        <v>112.193</v>
      </c>
      <c r="BL42" s="58">
        <v>109.399</v>
      </c>
      <c r="BM42" s="58">
        <v>159.60900000000001</v>
      </c>
      <c r="BN42" s="58">
        <v>91.878</v>
      </c>
      <c r="BO42" s="58">
        <v>67.730999999999995</v>
      </c>
      <c r="BP42" s="58">
        <v>61.982999999999997</v>
      </c>
      <c r="BQ42" s="58">
        <v>20.315000000000001</v>
      </c>
      <c r="BR42" s="58">
        <v>41.667999999999999</v>
      </c>
      <c r="BS42" s="58">
        <v>22.271000000000001</v>
      </c>
      <c r="BT42" s="58">
        <v>11.237</v>
      </c>
      <c r="BU42" s="58">
        <v>11.034000000000001</v>
      </c>
      <c r="BV42" s="58">
        <v>4.21</v>
      </c>
      <c r="BW42" s="58">
        <v>1.641</v>
      </c>
      <c r="BX42" s="58">
        <v>2.57</v>
      </c>
      <c r="BY42" s="58">
        <v>2.036</v>
      </c>
      <c r="BZ42" s="58">
        <v>1.179</v>
      </c>
      <c r="CA42" s="58">
        <v>0.85599999999999998</v>
      </c>
      <c r="CB42" s="58">
        <v>0.69799999999999995</v>
      </c>
      <c r="CC42" s="58">
        <v>0.192</v>
      </c>
      <c r="CD42" s="58">
        <v>0.505</v>
      </c>
      <c r="CE42" s="58">
        <v>1.3380000000000001</v>
      </c>
      <c r="CF42" s="58">
        <v>0.98699999999999999</v>
      </c>
      <c r="CG42" s="58">
        <v>0.35099999999999998</v>
      </c>
      <c r="CH42" s="58">
        <v>2.1739999999999999</v>
      </c>
      <c r="CI42" s="58">
        <v>0.46100000000000002</v>
      </c>
      <c r="CJ42" s="58">
        <v>1.7130000000000001</v>
      </c>
      <c r="CK42" s="58">
        <v>19.494</v>
      </c>
      <c r="CL42" s="58">
        <v>10.074</v>
      </c>
      <c r="CM42" s="58">
        <v>9.4209999999999994</v>
      </c>
      <c r="CN42" s="58">
        <v>7.1840000000000002</v>
      </c>
      <c r="CO42" s="58">
        <v>4.9130000000000003</v>
      </c>
      <c r="CP42" s="58">
        <v>2.2709999999999999</v>
      </c>
      <c r="CQ42" s="58">
        <v>12.311</v>
      </c>
      <c r="CR42" s="58">
        <v>5.1609999999999996</v>
      </c>
      <c r="CS42" s="58">
        <v>7.15</v>
      </c>
      <c r="CT42" s="58">
        <v>8.86</v>
      </c>
      <c r="CU42" s="58">
        <v>5.9</v>
      </c>
      <c r="CV42" s="58">
        <v>2.96</v>
      </c>
      <c r="CW42" s="58">
        <v>13.411</v>
      </c>
      <c r="CX42" s="58">
        <v>5.3369999999999997</v>
      </c>
      <c r="CY42" s="58">
        <v>8.0739999999999998</v>
      </c>
      <c r="CZ42" s="58">
        <v>13.007999999999999</v>
      </c>
      <c r="DA42" s="58">
        <v>5.3529999999999998</v>
      </c>
      <c r="DB42" s="58">
        <v>7.6550000000000002</v>
      </c>
    </row>
    <row r="43" spans="1:106">
      <c r="A43" s="5">
        <v>42795</v>
      </c>
      <c r="B43" s="58">
        <v>9.92</v>
      </c>
      <c r="C43" s="58">
        <v>6.6630000000000003</v>
      </c>
      <c r="D43" s="58">
        <v>3.2570000000000001</v>
      </c>
      <c r="E43" s="58">
        <v>24.04</v>
      </c>
      <c r="F43" s="58">
        <v>9.3070000000000004</v>
      </c>
      <c r="G43" s="58">
        <v>14.733000000000001</v>
      </c>
      <c r="H43" s="58">
        <v>11.499000000000001</v>
      </c>
      <c r="I43" s="58">
        <v>7.6379999999999999</v>
      </c>
      <c r="J43" s="58">
        <v>3.8610000000000002</v>
      </c>
      <c r="K43" s="58">
        <v>25.977</v>
      </c>
      <c r="L43" s="58">
        <v>9.9469999999999992</v>
      </c>
      <c r="M43" s="58">
        <v>16.03</v>
      </c>
      <c r="N43" s="58">
        <v>24.678999999999998</v>
      </c>
      <c r="O43" s="58">
        <v>9.8420000000000005</v>
      </c>
      <c r="P43" s="58">
        <v>14.837</v>
      </c>
      <c r="Q43" s="58">
        <v>141.874</v>
      </c>
      <c r="R43" s="58">
        <v>76.45</v>
      </c>
      <c r="S43" s="58">
        <v>65.424000000000007</v>
      </c>
      <c r="T43" s="58">
        <v>111.67700000000001</v>
      </c>
      <c r="U43" s="58">
        <v>65.352999999999994</v>
      </c>
      <c r="V43" s="58">
        <v>46.323999999999998</v>
      </c>
      <c r="W43" s="58">
        <v>30.198</v>
      </c>
      <c r="X43" s="58">
        <v>11.097</v>
      </c>
      <c r="Y43" s="58">
        <v>19.100000000000001</v>
      </c>
      <c r="Z43" s="58">
        <v>15.843</v>
      </c>
      <c r="AA43" s="58">
        <v>9.7349999999999994</v>
      </c>
      <c r="AB43" s="58">
        <v>6.109</v>
      </c>
      <c r="AC43" s="58">
        <v>2.6789999999999998</v>
      </c>
      <c r="AD43" s="58">
        <v>1.7490000000000001</v>
      </c>
      <c r="AE43" s="58">
        <v>0.93</v>
      </c>
      <c r="AF43" s="58">
        <v>1.552</v>
      </c>
      <c r="AG43" s="58">
        <v>1.298</v>
      </c>
      <c r="AH43" s="58">
        <v>0.254</v>
      </c>
      <c r="AI43" s="58">
        <v>0.81499999999999995</v>
      </c>
      <c r="AJ43" s="58">
        <v>0.65800000000000003</v>
      </c>
      <c r="AK43" s="58">
        <v>0.157</v>
      </c>
      <c r="AL43" s="58">
        <v>0.73699999999999999</v>
      </c>
      <c r="AM43" s="58">
        <v>0.64</v>
      </c>
      <c r="AN43" s="58">
        <v>9.7000000000000003E-2</v>
      </c>
      <c r="AO43" s="58">
        <v>1.127</v>
      </c>
      <c r="AP43" s="58">
        <v>0.45100000000000001</v>
      </c>
      <c r="AQ43" s="58">
        <v>0.67600000000000005</v>
      </c>
      <c r="AR43" s="58">
        <v>14.284000000000001</v>
      </c>
      <c r="AS43" s="58">
        <v>8.5939999999999994</v>
      </c>
      <c r="AT43" s="58">
        <v>5.69</v>
      </c>
      <c r="AU43" s="58">
        <v>7.7539999999999996</v>
      </c>
      <c r="AV43" s="58">
        <v>5.3129999999999997</v>
      </c>
      <c r="AW43" s="58">
        <v>2.4409999999999998</v>
      </c>
      <c r="AX43" s="58">
        <v>6.53</v>
      </c>
      <c r="AY43" s="58">
        <v>3.282</v>
      </c>
      <c r="AZ43" s="58">
        <v>3.2490000000000001</v>
      </c>
      <c r="BA43" s="58">
        <v>8.81</v>
      </c>
      <c r="BB43" s="58">
        <v>6.2720000000000002</v>
      </c>
      <c r="BC43" s="58">
        <v>2.5379999999999998</v>
      </c>
      <c r="BD43" s="58">
        <v>7.0330000000000004</v>
      </c>
      <c r="BE43" s="58">
        <v>3.4620000000000002</v>
      </c>
      <c r="BF43" s="58">
        <v>3.5710000000000002</v>
      </c>
      <c r="BG43" s="58">
        <v>7.3449999999999998</v>
      </c>
      <c r="BH43" s="58">
        <v>3.94</v>
      </c>
      <c r="BI43" s="58">
        <v>3.4060000000000001</v>
      </c>
      <c r="BJ43" s="58">
        <v>220.886</v>
      </c>
      <c r="BK43" s="58">
        <v>113.008</v>
      </c>
      <c r="BL43" s="58">
        <v>107.878</v>
      </c>
      <c r="BM43" s="58">
        <v>157.61000000000001</v>
      </c>
      <c r="BN43" s="58">
        <v>91.909000000000006</v>
      </c>
      <c r="BO43" s="58">
        <v>65.7</v>
      </c>
      <c r="BP43" s="58">
        <v>63.276000000000003</v>
      </c>
      <c r="BQ43" s="58">
        <v>21.097999999999999</v>
      </c>
      <c r="BR43" s="58">
        <v>42.177999999999997</v>
      </c>
      <c r="BS43" s="58">
        <v>29.01</v>
      </c>
      <c r="BT43" s="58">
        <v>17.010999999999999</v>
      </c>
      <c r="BU43" s="58">
        <v>11.999000000000001</v>
      </c>
      <c r="BV43" s="58">
        <v>5.0209999999999999</v>
      </c>
      <c r="BW43" s="58">
        <v>2.9</v>
      </c>
      <c r="BX43" s="58">
        <v>2.121</v>
      </c>
      <c r="BY43" s="58">
        <v>1.478</v>
      </c>
      <c r="BZ43" s="58">
        <v>1.327</v>
      </c>
      <c r="CA43" s="58">
        <v>0.151</v>
      </c>
      <c r="CB43" s="58">
        <v>0.748</v>
      </c>
      <c r="CC43" s="58">
        <v>0.748</v>
      </c>
      <c r="CD43" s="58">
        <v>0</v>
      </c>
      <c r="CE43" s="58">
        <v>0.73</v>
      </c>
      <c r="CF43" s="58">
        <v>0.57899999999999996</v>
      </c>
      <c r="CG43" s="58">
        <v>0.151</v>
      </c>
      <c r="CH43" s="58">
        <v>3.5430000000000001</v>
      </c>
      <c r="CI43" s="58">
        <v>1.573</v>
      </c>
      <c r="CJ43" s="58">
        <v>1.97</v>
      </c>
      <c r="CK43" s="58">
        <v>25.939</v>
      </c>
      <c r="CL43" s="58">
        <v>15.227</v>
      </c>
      <c r="CM43" s="58">
        <v>10.712</v>
      </c>
      <c r="CN43" s="58">
        <v>10.409000000000001</v>
      </c>
      <c r="CO43" s="58">
        <v>8.4770000000000003</v>
      </c>
      <c r="CP43" s="58">
        <v>1.9319999999999999</v>
      </c>
      <c r="CQ43" s="58">
        <v>15.53</v>
      </c>
      <c r="CR43" s="58">
        <v>6.75</v>
      </c>
      <c r="CS43" s="58">
        <v>8.7799999999999994</v>
      </c>
      <c r="CT43" s="58">
        <v>11.385999999999999</v>
      </c>
      <c r="CU43" s="58">
        <v>9.3030000000000008</v>
      </c>
      <c r="CV43" s="58">
        <v>2.0830000000000002</v>
      </c>
      <c r="CW43" s="58">
        <v>17.623999999999999</v>
      </c>
      <c r="CX43" s="58">
        <v>7.7080000000000002</v>
      </c>
      <c r="CY43" s="58">
        <v>9.9160000000000004</v>
      </c>
      <c r="CZ43" s="58">
        <v>16.277999999999999</v>
      </c>
      <c r="DA43" s="58">
        <v>7.4980000000000002</v>
      </c>
      <c r="DB43" s="58">
        <v>8.7799999999999994</v>
      </c>
    </row>
    <row r="44" spans="1:106">
      <c r="A44" s="5">
        <v>42826</v>
      </c>
      <c r="B44" s="58">
        <v>10.244999999999999</v>
      </c>
      <c r="C44" s="58">
        <v>7.5970000000000004</v>
      </c>
      <c r="D44" s="58">
        <v>2.6480000000000001</v>
      </c>
      <c r="E44" s="58">
        <v>25.105</v>
      </c>
      <c r="F44" s="58">
        <v>8.64</v>
      </c>
      <c r="G44" s="58">
        <v>16.465</v>
      </c>
      <c r="H44" s="58">
        <v>12.013999999999999</v>
      </c>
      <c r="I44" s="58">
        <v>9.0879999999999992</v>
      </c>
      <c r="J44" s="58">
        <v>2.9260000000000002</v>
      </c>
      <c r="K44" s="58">
        <v>27.513000000000002</v>
      </c>
      <c r="L44" s="58">
        <v>9.4160000000000004</v>
      </c>
      <c r="M44" s="58">
        <v>18.096</v>
      </c>
      <c r="N44" s="58">
        <v>26.675999999999998</v>
      </c>
      <c r="O44" s="58">
        <v>10.211</v>
      </c>
      <c r="P44" s="58">
        <v>16.465</v>
      </c>
      <c r="Q44" s="58">
        <v>142.98699999999999</v>
      </c>
      <c r="R44" s="58">
        <v>76.454999999999998</v>
      </c>
      <c r="S44" s="58">
        <v>66.531999999999996</v>
      </c>
      <c r="T44" s="58">
        <v>110.90900000000001</v>
      </c>
      <c r="U44" s="58">
        <v>65.061999999999998</v>
      </c>
      <c r="V44" s="58">
        <v>45.847000000000001</v>
      </c>
      <c r="W44" s="58">
        <v>32.078000000000003</v>
      </c>
      <c r="X44" s="58">
        <v>11.393000000000001</v>
      </c>
      <c r="Y44" s="58">
        <v>20.684999999999999</v>
      </c>
      <c r="Z44" s="58">
        <v>14.585000000000001</v>
      </c>
      <c r="AA44" s="58">
        <v>8.6340000000000003</v>
      </c>
      <c r="AB44" s="58">
        <v>5.9509999999999996</v>
      </c>
      <c r="AC44" s="58">
        <v>2.0550000000000002</v>
      </c>
      <c r="AD44" s="58">
        <v>1.056</v>
      </c>
      <c r="AE44" s="58">
        <v>0.999</v>
      </c>
      <c r="AF44" s="58">
        <v>0.39100000000000001</v>
      </c>
      <c r="AG44" s="58">
        <v>0.222</v>
      </c>
      <c r="AH44" s="58">
        <v>0.16800000000000001</v>
      </c>
      <c r="AI44" s="58">
        <v>0.14799999999999999</v>
      </c>
      <c r="AJ44" s="58">
        <v>0.14799999999999999</v>
      </c>
      <c r="AK44" s="58">
        <v>0</v>
      </c>
      <c r="AL44" s="58">
        <v>0.24199999999999999</v>
      </c>
      <c r="AM44" s="58">
        <v>7.3999999999999996E-2</v>
      </c>
      <c r="AN44" s="58">
        <v>0.16800000000000001</v>
      </c>
      <c r="AO44" s="58">
        <v>1.6639999999999999</v>
      </c>
      <c r="AP44" s="58">
        <v>0.83399999999999996</v>
      </c>
      <c r="AQ44" s="58">
        <v>0.83099999999999996</v>
      </c>
      <c r="AR44" s="58">
        <v>13.173999999999999</v>
      </c>
      <c r="AS44" s="58">
        <v>8.0679999999999996</v>
      </c>
      <c r="AT44" s="58">
        <v>5.1050000000000004</v>
      </c>
      <c r="AU44" s="58">
        <v>5.5439999999999996</v>
      </c>
      <c r="AV44" s="58">
        <v>4.3789999999999996</v>
      </c>
      <c r="AW44" s="58">
        <v>1.165</v>
      </c>
      <c r="AX44" s="58">
        <v>7.63</v>
      </c>
      <c r="AY44" s="58">
        <v>3.6890000000000001</v>
      </c>
      <c r="AZ44" s="58">
        <v>3.9409999999999998</v>
      </c>
      <c r="BA44" s="58">
        <v>5.9340000000000002</v>
      </c>
      <c r="BB44" s="58">
        <v>4.601</v>
      </c>
      <c r="BC44" s="58">
        <v>1.333</v>
      </c>
      <c r="BD44" s="58">
        <v>8.6509999999999998</v>
      </c>
      <c r="BE44" s="58">
        <v>4.0330000000000004</v>
      </c>
      <c r="BF44" s="58">
        <v>4.6180000000000003</v>
      </c>
      <c r="BG44" s="58">
        <v>7.7789999999999999</v>
      </c>
      <c r="BH44" s="58">
        <v>3.8380000000000001</v>
      </c>
      <c r="BI44" s="58">
        <v>3.9409999999999998</v>
      </c>
      <c r="BJ44" s="58">
        <v>222.25700000000001</v>
      </c>
      <c r="BK44" s="58">
        <v>112.539</v>
      </c>
      <c r="BL44" s="58">
        <v>109.71899999999999</v>
      </c>
      <c r="BM44" s="58">
        <v>157.16999999999999</v>
      </c>
      <c r="BN44" s="58">
        <v>90.572000000000003</v>
      </c>
      <c r="BO44" s="58">
        <v>66.597999999999999</v>
      </c>
      <c r="BP44" s="58">
        <v>65.087999999999994</v>
      </c>
      <c r="BQ44" s="58">
        <v>21.966999999999999</v>
      </c>
      <c r="BR44" s="58">
        <v>43.121000000000002</v>
      </c>
      <c r="BS44" s="58">
        <v>24.36</v>
      </c>
      <c r="BT44" s="58">
        <v>13.196</v>
      </c>
      <c r="BU44" s="58">
        <v>11.164</v>
      </c>
      <c r="BV44" s="58">
        <v>4.3659999999999997</v>
      </c>
      <c r="BW44" s="58">
        <v>2.6440000000000001</v>
      </c>
      <c r="BX44" s="58">
        <v>1.722</v>
      </c>
      <c r="BY44" s="58">
        <v>1.8759999999999999</v>
      </c>
      <c r="BZ44" s="58">
        <v>1.395</v>
      </c>
      <c r="CA44" s="58">
        <v>0.48099999999999998</v>
      </c>
      <c r="CB44" s="58">
        <v>0.46400000000000002</v>
      </c>
      <c r="CC44" s="58">
        <v>0.30599999999999999</v>
      </c>
      <c r="CD44" s="58">
        <v>0.157</v>
      </c>
      <c r="CE44" s="58">
        <v>1.4119999999999999</v>
      </c>
      <c r="CF44" s="58">
        <v>1.089</v>
      </c>
      <c r="CG44" s="58">
        <v>0.32400000000000001</v>
      </c>
      <c r="CH44" s="58">
        <v>2.4900000000000002</v>
      </c>
      <c r="CI44" s="58">
        <v>1.2490000000000001</v>
      </c>
      <c r="CJ44" s="58">
        <v>1.2410000000000001</v>
      </c>
      <c r="CK44" s="58">
        <v>21.346</v>
      </c>
      <c r="CL44" s="58">
        <v>11.423999999999999</v>
      </c>
      <c r="CM44" s="58">
        <v>9.923</v>
      </c>
      <c r="CN44" s="58">
        <v>7.7469999999999999</v>
      </c>
      <c r="CO44" s="58">
        <v>5.827</v>
      </c>
      <c r="CP44" s="58">
        <v>1.92</v>
      </c>
      <c r="CQ44" s="58">
        <v>13.599</v>
      </c>
      <c r="CR44" s="58">
        <v>5.5970000000000004</v>
      </c>
      <c r="CS44" s="58">
        <v>8.0020000000000007</v>
      </c>
      <c r="CT44" s="58">
        <v>9.327</v>
      </c>
      <c r="CU44" s="58">
        <v>7.0830000000000002</v>
      </c>
      <c r="CV44" s="58">
        <v>2.2440000000000002</v>
      </c>
      <c r="CW44" s="58">
        <v>15.032999999999999</v>
      </c>
      <c r="CX44" s="58">
        <v>6.1130000000000004</v>
      </c>
      <c r="CY44" s="58">
        <v>8.92</v>
      </c>
      <c r="CZ44" s="58">
        <v>14.063000000000001</v>
      </c>
      <c r="DA44" s="58">
        <v>5.9039999999999999</v>
      </c>
      <c r="DB44" s="58">
        <v>8.16</v>
      </c>
    </row>
    <row r="45" spans="1:106">
      <c r="A45" s="5">
        <v>42856</v>
      </c>
      <c r="B45" s="58">
        <v>11.81</v>
      </c>
      <c r="C45" s="58">
        <v>8.7949999999999999</v>
      </c>
      <c r="D45" s="58">
        <v>3.0150000000000001</v>
      </c>
      <c r="E45" s="58">
        <v>23.524999999999999</v>
      </c>
      <c r="F45" s="58">
        <v>8.5060000000000002</v>
      </c>
      <c r="G45" s="58">
        <v>15.019</v>
      </c>
      <c r="H45" s="58">
        <v>13.741</v>
      </c>
      <c r="I45" s="58">
        <v>10.164999999999999</v>
      </c>
      <c r="J45" s="58">
        <v>3.5760000000000001</v>
      </c>
      <c r="K45" s="58">
        <v>27.053000000000001</v>
      </c>
      <c r="L45" s="58">
        <v>9.3989999999999991</v>
      </c>
      <c r="M45" s="58">
        <v>17.654</v>
      </c>
      <c r="N45" s="58">
        <v>24.777999999999999</v>
      </c>
      <c r="O45" s="58">
        <v>9.6679999999999993</v>
      </c>
      <c r="P45" s="58">
        <v>15.111000000000001</v>
      </c>
      <c r="Q45" s="58">
        <v>138.50899999999999</v>
      </c>
      <c r="R45" s="58">
        <v>75.605000000000004</v>
      </c>
      <c r="S45" s="58">
        <v>62.905000000000001</v>
      </c>
      <c r="T45" s="58">
        <v>104.875</v>
      </c>
      <c r="U45" s="58">
        <v>62.64</v>
      </c>
      <c r="V45" s="58">
        <v>42.235999999999997</v>
      </c>
      <c r="W45" s="58">
        <v>33.634</v>
      </c>
      <c r="X45" s="58">
        <v>12.965</v>
      </c>
      <c r="Y45" s="58">
        <v>20.669</v>
      </c>
      <c r="Z45" s="58">
        <v>14.769</v>
      </c>
      <c r="AA45" s="58">
        <v>10.401</v>
      </c>
      <c r="AB45" s="58">
        <v>4.3680000000000003</v>
      </c>
      <c r="AC45" s="58">
        <v>2.1669999999999998</v>
      </c>
      <c r="AD45" s="58">
        <v>1.663</v>
      </c>
      <c r="AE45" s="58">
        <v>0.504</v>
      </c>
      <c r="AF45" s="58">
        <v>0.91600000000000004</v>
      </c>
      <c r="AG45" s="58">
        <v>0.754</v>
      </c>
      <c r="AH45" s="58">
        <v>0.161</v>
      </c>
      <c r="AI45" s="58">
        <v>0.60299999999999998</v>
      </c>
      <c r="AJ45" s="58">
        <v>0.60299999999999998</v>
      </c>
      <c r="AK45" s="58">
        <v>0</v>
      </c>
      <c r="AL45" s="58">
        <v>0.313</v>
      </c>
      <c r="AM45" s="58">
        <v>0.151</v>
      </c>
      <c r="AN45" s="58">
        <v>0.161</v>
      </c>
      <c r="AO45" s="58">
        <v>1.252</v>
      </c>
      <c r="AP45" s="58">
        <v>0.90900000000000003</v>
      </c>
      <c r="AQ45" s="58">
        <v>0.34300000000000003</v>
      </c>
      <c r="AR45" s="58">
        <v>13.395</v>
      </c>
      <c r="AS45" s="58">
        <v>9.3279999999999994</v>
      </c>
      <c r="AT45" s="58">
        <v>4.0670000000000002</v>
      </c>
      <c r="AU45" s="58">
        <v>6.7679999999999998</v>
      </c>
      <c r="AV45" s="58">
        <v>5.5039999999999996</v>
      </c>
      <c r="AW45" s="58">
        <v>1.264</v>
      </c>
      <c r="AX45" s="58">
        <v>6.6280000000000001</v>
      </c>
      <c r="AY45" s="58">
        <v>3.8239999999999998</v>
      </c>
      <c r="AZ45" s="58">
        <v>2.8029999999999999</v>
      </c>
      <c r="BA45" s="58">
        <v>7.2869999999999999</v>
      </c>
      <c r="BB45" s="58">
        <v>5.9340000000000002</v>
      </c>
      <c r="BC45" s="58">
        <v>1.3520000000000001</v>
      </c>
      <c r="BD45" s="58">
        <v>7.4820000000000002</v>
      </c>
      <c r="BE45" s="58">
        <v>4.4669999999999996</v>
      </c>
      <c r="BF45" s="58">
        <v>3.0150000000000001</v>
      </c>
      <c r="BG45" s="58">
        <v>7.2309999999999999</v>
      </c>
      <c r="BH45" s="58">
        <v>4.4269999999999996</v>
      </c>
      <c r="BI45" s="58">
        <v>2.8029999999999999</v>
      </c>
      <c r="BJ45" s="58">
        <v>225.232</v>
      </c>
      <c r="BK45" s="58">
        <v>113.533</v>
      </c>
      <c r="BL45" s="58">
        <v>111.69799999999999</v>
      </c>
      <c r="BM45" s="58">
        <v>160.249</v>
      </c>
      <c r="BN45" s="58">
        <v>92.007999999999996</v>
      </c>
      <c r="BO45" s="58">
        <v>68.241</v>
      </c>
      <c r="BP45" s="58">
        <v>64.981999999999999</v>
      </c>
      <c r="BQ45" s="58">
        <v>21.526</v>
      </c>
      <c r="BR45" s="58">
        <v>43.457000000000001</v>
      </c>
      <c r="BS45" s="58">
        <v>26.276</v>
      </c>
      <c r="BT45" s="58">
        <v>14.401</v>
      </c>
      <c r="BU45" s="58">
        <v>11.875999999999999</v>
      </c>
      <c r="BV45" s="58">
        <v>4.9210000000000003</v>
      </c>
      <c r="BW45" s="58">
        <v>2.6909999999999998</v>
      </c>
      <c r="BX45" s="58">
        <v>2.23</v>
      </c>
      <c r="BY45" s="58">
        <v>1.9850000000000001</v>
      </c>
      <c r="BZ45" s="58">
        <v>1.016</v>
      </c>
      <c r="CA45" s="58">
        <v>0.96899999999999997</v>
      </c>
      <c r="CB45" s="58">
        <v>0.32300000000000001</v>
      </c>
      <c r="CC45" s="58">
        <v>0.17100000000000001</v>
      </c>
      <c r="CD45" s="58">
        <v>0.152</v>
      </c>
      <c r="CE45" s="58">
        <v>1.6619999999999999</v>
      </c>
      <c r="CF45" s="58">
        <v>0.84599999999999997</v>
      </c>
      <c r="CG45" s="58">
        <v>0.81599999999999995</v>
      </c>
      <c r="CH45" s="58">
        <v>2.9359999999999999</v>
      </c>
      <c r="CI45" s="58">
        <v>1.675</v>
      </c>
      <c r="CJ45" s="58">
        <v>1.262</v>
      </c>
      <c r="CK45" s="58">
        <v>24.021000000000001</v>
      </c>
      <c r="CL45" s="58">
        <v>13.114000000000001</v>
      </c>
      <c r="CM45" s="58">
        <v>10.907</v>
      </c>
      <c r="CN45" s="58">
        <v>9.6329999999999991</v>
      </c>
      <c r="CO45" s="58">
        <v>6.73</v>
      </c>
      <c r="CP45" s="58">
        <v>2.903</v>
      </c>
      <c r="CQ45" s="58">
        <v>14.388</v>
      </c>
      <c r="CR45" s="58">
        <v>6.3840000000000003</v>
      </c>
      <c r="CS45" s="58">
        <v>8.0039999999999996</v>
      </c>
      <c r="CT45" s="58">
        <v>11.102</v>
      </c>
      <c r="CU45" s="58">
        <v>7.4109999999999996</v>
      </c>
      <c r="CV45" s="58">
        <v>3.6920000000000002</v>
      </c>
      <c r="CW45" s="58">
        <v>15.173999999999999</v>
      </c>
      <c r="CX45" s="58">
        <v>6.99</v>
      </c>
      <c r="CY45" s="58">
        <v>8.1839999999999993</v>
      </c>
      <c r="CZ45" s="58">
        <v>14.711</v>
      </c>
      <c r="DA45" s="58">
        <v>6.5549999999999997</v>
      </c>
      <c r="DB45" s="58">
        <v>8.157</v>
      </c>
    </row>
    <row r="46" spans="1:106">
      <c r="A46" s="5">
        <v>42887</v>
      </c>
      <c r="B46" s="58">
        <v>9.5030000000000001</v>
      </c>
      <c r="C46" s="58">
        <v>7.702</v>
      </c>
      <c r="D46" s="58">
        <v>1.802</v>
      </c>
      <c r="E46" s="58">
        <v>26.510999999999999</v>
      </c>
      <c r="F46" s="58">
        <v>10.045999999999999</v>
      </c>
      <c r="G46" s="58">
        <v>16.465</v>
      </c>
      <c r="H46" s="58">
        <v>11.465999999999999</v>
      </c>
      <c r="I46" s="58">
        <v>9.11</v>
      </c>
      <c r="J46" s="58">
        <v>2.3559999999999999</v>
      </c>
      <c r="K46" s="58">
        <v>29.632000000000001</v>
      </c>
      <c r="L46" s="58">
        <v>11.125999999999999</v>
      </c>
      <c r="M46" s="58">
        <v>18.507000000000001</v>
      </c>
      <c r="N46" s="58">
        <v>27.364999999999998</v>
      </c>
      <c r="O46" s="58">
        <v>10.401</v>
      </c>
      <c r="P46" s="58">
        <v>16.963999999999999</v>
      </c>
      <c r="Q46" s="58">
        <v>135.83600000000001</v>
      </c>
      <c r="R46" s="58">
        <v>73.135999999999996</v>
      </c>
      <c r="S46" s="58">
        <v>62.7</v>
      </c>
      <c r="T46" s="58">
        <v>106.74299999999999</v>
      </c>
      <c r="U46" s="58">
        <v>63.466999999999999</v>
      </c>
      <c r="V46" s="58">
        <v>43.274999999999999</v>
      </c>
      <c r="W46" s="58">
        <v>29.094000000000001</v>
      </c>
      <c r="X46" s="58">
        <v>9.6690000000000005</v>
      </c>
      <c r="Y46" s="58">
        <v>19.425000000000001</v>
      </c>
      <c r="Z46" s="58">
        <v>14.85</v>
      </c>
      <c r="AA46" s="58">
        <v>9.0619999999999994</v>
      </c>
      <c r="AB46" s="58">
        <v>5.7880000000000003</v>
      </c>
      <c r="AC46" s="58">
        <v>2.3740000000000001</v>
      </c>
      <c r="AD46" s="58">
        <v>1.359</v>
      </c>
      <c r="AE46" s="58">
        <v>1.0149999999999999</v>
      </c>
      <c r="AF46" s="58">
        <v>0.88400000000000001</v>
      </c>
      <c r="AG46" s="58">
        <v>0.59099999999999997</v>
      </c>
      <c r="AH46" s="58">
        <v>0.29299999999999998</v>
      </c>
      <c r="AI46" s="58">
        <v>0.245</v>
      </c>
      <c r="AJ46" s="58">
        <v>0.245</v>
      </c>
      <c r="AK46" s="58">
        <v>0</v>
      </c>
      <c r="AL46" s="58">
        <v>0.63800000000000001</v>
      </c>
      <c r="AM46" s="58">
        <v>0.34599999999999997</v>
      </c>
      <c r="AN46" s="58">
        <v>0.29299999999999998</v>
      </c>
      <c r="AO46" s="58">
        <v>1.4910000000000001</v>
      </c>
      <c r="AP46" s="58">
        <v>0.76800000000000002</v>
      </c>
      <c r="AQ46" s="58">
        <v>0.72299999999999998</v>
      </c>
      <c r="AR46" s="58">
        <v>13.206</v>
      </c>
      <c r="AS46" s="58">
        <v>8.1229999999999993</v>
      </c>
      <c r="AT46" s="58">
        <v>5.0819999999999999</v>
      </c>
      <c r="AU46" s="58">
        <v>6.5839999999999996</v>
      </c>
      <c r="AV46" s="58">
        <v>5.2060000000000004</v>
      </c>
      <c r="AW46" s="58">
        <v>1.3779999999999999</v>
      </c>
      <c r="AX46" s="58">
        <v>6.6210000000000004</v>
      </c>
      <c r="AY46" s="58">
        <v>2.9169999999999998</v>
      </c>
      <c r="AZ46" s="58">
        <v>3.7050000000000001</v>
      </c>
      <c r="BA46" s="58">
        <v>7.226</v>
      </c>
      <c r="BB46" s="58">
        <v>5.6280000000000001</v>
      </c>
      <c r="BC46" s="58">
        <v>1.5980000000000001</v>
      </c>
      <c r="BD46" s="58">
        <v>7.6230000000000002</v>
      </c>
      <c r="BE46" s="58">
        <v>3.4340000000000002</v>
      </c>
      <c r="BF46" s="58">
        <v>4.1900000000000004</v>
      </c>
      <c r="BG46" s="58">
        <v>6.867</v>
      </c>
      <c r="BH46" s="58">
        <v>3.1619999999999999</v>
      </c>
      <c r="BI46" s="58">
        <v>3.7050000000000001</v>
      </c>
      <c r="BJ46" s="58">
        <v>222.07599999999999</v>
      </c>
      <c r="BK46" s="58">
        <v>112.468</v>
      </c>
      <c r="BL46" s="58">
        <v>109.608</v>
      </c>
      <c r="BM46" s="58">
        <v>158.56800000000001</v>
      </c>
      <c r="BN46" s="58">
        <v>92.186000000000007</v>
      </c>
      <c r="BO46" s="58">
        <v>66.382000000000005</v>
      </c>
      <c r="BP46" s="58">
        <v>63.508000000000003</v>
      </c>
      <c r="BQ46" s="58">
        <v>20.282</v>
      </c>
      <c r="BR46" s="58">
        <v>43.225999999999999</v>
      </c>
      <c r="BS46" s="58">
        <v>27.175000000000001</v>
      </c>
      <c r="BT46" s="58">
        <v>15.956</v>
      </c>
      <c r="BU46" s="58">
        <v>11.218999999999999</v>
      </c>
      <c r="BV46" s="58">
        <v>3.7250000000000001</v>
      </c>
      <c r="BW46" s="58">
        <v>2.4630000000000001</v>
      </c>
      <c r="BX46" s="58">
        <v>1.2629999999999999</v>
      </c>
      <c r="BY46" s="58">
        <v>1.345</v>
      </c>
      <c r="BZ46" s="58">
        <v>0.97799999999999998</v>
      </c>
      <c r="CA46" s="58">
        <v>0.36699999999999999</v>
      </c>
      <c r="CB46" s="58">
        <v>0.79100000000000004</v>
      </c>
      <c r="CC46" s="58">
        <v>0.60199999999999998</v>
      </c>
      <c r="CD46" s="58">
        <v>0.189</v>
      </c>
      <c r="CE46" s="58">
        <v>0.55400000000000005</v>
      </c>
      <c r="CF46" s="58">
        <v>0.376</v>
      </c>
      <c r="CG46" s="58">
        <v>0.17799999999999999</v>
      </c>
      <c r="CH46" s="58">
        <v>2.3809999999999998</v>
      </c>
      <c r="CI46" s="58">
        <v>1.4850000000000001</v>
      </c>
      <c r="CJ46" s="58">
        <v>0.89600000000000002</v>
      </c>
      <c r="CK46" s="58">
        <v>25.318999999999999</v>
      </c>
      <c r="CL46" s="58">
        <v>14.598000000000001</v>
      </c>
      <c r="CM46" s="58">
        <v>10.722</v>
      </c>
      <c r="CN46" s="58">
        <v>11.266999999999999</v>
      </c>
      <c r="CO46" s="58">
        <v>8.7050000000000001</v>
      </c>
      <c r="CP46" s="58">
        <v>2.5619999999999998</v>
      </c>
      <c r="CQ46" s="58">
        <v>14.052</v>
      </c>
      <c r="CR46" s="58">
        <v>5.8929999999999998</v>
      </c>
      <c r="CS46" s="58">
        <v>8.1590000000000007</v>
      </c>
      <c r="CT46" s="58">
        <v>12.273</v>
      </c>
      <c r="CU46" s="58">
        <v>9.3439999999999994</v>
      </c>
      <c r="CV46" s="58">
        <v>2.9289999999999998</v>
      </c>
      <c r="CW46" s="58">
        <v>14.901999999999999</v>
      </c>
      <c r="CX46" s="58">
        <v>6.6120000000000001</v>
      </c>
      <c r="CY46" s="58">
        <v>8.2899999999999991</v>
      </c>
      <c r="CZ46" s="58">
        <v>14.843</v>
      </c>
      <c r="DA46" s="58">
        <v>6.4950000000000001</v>
      </c>
      <c r="DB46" s="58">
        <v>8.3480000000000008</v>
      </c>
    </row>
    <row r="47" spans="1:106">
      <c r="A47" s="5">
        <v>42917</v>
      </c>
      <c r="B47" s="58">
        <v>10.913</v>
      </c>
      <c r="C47" s="58">
        <v>8.5289999999999999</v>
      </c>
      <c r="D47" s="58">
        <v>2.3839999999999999</v>
      </c>
      <c r="E47" s="58">
        <v>25.594000000000001</v>
      </c>
      <c r="F47" s="58">
        <v>9.4350000000000005</v>
      </c>
      <c r="G47" s="58">
        <v>16.158999999999999</v>
      </c>
      <c r="H47" s="58">
        <v>13.092000000000001</v>
      </c>
      <c r="I47" s="58">
        <v>10.255000000000001</v>
      </c>
      <c r="J47" s="58">
        <v>2.8370000000000002</v>
      </c>
      <c r="K47" s="58">
        <v>27.658999999999999</v>
      </c>
      <c r="L47" s="58">
        <v>10.324</v>
      </c>
      <c r="M47" s="58">
        <v>17.334</v>
      </c>
      <c r="N47" s="58">
        <v>26.312000000000001</v>
      </c>
      <c r="O47" s="58">
        <v>10.050000000000001</v>
      </c>
      <c r="P47" s="58">
        <v>16.262</v>
      </c>
      <c r="Q47" s="58">
        <v>134.08000000000001</v>
      </c>
      <c r="R47" s="58">
        <v>72.337000000000003</v>
      </c>
      <c r="S47" s="58">
        <v>61.743000000000002</v>
      </c>
      <c r="T47" s="58">
        <v>106.854</v>
      </c>
      <c r="U47" s="58">
        <v>63.286999999999999</v>
      </c>
      <c r="V47" s="58">
        <v>43.567</v>
      </c>
      <c r="W47" s="58">
        <v>27.225999999999999</v>
      </c>
      <c r="X47" s="58">
        <v>9.0500000000000007</v>
      </c>
      <c r="Y47" s="58">
        <v>18.175999999999998</v>
      </c>
      <c r="Z47" s="58">
        <v>14.353999999999999</v>
      </c>
      <c r="AA47" s="58">
        <v>8.6920000000000002</v>
      </c>
      <c r="AB47" s="58">
        <v>5.6619999999999999</v>
      </c>
      <c r="AC47" s="58">
        <v>1.645</v>
      </c>
      <c r="AD47" s="58">
        <v>1.278</v>
      </c>
      <c r="AE47" s="58">
        <v>0.36699999999999999</v>
      </c>
      <c r="AF47" s="58">
        <v>0.95099999999999996</v>
      </c>
      <c r="AG47" s="58">
        <v>0.76600000000000001</v>
      </c>
      <c r="AH47" s="58">
        <v>0.185</v>
      </c>
      <c r="AI47" s="58">
        <v>0.27300000000000002</v>
      </c>
      <c r="AJ47" s="58">
        <v>0.215</v>
      </c>
      <c r="AK47" s="58">
        <v>5.8999999999999997E-2</v>
      </c>
      <c r="AL47" s="58">
        <v>0.67700000000000005</v>
      </c>
      <c r="AM47" s="58">
        <v>0.55100000000000005</v>
      </c>
      <c r="AN47" s="58">
        <v>0.126</v>
      </c>
      <c r="AO47" s="58">
        <v>0.69399999999999995</v>
      </c>
      <c r="AP47" s="58">
        <v>0.51200000000000001</v>
      </c>
      <c r="AQ47" s="58">
        <v>0.183</v>
      </c>
      <c r="AR47" s="58">
        <v>13.369</v>
      </c>
      <c r="AS47" s="58">
        <v>8.016</v>
      </c>
      <c r="AT47" s="58">
        <v>5.3529999999999998</v>
      </c>
      <c r="AU47" s="58">
        <v>7.2930000000000001</v>
      </c>
      <c r="AV47" s="58">
        <v>5.3739999999999997</v>
      </c>
      <c r="AW47" s="58">
        <v>1.919</v>
      </c>
      <c r="AX47" s="58">
        <v>6.0759999999999996</v>
      </c>
      <c r="AY47" s="58">
        <v>2.641</v>
      </c>
      <c r="AZ47" s="58">
        <v>3.4340000000000002</v>
      </c>
      <c r="BA47" s="58">
        <v>7.83</v>
      </c>
      <c r="BB47" s="58">
        <v>5.7850000000000001</v>
      </c>
      <c r="BC47" s="58">
        <v>2.0449999999999999</v>
      </c>
      <c r="BD47" s="58">
        <v>6.524</v>
      </c>
      <c r="BE47" s="58">
        <v>2.907</v>
      </c>
      <c r="BF47" s="58">
        <v>3.617</v>
      </c>
      <c r="BG47" s="58">
        <v>6.3490000000000002</v>
      </c>
      <c r="BH47" s="58">
        <v>2.8559999999999999</v>
      </c>
      <c r="BI47" s="58">
        <v>3.4929999999999999</v>
      </c>
      <c r="BJ47" s="58">
        <v>222.369</v>
      </c>
      <c r="BK47" s="58">
        <v>114.104</v>
      </c>
      <c r="BL47" s="58">
        <v>108.265</v>
      </c>
      <c r="BM47" s="58">
        <v>165.268</v>
      </c>
      <c r="BN47" s="58">
        <v>96.894999999999996</v>
      </c>
      <c r="BO47" s="58">
        <v>68.373000000000005</v>
      </c>
      <c r="BP47" s="58">
        <v>57.1</v>
      </c>
      <c r="BQ47" s="58">
        <v>17.209</v>
      </c>
      <c r="BR47" s="58">
        <v>39.890999999999998</v>
      </c>
      <c r="BS47" s="58">
        <v>27.085999999999999</v>
      </c>
      <c r="BT47" s="58">
        <v>15.318</v>
      </c>
      <c r="BU47" s="58">
        <v>11.768000000000001</v>
      </c>
      <c r="BV47" s="58">
        <v>4.46</v>
      </c>
      <c r="BW47" s="58">
        <v>2.282</v>
      </c>
      <c r="BX47" s="58">
        <v>2.1789999999999998</v>
      </c>
      <c r="BY47" s="58">
        <v>1.7170000000000001</v>
      </c>
      <c r="BZ47" s="58">
        <v>1.357</v>
      </c>
      <c r="CA47" s="58">
        <v>0.36</v>
      </c>
      <c r="CB47" s="58">
        <v>0.89600000000000002</v>
      </c>
      <c r="CC47" s="58">
        <v>0.89600000000000002</v>
      </c>
      <c r="CD47" s="58">
        <v>0</v>
      </c>
      <c r="CE47" s="58">
        <v>0.82099999999999995</v>
      </c>
      <c r="CF47" s="58">
        <v>0.46100000000000002</v>
      </c>
      <c r="CG47" s="58">
        <v>0.36</v>
      </c>
      <c r="CH47" s="58">
        <v>2.7429999999999999</v>
      </c>
      <c r="CI47" s="58">
        <v>0.92400000000000004</v>
      </c>
      <c r="CJ47" s="58">
        <v>1.819</v>
      </c>
      <c r="CK47" s="58">
        <v>25.228999999999999</v>
      </c>
      <c r="CL47" s="58">
        <v>14.426</v>
      </c>
      <c r="CM47" s="58">
        <v>10.803000000000001</v>
      </c>
      <c r="CN47" s="58">
        <v>10.831</v>
      </c>
      <c r="CO47" s="58">
        <v>7.35</v>
      </c>
      <c r="CP47" s="58">
        <v>3.4809999999999999</v>
      </c>
      <c r="CQ47" s="58">
        <v>14.398</v>
      </c>
      <c r="CR47" s="58">
        <v>7.0759999999999996</v>
      </c>
      <c r="CS47" s="58">
        <v>7.3220000000000001</v>
      </c>
      <c r="CT47" s="58">
        <v>12.083</v>
      </c>
      <c r="CU47" s="58">
        <v>8.2420000000000009</v>
      </c>
      <c r="CV47" s="58">
        <v>3.84</v>
      </c>
      <c r="CW47" s="58">
        <v>15.004</v>
      </c>
      <c r="CX47" s="58">
        <v>7.0759999999999996</v>
      </c>
      <c r="CY47" s="58">
        <v>7.9279999999999999</v>
      </c>
      <c r="CZ47" s="58">
        <v>15.294</v>
      </c>
      <c r="DA47" s="58">
        <v>7.9720000000000004</v>
      </c>
      <c r="DB47" s="58">
        <v>7.3220000000000001</v>
      </c>
    </row>
    <row r="48" spans="1:106">
      <c r="A48" s="5">
        <v>42948</v>
      </c>
      <c r="B48" s="58">
        <v>8.7639999999999993</v>
      </c>
      <c r="C48" s="58">
        <v>6.694</v>
      </c>
      <c r="D48" s="58">
        <v>2.0710000000000002</v>
      </c>
      <c r="E48" s="58">
        <v>27.716999999999999</v>
      </c>
      <c r="F48" s="58">
        <v>9.952</v>
      </c>
      <c r="G48" s="58">
        <v>17.765999999999998</v>
      </c>
      <c r="H48" s="58">
        <v>11.441000000000001</v>
      </c>
      <c r="I48" s="58">
        <v>8.593</v>
      </c>
      <c r="J48" s="58">
        <v>2.8479999999999999</v>
      </c>
      <c r="K48" s="58">
        <v>30.800999999999998</v>
      </c>
      <c r="L48" s="58">
        <v>11.331</v>
      </c>
      <c r="M48" s="58">
        <v>19.47</v>
      </c>
      <c r="N48" s="58">
        <v>29.027000000000001</v>
      </c>
      <c r="O48" s="58">
        <v>10.853</v>
      </c>
      <c r="P48" s="58">
        <v>18.173999999999999</v>
      </c>
      <c r="Q48" s="58">
        <v>135.68899999999999</v>
      </c>
      <c r="R48" s="58">
        <v>72.597999999999999</v>
      </c>
      <c r="S48" s="58">
        <v>63.091000000000001</v>
      </c>
      <c r="T48" s="58">
        <v>107.425</v>
      </c>
      <c r="U48" s="58">
        <v>63.11</v>
      </c>
      <c r="V48" s="58">
        <v>44.314999999999998</v>
      </c>
      <c r="W48" s="58">
        <v>28.263999999999999</v>
      </c>
      <c r="X48" s="58">
        <v>9.4879999999999995</v>
      </c>
      <c r="Y48" s="58">
        <v>18.776</v>
      </c>
      <c r="Z48" s="58">
        <v>13.237</v>
      </c>
      <c r="AA48" s="58">
        <v>8.6639999999999997</v>
      </c>
      <c r="AB48" s="58">
        <v>4.5730000000000004</v>
      </c>
      <c r="AC48" s="58">
        <v>1.712</v>
      </c>
      <c r="AD48" s="58">
        <v>0.94499999999999995</v>
      </c>
      <c r="AE48" s="58">
        <v>0.76800000000000002</v>
      </c>
      <c r="AF48" s="58">
        <v>1.2330000000000001</v>
      </c>
      <c r="AG48" s="58">
        <v>0.82099999999999995</v>
      </c>
      <c r="AH48" s="58">
        <v>0.41199999999999998</v>
      </c>
      <c r="AI48" s="58">
        <v>0.54900000000000004</v>
      </c>
      <c r="AJ48" s="58">
        <v>0.46400000000000002</v>
      </c>
      <c r="AK48" s="58">
        <v>8.5999999999999993E-2</v>
      </c>
      <c r="AL48" s="58">
        <v>0.68300000000000005</v>
      </c>
      <c r="AM48" s="58">
        <v>0.35699999999999998</v>
      </c>
      <c r="AN48" s="58">
        <v>0.32700000000000001</v>
      </c>
      <c r="AO48" s="58">
        <v>0.47899999999999998</v>
      </c>
      <c r="AP48" s="58">
        <v>0.124</v>
      </c>
      <c r="AQ48" s="58">
        <v>0.35499999999999998</v>
      </c>
      <c r="AR48" s="58">
        <v>11.837</v>
      </c>
      <c r="AS48" s="58">
        <v>7.8209999999999997</v>
      </c>
      <c r="AT48" s="58">
        <v>4.0170000000000003</v>
      </c>
      <c r="AU48" s="58">
        <v>6.6559999999999997</v>
      </c>
      <c r="AV48" s="58">
        <v>5.5250000000000004</v>
      </c>
      <c r="AW48" s="58">
        <v>1.131</v>
      </c>
      <c r="AX48" s="58">
        <v>5.181</v>
      </c>
      <c r="AY48" s="58">
        <v>2.2959999999999998</v>
      </c>
      <c r="AZ48" s="58">
        <v>2.8849999999999998</v>
      </c>
      <c r="BA48" s="58">
        <v>7.7130000000000001</v>
      </c>
      <c r="BB48" s="58">
        <v>6.2450000000000001</v>
      </c>
      <c r="BC48" s="58">
        <v>1.468</v>
      </c>
      <c r="BD48" s="58">
        <v>5.524</v>
      </c>
      <c r="BE48" s="58">
        <v>2.42</v>
      </c>
      <c r="BF48" s="58">
        <v>3.1040000000000001</v>
      </c>
      <c r="BG48" s="58">
        <v>5.7309999999999999</v>
      </c>
      <c r="BH48" s="58">
        <v>2.76</v>
      </c>
      <c r="BI48" s="58">
        <v>2.9710000000000001</v>
      </c>
      <c r="BJ48" s="58">
        <v>222.81</v>
      </c>
      <c r="BK48" s="58">
        <v>112.134</v>
      </c>
      <c r="BL48" s="58">
        <v>110.676</v>
      </c>
      <c r="BM48" s="58">
        <v>160.47</v>
      </c>
      <c r="BN48" s="58">
        <v>94.012</v>
      </c>
      <c r="BO48" s="58">
        <v>66.457999999999998</v>
      </c>
      <c r="BP48" s="58">
        <v>62.338999999999999</v>
      </c>
      <c r="BQ48" s="58">
        <v>18.122</v>
      </c>
      <c r="BR48" s="58">
        <v>44.216999999999999</v>
      </c>
      <c r="BS48" s="58">
        <v>24.677</v>
      </c>
      <c r="BT48" s="58">
        <v>12.776</v>
      </c>
      <c r="BU48" s="58">
        <v>11.901</v>
      </c>
      <c r="BV48" s="58">
        <v>3.8759999999999999</v>
      </c>
      <c r="BW48" s="58">
        <v>2.2370000000000001</v>
      </c>
      <c r="BX48" s="58">
        <v>1.64</v>
      </c>
      <c r="BY48" s="58">
        <v>1.6559999999999999</v>
      </c>
      <c r="BZ48" s="58">
        <v>1.3420000000000001</v>
      </c>
      <c r="CA48" s="58">
        <v>0.314</v>
      </c>
      <c r="CB48" s="58">
        <v>0.70499999999999996</v>
      </c>
      <c r="CC48" s="58">
        <v>0.70499999999999996</v>
      </c>
      <c r="CD48" s="58">
        <v>0</v>
      </c>
      <c r="CE48" s="58">
        <v>0.95099999999999996</v>
      </c>
      <c r="CF48" s="58">
        <v>0.63700000000000001</v>
      </c>
      <c r="CG48" s="58">
        <v>0.314</v>
      </c>
      <c r="CH48" s="58">
        <v>2.2200000000000002</v>
      </c>
      <c r="CI48" s="58">
        <v>0.89400000000000002</v>
      </c>
      <c r="CJ48" s="58">
        <v>1.3260000000000001</v>
      </c>
      <c r="CK48" s="58">
        <v>22.355</v>
      </c>
      <c r="CL48" s="58">
        <v>11.135999999999999</v>
      </c>
      <c r="CM48" s="58">
        <v>11.218999999999999</v>
      </c>
      <c r="CN48" s="58">
        <v>8.2889999999999997</v>
      </c>
      <c r="CO48" s="58">
        <v>6.3940000000000001</v>
      </c>
      <c r="CP48" s="58">
        <v>1.895</v>
      </c>
      <c r="CQ48" s="58">
        <v>14.066000000000001</v>
      </c>
      <c r="CR48" s="58">
        <v>4.742</v>
      </c>
      <c r="CS48" s="58">
        <v>9.3239999999999998</v>
      </c>
      <c r="CT48" s="58">
        <v>9.7880000000000003</v>
      </c>
      <c r="CU48" s="58">
        <v>7.5789999999999997</v>
      </c>
      <c r="CV48" s="58">
        <v>2.2090000000000001</v>
      </c>
      <c r="CW48" s="58">
        <v>14.89</v>
      </c>
      <c r="CX48" s="58">
        <v>5.1970000000000001</v>
      </c>
      <c r="CY48" s="58">
        <v>9.6920000000000002</v>
      </c>
      <c r="CZ48" s="58">
        <v>14.771000000000001</v>
      </c>
      <c r="DA48" s="58">
        <v>5.4470000000000001</v>
      </c>
      <c r="DB48" s="58">
        <v>9.3239999999999998</v>
      </c>
    </row>
    <row r="49" spans="1:106">
      <c r="A49" s="5">
        <v>42979</v>
      </c>
      <c r="B49" s="58">
        <v>8.4190000000000005</v>
      </c>
      <c r="C49" s="58">
        <v>5.4009999999999998</v>
      </c>
      <c r="D49" s="58">
        <v>3.0179999999999998</v>
      </c>
      <c r="E49" s="58">
        <v>26.89</v>
      </c>
      <c r="F49" s="58">
        <v>9.6240000000000006</v>
      </c>
      <c r="G49" s="58">
        <v>17.266999999999999</v>
      </c>
      <c r="H49" s="58">
        <v>10.704000000000001</v>
      </c>
      <c r="I49" s="58">
        <v>7.133</v>
      </c>
      <c r="J49" s="58">
        <v>3.5710000000000002</v>
      </c>
      <c r="K49" s="58">
        <v>29.207999999999998</v>
      </c>
      <c r="L49" s="58">
        <v>10.603999999999999</v>
      </c>
      <c r="M49" s="58">
        <v>18.603000000000002</v>
      </c>
      <c r="N49" s="58">
        <v>27.812000000000001</v>
      </c>
      <c r="O49" s="58">
        <v>10.218999999999999</v>
      </c>
      <c r="P49" s="58">
        <v>17.593</v>
      </c>
      <c r="Q49" s="58">
        <v>135.22499999999999</v>
      </c>
      <c r="R49" s="58">
        <v>73.406999999999996</v>
      </c>
      <c r="S49" s="58">
        <v>61.817999999999998</v>
      </c>
      <c r="T49" s="58">
        <v>107.047</v>
      </c>
      <c r="U49" s="58">
        <v>64.084000000000003</v>
      </c>
      <c r="V49" s="58">
        <v>42.962000000000003</v>
      </c>
      <c r="W49" s="58">
        <v>28.178999999999998</v>
      </c>
      <c r="X49" s="58">
        <v>9.3230000000000004</v>
      </c>
      <c r="Y49" s="58">
        <v>18.856000000000002</v>
      </c>
      <c r="Z49" s="58">
        <v>12.311999999999999</v>
      </c>
      <c r="AA49" s="58">
        <v>7.125</v>
      </c>
      <c r="AB49" s="58">
        <v>5.1870000000000003</v>
      </c>
      <c r="AC49" s="58">
        <v>1.998</v>
      </c>
      <c r="AD49" s="58">
        <v>1.375</v>
      </c>
      <c r="AE49" s="58">
        <v>0.623</v>
      </c>
      <c r="AF49" s="58">
        <v>1.179</v>
      </c>
      <c r="AG49" s="58">
        <v>0.95799999999999996</v>
      </c>
      <c r="AH49" s="58">
        <v>0.221</v>
      </c>
      <c r="AI49" s="58">
        <v>0.78200000000000003</v>
      </c>
      <c r="AJ49" s="58">
        <v>0.621</v>
      </c>
      <c r="AK49" s="58">
        <v>0.161</v>
      </c>
      <c r="AL49" s="58">
        <v>0.39700000000000002</v>
      </c>
      <c r="AM49" s="58">
        <v>0.33700000000000002</v>
      </c>
      <c r="AN49" s="58">
        <v>0.06</v>
      </c>
      <c r="AO49" s="58">
        <v>0.81899999999999995</v>
      </c>
      <c r="AP49" s="58">
        <v>0.41699999999999998</v>
      </c>
      <c r="AQ49" s="58">
        <v>0.40200000000000002</v>
      </c>
      <c r="AR49" s="58">
        <v>11.260999999999999</v>
      </c>
      <c r="AS49" s="58">
        <v>6.4569999999999999</v>
      </c>
      <c r="AT49" s="58">
        <v>4.8029999999999999</v>
      </c>
      <c r="AU49" s="58">
        <v>5.931</v>
      </c>
      <c r="AV49" s="58">
        <v>4.0890000000000004</v>
      </c>
      <c r="AW49" s="58">
        <v>1.841</v>
      </c>
      <c r="AX49" s="58">
        <v>5.33</v>
      </c>
      <c r="AY49" s="58">
        <v>2.3679999999999999</v>
      </c>
      <c r="AZ49" s="58">
        <v>2.9620000000000002</v>
      </c>
      <c r="BA49" s="58">
        <v>6.5759999999999996</v>
      </c>
      <c r="BB49" s="58">
        <v>4.5860000000000003</v>
      </c>
      <c r="BC49" s="58">
        <v>1.99</v>
      </c>
      <c r="BD49" s="58">
        <v>5.7359999999999998</v>
      </c>
      <c r="BE49" s="58">
        <v>2.5390000000000001</v>
      </c>
      <c r="BF49" s="58">
        <v>3.1970000000000001</v>
      </c>
      <c r="BG49" s="58">
        <v>6.1120000000000001</v>
      </c>
      <c r="BH49" s="58">
        <v>2.9889999999999999</v>
      </c>
      <c r="BI49" s="58">
        <v>3.1230000000000002</v>
      </c>
      <c r="BJ49" s="58">
        <v>225.482</v>
      </c>
      <c r="BK49" s="58">
        <v>113.23099999999999</v>
      </c>
      <c r="BL49" s="58">
        <v>112.251</v>
      </c>
      <c r="BM49" s="58">
        <v>164.39</v>
      </c>
      <c r="BN49" s="58">
        <v>94.927000000000007</v>
      </c>
      <c r="BO49" s="58">
        <v>69.462999999999994</v>
      </c>
      <c r="BP49" s="58">
        <v>61.091999999999999</v>
      </c>
      <c r="BQ49" s="58">
        <v>18.303000000000001</v>
      </c>
      <c r="BR49" s="58">
        <v>42.787999999999997</v>
      </c>
      <c r="BS49" s="58">
        <v>24.852</v>
      </c>
      <c r="BT49" s="58">
        <v>13.058</v>
      </c>
      <c r="BU49" s="58">
        <v>11.794</v>
      </c>
      <c r="BV49" s="58">
        <v>4.5679999999999996</v>
      </c>
      <c r="BW49" s="58">
        <v>2.75</v>
      </c>
      <c r="BX49" s="58">
        <v>1.8180000000000001</v>
      </c>
      <c r="BY49" s="58">
        <v>1.988</v>
      </c>
      <c r="BZ49" s="58">
        <v>1.3029999999999999</v>
      </c>
      <c r="CA49" s="58">
        <v>0.68500000000000005</v>
      </c>
      <c r="CB49" s="58">
        <v>0.54500000000000004</v>
      </c>
      <c r="CC49" s="58">
        <v>0.54500000000000004</v>
      </c>
      <c r="CD49" s="58">
        <v>0</v>
      </c>
      <c r="CE49" s="58">
        <v>1.4430000000000001</v>
      </c>
      <c r="CF49" s="58">
        <v>0.75800000000000001</v>
      </c>
      <c r="CG49" s="58">
        <v>0.68500000000000005</v>
      </c>
      <c r="CH49" s="58">
        <v>2.58</v>
      </c>
      <c r="CI49" s="58">
        <v>1.4470000000000001</v>
      </c>
      <c r="CJ49" s="58">
        <v>1.133</v>
      </c>
      <c r="CK49" s="58">
        <v>22.375</v>
      </c>
      <c r="CL49" s="58">
        <v>11.413</v>
      </c>
      <c r="CM49" s="58">
        <v>10.962</v>
      </c>
      <c r="CN49" s="58">
        <v>9.4930000000000003</v>
      </c>
      <c r="CO49" s="58">
        <v>6.3419999999999996</v>
      </c>
      <c r="CP49" s="58">
        <v>3.1509999999999998</v>
      </c>
      <c r="CQ49" s="58">
        <v>12.882</v>
      </c>
      <c r="CR49" s="58">
        <v>5.07</v>
      </c>
      <c r="CS49" s="58">
        <v>7.8109999999999999</v>
      </c>
      <c r="CT49" s="58">
        <v>11.319000000000001</v>
      </c>
      <c r="CU49" s="58">
        <v>7.4829999999999997</v>
      </c>
      <c r="CV49" s="58">
        <v>3.8359999999999999</v>
      </c>
      <c r="CW49" s="58">
        <v>13.532999999999999</v>
      </c>
      <c r="CX49" s="58">
        <v>5.5739999999999998</v>
      </c>
      <c r="CY49" s="58">
        <v>7.9580000000000002</v>
      </c>
      <c r="CZ49" s="58">
        <v>13.426</v>
      </c>
      <c r="DA49" s="58">
        <v>5.6150000000000002</v>
      </c>
      <c r="DB49" s="58">
        <v>7.8109999999999999</v>
      </c>
    </row>
    <row r="50" spans="1:106">
      <c r="A50" s="5">
        <v>43009</v>
      </c>
      <c r="B50" s="58">
        <v>10.638</v>
      </c>
      <c r="C50" s="58">
        <v>7.8630000000000004</v>
      </c>
      <c r="D50" s="58">
        <v>2.7749999999999999</v>
      </c>
      <c r="E50" s="58">
        <v>26.524000000000001</v>
      </c>
      <c r="F50" s="58">
        <v>8.15</v>
      </c>
      <c r="G50" s="58">
        <v>18.373999999999999</v>
      </c>
      <c r="H50" s="58">
        <v>12.475</v>
      </c>
      <c r="I50" s="58">
        <v>9.0939999999999994</v>
      </c>
      <c r="J50" s="58">
        <v>3.3809999999999998</v>
      </c>
      <c r="K50" s="58">
        <v>29.431999999999999</v>
      </c>
      <c r="L50" s="58">
        <v>9.6029999999999998</v>
      </c>
      <c r="M50" s="58">
        <v>19.829000000000001</v>
      </c>
      <c r="N50" s="58">
        <v>27.754999999999999</v>
      </c>
      <c r="O50" s="58">
        <v>9.2710000000000008</v>
      </c>
      <c r="P50" s="58">
        <v>18.484000000000002</v>
      </c>
      <c r="Q50" s="58">
        <v>138.154</v>
      </c>
      <c r="R50" s="58">
        <v>74.182000000000002</v>
      </c>
      <c r="S50" s="58">
        <v>63.972000000000001</v>
      </c>
      <c r="T50" s="58">
        <v>108.361</v>
      </c>
      <c r="U50" s="58">
        <v>64.668000000000006</v>
      </c>
      <c r="V50" s="58">
        <v>43.692999999999998</v>
      </c>
      <c r="W50" s="58">
        <v>29.792999999999999</v>
      </c>
      <c r="X50" s="58">
        <v>9.5150000000000006</v>
      </c>
      <c r="Y50" s="58">
        <v>20.279</v>
      </c>
      <c r="Z50" s="58">
        <v>12.132999999999999</v>
      </c>
      <c r="AA50" s="58">
        <v>6.774</v>
      </c>
      <c r="AB50" s="58">
        <v>5.359</v>
      </c>
      <c r="AC50" s="58">
        <v>1.663</v>
      </c>
      <c r="AD50" s="58">
        <v>1.1379999999999999</v>
      </c>
      <c r="AE50" s="58">
        <v>0.52500000000000002</v>
      </c>
      <c r="AF50" s="58">
        <v>1.1299999999999999</v>
      </c>
      <c r="AG50" s="58">
        <v>0.98399999999999999</v>
      </c>
      <c r="AH50" s="58">
        <v>0.14599999999999999</v>
      </c>
      <c r="AI50" s="58">
        <v>0.45700000000000002</v>
      </c>
      <c r="AJ50" s="58">
        <v>0.45700000000000002</v>
      </c>
      <c r="AK50" s="58">
        <v>0</v>
      </c>
      <c r="AL50" s="58">
        <v>0.67300000000000004</v>
      </c>
      <c r="AM50" s="58">
        <v>0.52600000000000002</v>
      </c>
      <c r="AN50" s="58">
        <v>0.14599999999999999</v>
      </c>
      <c r="AO50" s="58">
        <v>0.53400000000000003</v>
      </c>
      <c r="AP50" s="58">
        <v>0.155</v>
      </c>
      <c r="AQ50" s="58">
        <v>0.379</v>
      </c>
      <c r="AR50" s="58">
        <v>11.177</v>
      </c>
      <c r="AS50" s="58">
        <v>6.0289999999999999</v>
      </c>
      <c r="AT50" s="58">
        <v>5.1470000000000002</v>
      </c>
      <c r="AU50" s="58">
        <v>5.3890000000000002</v>
      </c>
      <c r="AV50" s="58">
        <v>4.2329999999999997</v>
      </c>
      <c r="AW50" s="58">
        <v>1.1559999999999999</v>
      </c>
      <c r="AX50" s="58">
        <v>5.7880000000000003</v>
      </c>
      <c r="AY50" s="58">
        <v>1.796</v>
      </c>
      <c r="AZ50" s="58">
        <v>3.9910000000000001</v>
      </c>
      <c r="BA50" s="58">
        <v>6.1920000000000002</v>
      </c>
      <c r="BB50" s="58">
        <v>4.8890000000000002</v>
      </c>
      <c r="BC50" s="58">
        <v>1.3029999999999999</v>
      </c>
      <c r="BD50" s="58">
        <v>5.9409999999999998</v>
      </c>
      <c r="BE50" s="58">
        <v>1.885</v>
      </c>
      <c r="BF50" s="58">
        <v>4.056</v>
      </c>
      <c r="BG50" s="58">
        <v>6.2450000000000001</v>
      </c>
      <c r="BH50" s="58">
        <v>2.2530000000000001</v>
      </c>
      <c r="BI50" s="58">
        <v>3.9910000000000001</v>
      </c>
      <c r="BJ50" s="58">
        <v>227.453</v>
      </c>
      <c r="BK50" s="58">
        <v>115.148</v>
      </c>
      <c r="BL50" s="58">
        <v>112.30500000000001</v>
      </c>
      <c r="BM50" s="58">
        <v>163.27199999999999</v>
      </c>
      <c r="BN50" s="58">
        <v>94.224999999999994</v>
      </c>
      <c r="BO50" s="58">
        <v>69.046999999999997</v>
      </c>
      <c r="BP50" s="58">
        <v>64.180999999999997</v>
      </c>
      <c r="BQ50" s="58">
        <v>20.922999999999998</v>
      </c>
      <c r="BR50" s="58">
        <v>43.258000000000003</v>
      </c>
      <c r="BS50" s="58">
        <v>24.513999999999999</v>
      </c>
      <c r="BT50" s="58">
        <v>13.807</v>
      </c>
      <c r="BU50" s="58">
        <v>10.707000000000001</v>
      </c>
      <c r="BV50" s="58">
        <v>4.6310000000000002</v>
      </c>
      <c r="BW50" s="58">
        <v>2.5049999999999999</v>
      </c>
      <c r="BX50" s="58">
        <v>2.1259999999999999</v>
      </c>
      <c r="BY50" s="58">
        <v>1.7729999999999999</v>
      </c>
      <c r="BZ50" s="58">
        <v>1.2310000000000001</v>
      </c>
      <c r="CA50" s="58">
        <v>0.54200000000000004</v>
      </c>
      <c r="CB50" s="58">
        <v>1.08</v>
      </c>
      <c r="CC50" s="58">
        <v>0.53700000000000003</v>
      </c>
      <c r="CD50" s="58">
        <v>0.54200000000000004</v>
      </c>
      <c r="CE50" s="58">
        <v>0.69299999999999995</v>
      </c>
      <c r="CF50" s="58">
        <v>0.69299999999999995</v>
      </c>
      <c r="CG50" s="58">
        <v>0</v>
      </c>
      <c r="CH50" s="58">
        <v>2.8570000000000002</v>
      </c>
      <c r="CI50" s="58">
        <v>1.274</v>
      </c>
      <c r="CJ50" s="58">
        <v>1.583</v>
      </c>
      <c r="CK50" s="58">
        <v>22.140999999999998</v>
      </c>
      <c r="CL50" s="58">
        <v>12.516</v>
      </c>
      <c r="CM50" s="58">
        <v>9.625</v>
      </c>
      <c r="CN50" s="58">
        <v>9.0670000000000002</v>
      </c>
      <c r="CO50" s="58">
        <v>6.5670000000000002</v>
      </c>
      <c r="CP50" s="58">
        <v>2.5009999999999999</v>
      </c>
      <c r="CQ50" s="58">
        <v>13.074</v>
      </c>
      <c r="CR50" s="58">
        <v>5.95</v>
      </c>
      <c r="CS50" s="58">
        <v>7.1239999999999997</v>
      </c>
      <c r="CT50" s="58">
        <v>10.491</v>
      </c>
      <c r="CU50" s="58">
        <v>7.4480000000000004</v>
      </c>
      <c r="CV50" s="58">
        <v>3.0430000000000001</v>
      </c>
      <c r="CW50" s="58">
        <v>14.023</v>
      </c>
      <c r="CX50" s="58">
        <v>6.36</v>
      </c>
      <c r="CY50" s="58">
        <v>7.6630000000000003</v>
      </c>
      <c r="CZ50" s="58">
        <v>14.154</v>
      </c>
      <c r="DA50" s="58">
        <v>6.4870000000000001</v>
      </c>
      <c r="DB50" s="58">
        <v>7.6669999999999998</v>
      </c>
    </row>
    <row r="51" spans="1:106">
      <c r="A51" s="5">
        <v>43040</v>
      </c>
      <c r="B51" s="58">
        <v>12.734</v>
      </c>
      <c r="C51" s="58">
        <v>8.6920000000000002</v>
      </c>
      <c r="D51" s="58">
        <v>4.0419999999999998</v>
      </c>
      <c r="E51" s="58">
        <v>26.841000000000001</v>
      </c>
      <c r="F51" s="58">
        <v>9.5530000000000008</v>
      </c>
      <c r="G51" s="58">
        <v>17.288</v>
      </c>
      <c r="H51" s="58">
        <v>14.363</v>
      </c>
      <c r="I51" s="58">
        <v>10.021000000000001</v>
      </c>
      <c r="J51" s="58">
        <v>4.3419999999999996</v>
      </c>
      <c r="K51" s="58">
        <v>29.292999999999999</v>
      </c>
      <c r="L51" s="58">
        <v>10.528</v>
      </c>
      <c r="M51" s="58">
        <v>18.765999999999998</v>
      </c>
      <c r="N51" s="58">
        <v>27.8</v>
      </c>
      <c r="O51" s="58">
        <v>10.512</v>
      </c>
      <c r="P51" s="58">
        <v>17.288</v>
      </c>
      <c r="Q51" s="58">
        <v>137.61799999999999</v>
      </c>
      <c r="R51" s="58">
        <v>74.403999999999996</v>
      </c>
      <c r="S51" s="58">
        <v>63.213999999999999</v>
      </c>
      <c r="T51" s="58">
        <v>109.145</v>
      </c>
      <c r="U51" s="58">
        <v>65.430000000000007</v>
      </c>
      <c r="V51" s="58">
        <v>43.715000000000003</v>
      </c>
      <c r="W51" s="58">
        <v>28.472999999999999</v>
      </c>
      <c r="X51" s="58">
        <v>8.9740000000000002</v>
      </c>
      <c r="Y51" s="58">
        <v>19.498999999999999</v>
      </c>
      <c r="Z51" s="58">
        <v>11.723000000000001</v>
      </c>
      <c r="AA51" s="58">
        <v>5.8170000000000002</v>
      </c>
      <c r="AB51" s="58">
        <v>5.9059999999999997</v>
      </c>
      <c r="AC51" s="58">
        <v>1.4870000000000001</v>
      </c>
      <c r="AD51" s="58">
        <v>0.878</v>
      </c>
      <c r="AE51" s="58">
        <v>0.60899999999999999</v>
      </c>
      <c r="AF51" s="58">
        <v>0.85899999999999999</v>
      </c>
      <c r="AG51" s="58">
        <v>0.78800000000000003</v>
      </c>
      <c r="AH51" s="58">
        <v>7.0999999999999994E-2</v>
      </c>
      <c r="AI51" s="58">
        <v>0.50800000000000001</v>
      </c>
      <c r="AJ51" s="58">
        <v>0.50800000000000001</v>
      </c>
      <c r="AK51" s="58">
        <v>0</v>
      </c>
      <c r="AL51" s="58">
        <v>0.35099999999999998</v>
      </c>
      <c r="AM51" s="58">
        <v>0.28000000000000003</v>
      </c>
      <c r="AN51" s="58">
        <v>7.0999999999999994E-2</v>
      </c>
      <c r="AO51" s="58">
        <v>0.628</v>
      </c>
      <c r="AP51" s="58">
        <v>0.09</v>
      </c>
      <c r="AQ51" s="58">
        <v>0.53800000000000003</v>
      </c>
      <c r="AR51" s="58">
        <v>10.598000000000001</v>
      </c>
      <c r="AS51" s="58">
        <v>5.1379999999999999</v>
      </c>
      <c r="AT51" s="58">
        <v>5.46</v>
      </c>
      <c r="AU51" s="58">
        <v>4.4329999999999998</v>
      </c>
      <c r="AV51" s="58">
        <v>3.4990000000000001</v>
      </c>
      <c r="AW51" s="58">
        <v>0.93400000000000005</v>
      </c>
      <c r="AX51" s="58">
        <v>6.165</v>
      </c>
      <c r="AY51" s="58">
        <v>1.639</v>
      </c>
      <c r="AZ51" s="58">
        <v>4.5259999999999998</v>
      </c>
      <c r="BA51" s="58">
        <v>5.1829999999999998</v>
      </c>
      <c r="BB51" s="58">
        <v>4.1790000000000003</v>
      </c>
      <c r="BC51" s="58">
        <v>1.0049999999999999</v>
      </c>
      <c r="BD51" s="58">
        <v>6.54</v>
      </c>
      <c r="BE51" s="58">
        <v>1.639</v>
      </c>
      <c r="BF51" s="58">
        <v>4.9009999999999998</v>
      </c>
      <c r="BG51" s="58">
        <v>6.673</v>
      </c>
      <c r="BH51" s="58">
        <v>2.1459999999999999</v>
      </c>
      <c r="BI51" s="58">
        <v>4.5259999999999998</v>
      </c>
      <c r="BJ51" s="58">
        <v>230.518</v>
      </c>
      <c r="BK51" s="58">
        <v>115.962</v>
      </c>
      <c r="BL51" s="58">
        <v>114.556</v>
      </c>
      <c r="BM51" s="58">
        <v>167.416</v>
      </c>
      <c r="BN51" s="58">
        <v>96.911000000000001</v>
      </c>
      <c r="BO51" s="58">
        <v>70.504999999999995</v>
      </c>
      <c r="BP51" s="58">
        <v>63.101999999999997</v>
      </c>
      <c r="BQ51" s="58">
        <v>19.052</v>
      </c>
      <c r="BR51" s="58">
        <v>44.05</v>
      </c>
      <c r="BS51" s="58">
        <v>26.753</v>
      </c>
      <c r="BT51" s="58">
        <v>14.916</v>
      </c>
      <c r="BU51" s="58">
        <v>11.837999999999999</v>
      </c>
      <c r="BV51" s="58">
        <v>4.9790000000000001</v>
      </c>
      <c r="BW51" s="58">
        <v>2.9039999999999999</v>
      </c>
      <c r="BX51" s="58">
        <v>2.0750000000000002</v>
      </c>
      <c r="BY51" s="58">
        <v>1.474</v>
      </c>
      <c r="BZ51" s="58">
        <v>0.97399999999999998</v>
      </c>
      <c r="CA51" s="58">
        <v>0.5</v>
      </c>
      <c r="CB51" s="58">
        <v>0.78800000000000003</v>
      </c>
      <c r="CC51" s="58">
        <v>0.46500000000000002</v>
      </c>
      <c r="CD51" s="58">
        <v>0.32300000000000001</v>
      </c>
      <c r="CE51" s="58">
        <v>0.68600000000000005</v>
      </c>
      <c r="CF51" s="58">
        <v>0.50900000000000001</v>
      </c>
      <c r="CG51" s="58">
        <v>0.17699999999999999</v>
      </c>
      <c r="CH51" s="58">
        <v>3.5049999999999999</v>
      </c>
      <c r="CI51" s="58">
        <v>1.93</v>
      </c>
      <c r="CJ51" s="58">
        <v>1.575</v>
      </c>
      <c r="CK51" s="58">
        <v>24.262</v>
      </c>
      <c r="CL51" s="58">
        <v>13.362</v>
      </c>
      <c r="CM51" s="58">
        <v>10.9</v>
      </c>
      <c r="CN51" s="58">
        <v>11.372</v>
      </c>
      <c r="CO51" s="58">
        <v>8.2690000000000001</v>
      </c>
      <c r="CP51" s="58">
        <v>3.1030000000000002</v>
      </c>
      <c r="CQ51" s="58">
        <v>12.888999999999999</v>
      </c>
      <c r="CR51" s="58">
        <v>5.093</v>
      </c>
      <c r="CS51" s="58">
        <v>7.7969999999999997</v>
      </c>
      <c r="CT51" s="58">
        <v>12.03</v>
      </c>
      <c r="CU51" s="58">
        <v>8.7490000000000006</v>
      </c>
      <c r="CV51" s="58">
        <v>3.2810000000000001</v>
      </c>
      <c r="CW51" s="58">
        <v>14.724</v>
      </c>
      <c r="CX51" s="58">
        <v>6.1669999999999998</v>
      </c>
      <c r="CY51" s="58">
        <v>8.5570000000000004</v>
      </c>
      <c r="CZ51" s="58">
        <v>13.677</v>
      </c>
      <c r="DA51" s="58">
        <v>5.5570000000000004</v>
      </c>
      <c r="DB51" s="58">
        <v>8.1199999999999992</v>
      </c>
    </row>
    <row r="52" spans="1:106">
      <c r="A52" s="5">
        <v>43070</v>
      </c>
      <c r="B52" s="58">
        <v>9.6750000000000007</v>
      </c>
      <c r="C52" s="58">
        <v>6.5979999999999999</v>
      </c>
      <c r="D52" s="58">
        <v>3.077</v>
      </c>
      <c r="E52" s="58">
        <v>28.602</v>
      </c>
      <c r="F52" s="58">
        <v>10.510999999999999</v>
      </c>
      <c r="G52" s="58">
        <v>18.091000000000001</v>
      </c>
      <c r="H52" s="58">
        <v>11.407</v>
      </c>
      <c r="I52" s="58">
        <v>8.0310000000000006</v>
      </c>
      <c r="J52" s="58">
        <v>3.3759999999999999</v>
      </c>
      <c r="K52" s="58">
        <v>30.22</v>
      </c>
      <c r="L52" s="58">
        <v>10.984</v>
      </c>
      <c r="M52" s="58">
        <v>19.236000000000001</v>
      </c>
      <c r="N52" s="58">
        <v>29.805</v>
      </c>
      <c r="O52" s="58">
        <v>11.19</v>
      </c>
      <c r="P52" s="58">
        <v>18.614999999999998</v>
      </c>
      <c r="Q52" s="58">
        <v>137.691</v>
      </c>
      <c r="R52" s="58">
        <v>74.176000000000002</v>
      </c>
      <c r="S52" s="58">
        <v>63.515000000000001</v>
      </c>
      <c r="T52" s="58">
        <v>109.319</v>
      </c>
      <c r="U52" s="58">
        <v>64.209999999999994</v>
      </c>
      <c r="V52" s="58">
        <v>45.109000000000002</v>
      </c>
      <c r="W52" s="58">
        <v>28.372</v>
      </c>
      <c r="X52" s="58">
        <v>9.9659999999999993</v>
      </c>
      <c r="Y52" s="58">
        <v>18.405000000000001</v>
      </c>
      <c r="Z52" s="58">
        <v>14.398</v>
      </c>
      <c r="AA52" s="58">
        <v>7.6159999999999997</v>
      </c>
      <c r="AB52" s="58">
        <v>6.7809999999999997</v>
      </c>
      <c r="AC52" s="58">
        <v>1.476</v>
      </c>
      <c r="AD52" s="58">
        <v>0.80100000000000005</v>
      </c>
      <c r="AE52" s="58">
        <v>0.67600000000000005</v>
      </c>
      <c r="AF52" s="58">
        <v>0.69099999999999995</v>
      </c>
      <c r="AG52" s="58">
        <v>0.56000000000000005</v>
      </c>
      <c r="AH52" s="58">
        <v>0.13100000000000001</v>
      </c>
      <c r="AI52" s="58">
        <v>0.35099999999999998</v>
      </c>
      <c r="AJ52" s="58">
        <v>0.29399999999999998</v>
      </c>
      <c r="AK52" s="58">
        <v>5.6000000000000001E-2</v>
      </c>
      <c r="AL52" s="58">
        <v>0.34100000000000003</v>
      </c>
      <c r="AM52" s="58">
        <v>0.26600000000000001</v>
      </c>
      <c r="AN52" s="58">
        <v>7.4999999999999997E-2</v>
      </c>
      <c r="AO52" s="58">
        <v>0.78500000000000003</v>
      </c>
      <c r="AP52" s="58">
        <v>0.24099999999999999</v>
      </c>
      <c r="AQ52" s="58">
        <v>0.54400000000000004</v>
      </c>
      <c r="AR52" s="58">
        <v>13.486000000000001</v>
      </c>
      <c r="AS52" s="58">
        <v>7.1360000000000001</v>
      </c>
      <c r="AT52" s="58">
        <v>6.3490000000000002</v>
      </c>
      <c r="AU52" s="58">
        <v>6.8259999999999996</v>
      </c>
      <c r="AV52" s="58">
        <v>4.5679999999999996</v>
      </c>
      <c r="AW52" s="58">
        <v>2.258</v>
      </c>
      <c r="AX52" s="58">
        <v>6.66</v>
      </c>
      <c r="AY52" s="58">
        <v>2.5680000000000001</v>
      </c>
      <c r="AZ52" s="58">
        <v>4.0919999999999996</v>
      </c>
      <c r="BA52" s="58">
        <v>7.2720000000000002</v>
      </c>
      <c r="BB52" s="58">
        <v>4.883</v>
      </c>
      <c r="BC52" s="58">
        <v>2.3889999999999998</v>
      </c>
      <c r="BD52" s="58">
        <v>7.1260000000000003</v>
      </c>
      <c r="BE52" s="58">
        <v>2.7330000000000001</v>
      </c>
      <c r="BF52" s="58">
        <v>4.3929999999999998</v>
      </c>
      <c r="BG52" s="58">
        <v>7.0110000000000001</v>
      </c>
      <c r="BH52" s="58">
        <v>2.863</v>
      </c>
      <c r="BI52" s="58">
        <v>4.1479999999999997</v>
      </c>
      <c r="BJ52" s="58">
        <v>235.79900000000001</v>
      </c>
      <c r="BK52" s="58">
        <v>119.17700000000001</v>
      </c>
      <c r="BL52" s="58">
        <v>116.622</v>
      </c>
      <c r="BM52" s="58">
        <v>173.29499999999999</v>
      </c>
      <c r="BN52" s="58">
        <v>100.265</v>
      </c>
      <c r="BO52" s="58">
        <v>73.03</v>
      </c>
      <c r="BP52" s="58">
        <v>62.503999999999998</v>
      </c>
      <c r="BQ52" s="58">
        <v>18.913</v>
      </c>
      <c r="BR52" s="58">
        <v>43.591999999999999</v>
      </c>
      <c r="BS52" s="58">
        <v>24.376999999999999</v>
      </c>
      <c r="BT52" s="58">
        <v>14.563000000000001</v>
      </c>
      <c r="BU52" s="58">
        <v>9.8140000000000001</v>
      </c>
      <c r="BV52" s="58">
        <v>3.4849999999999999</v>
      </c>
      <c r="BW52" s="58">
        <v>1.9379999999999999</v>
      </c>
      <c r="BX52" s="58">
        <v>1.546</v>
      </c>
      <c r="BY52" s="58">
        <v>1.1579999999999999</v>
      </c>
      <c r="BZ52" s="58">
        <v>0.99199999999999999</v>
      </c>
      <c r="CA52" s="58">
        <v>0.16600000000000001</v>
      </c>
      <c r="CB52" s="58">
        <v>0.877</v>
      </c>
      <c r="CC52" s="58">
        <v>0.71099999999999997</v>
      </c>
      <c r="CD52" s="58">
        <v>0.16600000000000001</v>
      </c>
      <c r="CE52" s="58">
        <v>0.28100000000000003</v>
      </c>
      <c r="CF52" s="58">
        <v>0.28100000000000003</v>
      </c>
      <c r="CG52" s="58">
        <v>0</v>
      </c>
      <c r="CH52" s="58">
        <v>2.327</v>
      </c>
      <c r="CI52" s="58">
        <v>0.94699999999999995</v>
      </c>
      <c r="CJ52" s="58">
        <v>1.38</v>
      </c>
      <c r="CK52" s="58">
        <v>22.690999999999999</v>
      </c>
      <c r="CL52" s="58">
        <v>13.226000000000001</v>
      </c>
      <c r="CM52" s="58">
        <v>9.4649999999999999</v>
      </c>
      <c r="CN52" s="58">
        <v>9.6319999999999997</v>
      </c>
      <c r="CO52" s="58">
        <v>7.7640000000000002</v>
      </c>
      <c r="CP52" s="58">
        <v>1.867</v>
      </c>
      <c r="CQ52" s="58">
        <v>13.06</v>
      </c>
      <c r="CR52" s="58">
        <v>5.4619999999999997</v>
      </c>
      <c r="CS52" s="58">
        <v>7.5979999999999999</v>
      </c>
      <c r="CT52" s="58">
        <v>10.789</v>
      </c>
      <c r="CU52" s="58">
        <v>8.7560000000000002</v>
      </c>
      <c r="CV52" s="58">
        <v>2.0329999999999999</v>
      </c>
      <c r="CW52" s="58">
        <v>13.587999999999999</v>
      </c>
      <c r="CX52" s="58">
        <v>5.8070000000000004</v>
      </c>
      <c r="CY52" s="58">
        <v>7.7809999999999997</v>
      </c>
      <c r="CZ52" s="58">
        <v>13.936</v>
      </c>
      <c r="DA52" s="58">
        <v>6.173</v>
      </c>
      <c r="DB52" s="58">
        <v>7.7640000000000002</v>
      </c>
    </row>
    <row r="53" spans="1:106">
      <c r="A53" s="5">
        <v>43101</v>
      </c>
      <c r="B53" s="58">
        <v>10.099</v>
      </c>
      <c r="C53" s="58">
        <v>7.31</v>
      </c>
      <c r="D53" s="58">
        <v>2.7890000000000001</v>
      </c>
      <c r="E53" s="58">
        <v>26.423999999999999</v>
      </c>
      <c r="F53" s="58">
        <v>10.574999999999999</v>
      </c>
      <c r="G53" s="58">
        <v>15.849</v>
      </c>
      <c r="H53" s="58">
        <v>11.321</v>
      </c>
      <c r="I53" s="58">
        <v>8.1419999999999995</v>
      </c>
      <c r="J53" s="58">
        <v>3.1789999999999998</v>
      </c>
      <c r="K53" s="58">
        <v>28.324000000000002</v>
      </c>
      <c r="L53" s="58">
        <v>11.522</v>
      </c>
      <c r="M53" s="58">
        <v>16.802</v>
      </c>
      <c r="N53" s="58">
        <v>27.51</v>
      </c>
      <c r="O53" s="58">
        <v>11.385</v>
      </c>
      <c r="P53" s="58">
        <v>16.125</v>
      </c>
      <c r="Q53" s="58">
        <v>136.107</v>
      </c>
      <c r="R53" s="58">
        <v>73.867999999999995</v>
      </c>
      <c r="S53" s="58">
        <v>62.238999999999997</v>
      </c>
      <c r="T53" s="58">
        <v>107.032</v>
      </c>
      <c r="U53" s="58">
        <v>64.174000000000007</v>
      </c>
      <c r="V53" s="58">
        <v>42.859000000000002</v>
      </c>
      <c r="W53" s="58">
        <v>29.074999999999999</v>
      </c>
      <c r="X53" s="58">
        <v>9.6950000000000003</v>
      </c>
      <c r="Y53" s="58">
        <v>19.38</v>
      </c>
      <c r="Z53" s="58">
        <v>14.507</v>
      </c>
      <c r="AA53" s="58">
        <v>8.7319999999999993</v>
      </c>
      <c r="AB53" s="58">
        <v>5.7750000000000004</v>
      </c>
      <c r="AC53" s="58">
        <v>2.1829999999999998</v>
      </c>
      <c r="AD53" s="58">
        <v>1.5149999999999999</v>
      </c>
      <c r="AE53" s="58">
        <v>0.66900000000000004</v>
      </c>
      <c r="AF53" s="58">
        <v>0.98899999999999999</v>
      </c>
      <c r="AG53" s="58">
        <v>0.98899999999999999</v>
      </c>
      <c r="AH53" s="58">
        <v>0</v>
      </c>
      <c r="AI53" s="58">
        <v>0.78100000000000003</v>
      </c>
      <c r="AJ53" s="58">
        <v>0.78100000000000003</v>
      </c>
      <c r="AK53" s="58">
        <v>0</v>
      </c>
      <c r="AL53" s="58">
        <v>0.20699999999999999</v>
      </c>
      <c r="AM53" s="58">
        <v>0.20699999999999999</v>
      </c>
      <c r="AN53" s="58">
        <v>0</v>
      </c>
      <c r="AO53" s="58">
        <v>1.1950000000000001</v>
      </c>
      <c r="AP53" s="58">
        <v>0.52600000000000002</v>
      </c>
      <c r="AQ53" s="58">
        <v>0.66900000000000004</v>
      </c>
      <c r="AR53" s="58">
        <v>12.914999999999999</v>
      </c>
      <c r="AS53" s="58">
        <v>7.524</v>
      </c>
      <c r="AT53" s="58">
        <v>5.391</v>
      </c>
      <c r="AU53" s="58">
        <v>6.3230000000000004</v>
      </c>
      <c r="AV53" s="58">
        <v>4.6680000000000001</v>
      </c>
      <c r="AW53" s="58">
        <v>1.655</v>
      </c>
      <c r="AX53" s="58">
        <v>6.5919999999999996</v>
      </c>
      <c r="AY53" s="58">
        <v>2.8559999999999999</v>
      </c>
      <c r="AZ53" s="58">
        <v>3.7370000000000001</v>
      </c>
      <c r="BA53" s="58">
        <v>7.1609999999999996</v>
      </c>
      <c r="BB53" s="58">
        <v>5.5060000000000002</v>
      </c>
      <c r="BC53" s="58">
        <v>1.655</v>
      </c>
      <c r="BD53" s="58">
        <v>7.3460000000000001</v>
      </c>
      <c r="BE53" s="58">
        <v>3.226</v>
      </c>
      <c r="BF53" s="58">
        <v>4.12</v>
      </c>
      <c r="BG53" s="58">
        <v>7.3739999999999997</v>
      </c>
      <c r="BH53" s="58">
        <v>3.637</v>
      </c>
      <c r="BI53" s="58">
        <v>3.7370000000000001</v>
      </c>
      <c r="BJ53" s="58">
        <v>231</v>
      </c>
      <c r="BK53" s="58">
        <v>117.779</v>
      </c>
      <c r="BL53" s="58">
        <v>113.221</v>
      </c>
      <c r="BM53" s="58">
        <v>171.48400000000001</v>
      </c>
      <c r="BN53" s="58">
        <v>98.97</v>
      </c>
      <c r="BO53" s="58">
        <v>72.513999999999996</v>
      </c>
      <c r="BP53" s="58">
        <v>59.515999999999998</v>
      </c>
      <c r="BQ53" s="58">
        <v>18.809000000000001</v>
      </c>
      <c r="BR53" s="58">
        <v>40.707000000000001</v>
      </c>
      <c r="BS53" s="58">
        <v>28.001999999999999</v>
      </c>
      <c r="BT53" s="58">
        <v>15.874000000000001</v>
      </c>
      <c r="BU53" s="58">
        <v>12.127000000000001</v>
      </c>
      <c r="BV53" s="58">
        <v>7.6760000000000002</v>
      </c>
      <c r="BW53" s="58">
        <v>3.6320000000000001</v>
      </c>
      <c r="BX53" s="58">
        <v>4.0439999999999996</v>
      </c>
      <c r="BY53" s="58">
        <v>3.7749999999999999</v>
      </c>
      <c r="BZ53" s="58">
        <v>2.1629999999999998</v>
      </c>
      <c r="CA53" s="58">
        <v>1.6120000000000001</v>
      </c>
      <c r="CB53" s="58">
        <v>2.4660000000000002</v>
      </c>
      <c r="CC53" s="58">
        <v>1.2430000000000001</v>
      </c>
      <c r="CD53" s="58">
        <v>1.224</v>
      </c>
      <c r="CE53" s="58">
        <v>1.3089999999999999</v>
      </c>
      <c r="CF53" s="58">
        <v>0.92</v>
      </c>
      <c r="CG53" s="58">
        <v>0.38800000000000001</v>
      </c>
      <c r="CH53" s="58">
        <v>3.9009999999999998</v>
      </c>
      <c r="CI53" s="58">
        <v>1.4690000000000001</v>
      </c>
      <c r="CJ53" s="58">
        <v>2.4319999999999999</v>
      </c>
      <c r="CK53" s="58">
        <v>22.916</v>
      </c>
      <c r="CL53" s="58">
        <v>13.167</v>
      </c>
      <c r="CM53" s="58">
        <v>9.75</v>
      </c>
      <c r="CN53" s="58">
        <v>10.464</v>
      </c>
      <c r="CO53" s="58">
        <v>7.8529999999999998</v>
      </c>
      <c r="CP53" s="58">
        <v>2.6110000000000002</v>
      </c>
      <c r="CQ53" s="58">
        <v>12.452</v>
      </c>
      <c r="CR53" s="58">
        <v>5.3129999999999997</v>
      </c>
      <c r="CS53" s="58">
        <v>7.1390000000000002</v>
      </c>
      <c r="CT53" s="58">
        <v>13.896000000000001</v>
      </c>
      <c r="CU53" s="58">
        <v>9.8699999999999992</v>
      </c>
      <c r="CV53" s="58">
        <v>4.0259999999999998</v>
      </c>
      <c r="CW53" s="58">
        <v>14.106</v>
      </c>
      <c r="CX53" s="58">
        <v>6.0049999999999999</v>
      </c>
      <c r="CY53" s="58">
        <v>8.1010000000000009</v>
      </c>
      <c r="CZ53" s="58">
        <v>14.917999999999999</v>
      </c>
      <c r="DA53" s="58">
        <v>6.556</v>
      </c>
      <c r="DB53" s="58">
        <v>8.3620000000000001</v>
      </c>
    </row>
    <row r="54" spans="1:106">
      <c r="A54" s="5">
        <v>43132</v>
      </c>
      <c r="B54" s="58">
        <v>9.6150000000000002</v>
      </c>
      <c r="C54" s="58">
        <v>7.2530000000000001</v>
      </c>
      <c r="D54" s="58">
        <v>2.3620000000000001</v>
      </c>
      <c r="E54" s="58">
        <v>25.068999999999999</v>
      </c>
      <c r="F54" s="58">
        <v>8.3620000000000001</v>
      </c>
      <c r="G54" s="58">
        <v>16.707000000000001</v>
      </c>
      <c r="H54" s="58">
        <v>11.298999999999999</v>
      </c>
      <c r="I54" s="58">
        <v>8.5609999999999999</v>
      </c>
      <c r="J54" s="58">
        <v>2.7389999999999999</v>
      </c>
      <c r="K54" s="58">
        <v>27.657</v>
      </c>
      <c r="L54" s="58">
        <v>9.2949999999999999</v>
      </c>
      <c r="M54" s="58">
        <v>18.361999999999998</v>
      </c>
      <c r="N54" s="58">
        <v>26.099</v>
      </c>
      <c r="O54" s="58">
        <v>9.0909999999999993</v>
      </c>
      <c r="P54" s="58">
        <v>17.007999999999999</v>
      </c>
      <c r="Q54" s="58">
        <v>137.51599999999999</v>
      </c>
      <c r="R54" s="58">
        <v>74.034000000000006</v>
      </c>
      <c r="S54" s="58">
        <v>63.481999999999999</v>
      </c>
      <c r="T54" s="58">
        <v>107.062</v>
      </c>
      <c r="U54" s="58">
        <v>63.116999999999997</v>
      </c>
      <c r="V54" s="58">
        <v>43.945</v>
      </c>
      <c r="W54" s="58">
        <v>30.454000000000001</v>
      </c>
      <c r="X54" s="58">
        <v>10.917</v>
      </c>
      <c r="Y54" s="58">
        <v>19.536999999999999</v>
      </c>
      <c r="Z54" s="58">
        <v>14.093</v>
      </c>
      <c r="AA54" s="58">
        <v>8.1679999999999993</v>
      </c>
      <c r="AB54" s="58">
        <v>5.9260000000000002</v>
      </c>
      <c r="AC54" s="58">
        <v>2.4649999999999999</v>
      </c>
      <c r="AD54" s="58">
        <v>1.587</v>
      </c>
      <c r="AE54" s="58">
        <v>0.878</v>
      </c>
      <c r="AF54" s="58">
        <v>1.2370000000000001</v>
      </c>
      <c r="AG54" s="58">
        <v>1.028</v>
      </c>
      <c r="AH54" s="58">
        <v>0.20799999999999999</v>
      </c>
      <c r="AI54" s="58">
        <v>0.93300000000000005</v>
      </c>
      <c r="AJ54" s="58">
        <v>0.93300000000000005</v>
      </c>
      <c r="AK54" s="58">
        <v>0</v>
      </c>
      <c r="AL54" s="58">
        <v>0.30299999999999999</v>
      </c>
      <c r="AM54" s="58">
        <v>9.5000000000000001E-2</v>
      </c>
      <c r="AN54" s="58">
        <v>0.20799999999999999</v>
      </c>
      <c r="AO54" s="58">
        <v>1.2290000000000001</v>
      </c>
      <c r="AP54" s="58">
        <v>0.55900000000000005</v>
      </c>
      <c r="AQ54" s="58">
        <v>0.66900000000000004</v>
      </c>
      <c r="AR54" s="58">
        <v>12.212999999999999</v>
      </c>
      <c r="AS54" s="58">
        <v>6.9370000000000003</v>
      </c>
      <c r="AT54" s="58">
        <v>5.2759999999999998</v>
      </c>
      <c r="AU54" s="58">
        <v>6.1529999999999996</v>
      </c>
      <c r="AV54" s="58">
        <v>4.71</v>
      </c>
      <c r="AW54" s="58">
        <v>1.4430000000000001</v>
      </c>
      <c r="AX54" s="58">
        <v>6.06</v>
      </c>
      <c r="AY54" s="58">
        <v>2.2269999999999999</v>
      </c>
      <c r="AZ54" s="58">
        <v>3.8330000000000002</v>
      </c>
      <c r="BA54" s="58">
        <v>7.2009999999999996</v>
      </c>
      <c r="BB54" s="58">
        <v>5.5490000000000004</v>
      </c>
      <c r="BC54" s="58">
        <v>1.6519999999999999</v>
      </c>
      <c r="BD54" s="58">
        <v>6.8929999999999998</v>
      </c>
      <c r="BE54" s="58">
        <v>2.6190000000000002</v>
      </c>
      <c r="BF54" s="58">
        <v>4.274</v>
      </c>
      <c r="BG54" s="58">
        <v>6.9930000000000003</v>
      </c>
      <c r="BH54" s="58">
        <v>3.16</v>
      </c>
      <c r="BI54" s="58">
        <v>3.8330000000000002</v>
      </c>
      <c r="BJ54" s="58">
        <v>231.41900000000001</v>
      </c>
      <c r="BK54" s="58">
        <v>118.602</v>
      </c>
      <c r="BL54" s="58">
        <v>112.81699999999999</v>
      </c>
      <c r="BM54" s="58">
        <v>171.38499999999999</v>
      </c>
      <c r="BN54" s="58">
        <v>98.768000000000001</v>
      </c>
      <c r="BO54" s="58">
        <v>72.617000000000004</v>
      </c>
      <c r="BP54" s="58">
        <v>60.033999999999999</v>
      </c>
      <c r="BQ54" s="58">
        <v>19.834</v>
      </c>
      <c r="BR54" s="58">
        <v>40.200000000000003</v>
      </c>
      <c r="BS54" s="58">
        <v>26.26</v>
      </c>
      <c r="BT54" s="58">
        <v>15.782</v>
      </c>
      <c r="BU54" s="58">
        <v>10.478</v>
      </c>
      <c r="BV54" s="58">
        <v>6.5270000000000001</v>
      </c>
      <c r="BW54" s="58">
        <v>4.3129999999999997</v>
      </c>
      <c r="BX54" s="58">
        <v>2.214</v>
      </c>
      <c r="BY54" s="58">
        <v>3</v>
      </c>
      <c r="BZ54" s="58">
        <v>2.286</v>
      </c>
      <c r="CA54" s="58">
        <v>0.71399999999999997</v>
      </c>
      <c r="CB54" s="58">
        <v>1.637</v>
      </c>
      <c r="CC54" s="58">
        <v>1.268</v>
      </c>
      <c r="CD54" s="58">
        <v>0.36899999999999999</v>
      </c>
      <c r="CE54" s="58">
        <v>1.363</v>
      </c>
      <c r="CF54" s="58">
        <v>1.018</v>
      </c>
      <c r="CG54" s="58">
        <v>0.34499999999999997</v>
      </c>
      <c r="CH54" s="58">
        <v>3.5270000000000001</v>
      </c>
      <c r="CI54" s="58">
        <v>2.0270000000000001</v>
      </c>
      <c r="CJ54" s="58">
        <v>1.5</v>
      </c>
      <c r="CK54" s="58">
        <v>21.911000000000001</v>
      </c>
      <c r="CL54" s="58">
        <v>13.077999999999999</v>
      </c>
      <c r="CM54" s="58">
        <v>8.8330000000000002</v>
      </c>
      <c r="CN54" s="58">
        <v>9.9039999999999999</v>
      </c>
      <c r="CO54" s="58">
        <v>8.6069999999999993</v>
      </c>
      <c r="CP54" s="58">
        <v>1.2969999999999999</v>
      </c>
      <c r="CQ54" s="58">
        <v>12.006</v>
      </c>
      <c r="CR54" s="58">
        <v>4.4710000000000001</v>
      </c>
      <c r="CS54" s="58">
        <v>7.5359999999999996</v>
      </c>
      <c r="CT54" s="58">
        <v>12.048</v>
      </c>
      <c r="CU54" s="58">
        <v>10.037000000000001</v>
      </c>
      <c r="CV54" s="58">
        <v>2.0110000000000001</v>
      </c>
      <c r="CW54" s="58">
        <v>14.212</v>
      </c>
      <c r="CX54" s="58">
        <v>5.7450000000000001</v>
      </c>
      <c r="CY54" s="58">
        <v>8.4670000000000005</v>
      </c>
      <c r="CZ54" s="58">
        <v>13.643000000000001</v>
      </c>
      <c r="DA54" s="58">
        <v>5.7380000000000004</v>
      </c>
      <c r="DB54" s="58">
        <v>7.9050000000000002</v>
      </c>
    </row>
    <row r="55" spans="1:106">
      <c r="A55" s="5">
        <v>43160</v>
      </c>
      <c r="B55" s="58">
        <v>9.8460000000000001</v>
      </c>
      <c r="C55" s="58">
        <v>6.9329999999999998</v>
      </c>
      <c r="D55" s="58">
        <v>2.9129999999999998</v>
      </c>
      <c r="E55" s="58">
        <v>24.202000000000002</v>
      </c>
      <c r="F55" s="58">
        <v>8.3130000000000006</v>
      </c>
      <c r="G55" s="58">
        <v>15.888999999999999</v>
      </c>
      <c r="H55" s="58">
        <v>11.384</v>
      </c>
      <c r="I55" s="58">
        <v>8.2569999999999997</v>
      </c>
      <c r="J55" s="58">
        <v>3.1269999999999998</v>
      </c>
      <c r="K55" s="58">
        <v>26.812000000000001</v>
      </c>
      <c r="L55" s="58">
        <v>9.1820000000000004</v>
      </c>
      <c r="M55" s="58">
        <v>17.63</v>
      </c>
      <c r="N55" s="58">
        <v>25.154</v>
      </c>
      <c r="O55" s="58">
        <v>9.16</v>
      </c>
      <c r="P55" s="58">
        <v>15.994</v>
      </c>
      <c r="Q55" s="58">
        <v>139.065</v>
      </c>
      <c r="R55" s="58">
        <v>74.908000000000001</v>
      </c>
      <c r="S55" s="58">
        <v>64.156999999999996</v>
      </c>
      <c r="T55" s="58">
        <v>108.592</v>
      </c>
      <c r="U55" s="58">
        <v>64.790999999999997</v>
      </c>
      <c r="V55" s="58">
        <v>43.801000000000002</v>
      </c>
      <c r="W55" s="58">
        <v>30.472999999999999</v>
      </c>
      <c r="X55" s="58">
        <v>10.117000000000001</v>
      </c>
      <c r="Y55" s="58">
        <v>20.356999999999999</v>
      </c>
      <c r="Z55" s="58">
        <v>13.292</v>
      </c>
      <c r="AA55" s="58">
        <v>7.5209999999999999</v>
      </c>
      <c r="AB55" s="58">
        <v>5.7720000000000002</v>
      </c>
      <c r="AC55" s="58">
        <v>1.7470000000000001</v>
      </c>
      <c r="AD55" s="58">
        <v>1.093</v>
      </c>
      <c r="AE55" s="58">
        <v>0.65300000000000002</v>
      </c>
      <c r="AF55" s="58">
        <v>0.73299999999999998</v>
      </c>
      <c r="AG55" s="58">
        <v>0.63500000000000001</v>
      </c>
      <c r="AH55" s="58">
        <v>9.8000000000000004E-2</v>
      </c>
      <c r="AI55" s="58">
        <v>0.38700000000000001</v>
      </c>
      <c r="AJ55" s="58">
        <v>0.28899999999999998</v>
      </c>
      <c r="AK55" s="58">
        <v>9.8000000000000004E-2</v>
      </c>
      <c r="AL55" s="58">
        <v>0.34599999999999997</v>
      </c>
      <c r="AM55" s="58">
        <v>0.34599999999999997</v>
      </c>
      <c r="AN55" s="58">
        <v>0</v>
      </c>
      <c r="AO55" s="58">
        <v>1.0129999999999999</v>
      </c>
      <c r="AP55" s="58">
        <v>0.45800000000000002</v>
      </c>
      <c r="AQ55" s="58">
        <v>0.55600000000000005</v>
      </c>
      <c r="AR55" s="58">
        <v>12.476000000000001</v>
      </c>
      <c r="AS55" s="58">
        <v>6.8920000000000003</v>
      </c>
      <c r="AT55" s="58">
        <v>5.5839999999999996</v>
      </c>
      <c r="AU55" s="58">
        <v>7.0990000000000002</v>
      </c>
      <c r="AV55" s="58">
        <v>4.9720000000000004</v>
      </c>
      <c r="AW55" s="58">
        <v>2.1280000000000001</v>
      </c>
      <c r="AX55" s="58">
        <v>5.3769999999999998</v>
      </c>
      <c r="AY55" s="58">
        <v>1.92</v>
      </c>
      <c r="AZ55" s="58">
        <v>3.4569999999999999</v>
      </c>
      <c r="BA55" s="58">
        <v>7.42</v>
      </c>
      <c r="BB55" s="58">
        <v>5.2919999999999998</v>
      </c>
      <c r="BC55" s="58">
        <v>2.1280000000000001</v>
      </c>
      <c r="BD55" s="58">
        <v>5.8730000000000002</v>
      </c>
      <c r="BE55" s="58">
        <v>2.2290000000000001</v>
      </c>
      <c r="BF55" s="58">
        <v>3.6440000000000001</v>
      </c>
      <c r="BG55" s="58">
        <v>5.7640000000000002</v>
      </c>
      <c r="BH55" s="58">
        <v>2.2090000000000001</v>
      </c>
      <c r="BI55" s="58">
        <v>3.5539999999999998</v>
      </c>
      <c r="BJ55" s="58">
        <v>229.047</v>
      </c>
      <c r="BK55" s="58">
        <v>116.52800000000001</v>
      </c>
      <c r="BL55" s="58">
        <v>112.52</v>
      </c>
      <c r="BM55" s="58">
        <v>167.25</v>
      </c>
      <c r="BN55" s="58">
        <v>97.424999999999997</v>
      </c>
      <c r="BO55" s="58">
        <v>69.825000000000003</v>
      </c>
      <c r="BP55" s="58">
        <v>61.796999999999997</v>
      </c>
      <c r="BQ55" s="58">
        <v>19.103000000000002</v>
      </c>
      <c r="BR55" s="58">
        <v>42.694000000000003</v>
      </c>
      <c r="BS55" s="58">
        <v>28.552</v>
      </c>
      <c r="BT55" s="58">
        <v>16.936</v>
      </c>
      <c r="BU55" s="58">
        <v>11.617000000000001</v>
      </c>
      <c r="BV55" s="58">
        <v>5.5780000000000003</v>
      </c>
      <c r="BW55" s="58">
        <v>3.4129999999999998</v>
      </c>
      <c r="BX55" s="58">
        <v>2.165</v>
      </c>
      <c r="BY55" s="58">
        <v>1.5149999999999999</v>
      </c>
      <c r="BZ55" s="58">
        <v>0.98499999999999999</v>
      </c>
      <c r="CA55" s="58">
        <v>0.53</v>
      </c>
      <c r="CB55" s="58">
        <v>0.93899999999999995</v>
      </c>
      <c r="CC55" s="58">
        <v>0.60799999999999998</v>
      </c>
      <c r="CD55" s="58">
        <v>0.33</v>
      </c>
      <c r="CE55" s="58">
        <v>0.57599999999999996</v>
      </c>
      <c r="CF55" s="58">
        <v>0.377</v>
      </c>
      <c r="CG55" s="58">
        <v>0.19900000000000001</v>
      </c>
      <c r="CH55" s="58">
        <v>4.0629999999999997</v>
      </c>
      <c r="CI55" s="58">
        <v>2.4279999999999999</v>
      </c>
      <c r="CJ55" s="58">
        <v>1.6359999999999999</v>
      </c>
      <c r="CK55" s="58">
        <v>24.79</v>
      </c>
      <c r="CL55" s="58">
        <v>14.552</v>
      </c>
      <c r="CM55" s="58">
        <v>10.238</v>
      </c>
      <c r="CN55" s="58">
        <v>11.634</v>
      </c>
      <c r="CO55" s="58">
        <v>8.9499999999999993</v>
      </c>
      <c r="CP55" s="58">
        <v>2.6829999999999998</v>
      </c>
      <c r="CQ55" s="58">
        <v>13.157</v>
      </c>
      <c r="CR55" s="58">
        <v>5.6020000000000003</v>
      </c>
      <c r="CS55" s="58">
        <v>7.5549999999999997</v>
      </c>
      <c r="CT55" s="58">
        <v>13.148</v>
      </c>
      <c r="CU55" s="58">
        <v>9.9350000000000005</v>
      </c>
      <c r="CV55" s="58">
        <v>3.2130000000000001</v>
      </c>
      <c r="CW55" s="58">
        <v>15.404</v>
      </c>
      <c r="CX55" s="58">
        <v>7</v>
      </c>
      <c r="CY55" s="58">
        <v>8.4039999999999999</v>
      </c>
      <c r="CZ55" s="58">
        <v>14.095000000000001</v>
      </c>
      <c r="DA55" s="58">
        <v>6.21</v>
      </c>
      <c r="DB55" s="58">
        <v>7.8849999999999998</v>
      </c>
    </row>
    <row r="56" spans="1:106">
      <c r="A56" s="5">
        <v>43191</v>
      </c>
      <c r="B56" s="58">
        <v>11.257</v>
      </c>
      <c r="C56" s="58">
        <v>8.1329999999999991</v>
      </c>
      <c r="D56" s="58">
        <v>3.1240000000000001</v>
      </c>
      <c r="E56" s="58">
        <v>23.382999999999999</v>
      </c>
      <c r="F56" s="58">
        <v>8.4730000000000008</v>
      </c>
      <c r="G56" s="58">
        <v>14.91</v>
      </c>
      <c r="H56" s="58">
        <v>12.73</v>
      </c>
      <c r="I56" s="58">
        <v>9.2590000000000003</v>
      </c>
      <c r="J56" s="58">
        <v>3.47</v>
      </c>
      <c r="K56" s="58">
        <v>26.393999999999998</v>
      </c>
      <c r="L56" s="58">
        <v>9.6850000000000005</v>
      </c>
      <c r="M56" s="58">
        <v>16.709</v>
      </c>
      <c r="N56" s="58">
        <v>24.427</v>
      </c>
      <c r="O56" s="58">
        <v>9.17</v>
      </c>
      <c r="P56" s="58">
        <v>15.256</v>
      </c>
      <c r="Q56" s="58">
        <v>136.94999999999999</v>
      </c>
      <c r="R56" s="58">
        <v>73.284000000000006</v>
      </c>
      <c r="S56" s="58">
        <v>63.664999999999999</v>
      </c>
      <c r="T56" s="58">
        <v>109.55800000000001</v>
      </c>
      <c r="U56" s="58">
        <v>64.680999999999997</v>
      </c>
      <c r="V56" s="58">
        <v>44.877000000000002</v>
      </c>
      <c r="W56" s="58">
        <v>27.391999999999999</v>
      </c>
      <c r="X56" s="58">
        <v>8.6039999999999992</v>
      </c>
      <c r="Y56" s="58">
        <v>18.788</v>
      </c>
      <c r="Z56" s="58">
        <v>12.25</v>
      </c>
      <c r="AA56" s="58">
        <v>7.5410000000000004</v>
      </c>
      <c r="AB56" s="58">
        <v>4.7089999999999996</v>
      </c>
      <c r="AC56" s="58">
        <v>1.8879999999999999</v>
      </c>
      <c r="AD56" s="58">
        <v>1.45</v>
      </c>
      <c r="AE56" s="58">
        <v>0.438</v>
      </c>
      <c r="AF56" s="58">
        <v>1.2210000000000001</v>
      </c>
      <c r="AG56" s="58">
        <v>1.091</v>
      </c>
      <c r="AH56" s="58">
        <v>0.13</v>
      </c>
      <c r="AI56" s="58">
        <v>1.1479999999999999</v>
      </c>
      <c r="AJ56" s="58">
        <v>1.018</v>
      </c>
      <c r="AK56" s="58">
        <v>0.13</v>
      </c>
      <c r="AL56" s="58">
        <v>7.2999999999999995E-2</v>
      </c>
      <c r="AM56" s="58">
        <v>7.2999999999999995E-2</v>
      </c>
      <c r="AN56" s="58">
        <v>0</v>
      </c>
      <c r="AO56" s="58">
        <v>0.66700000000000004</v>
      </c>
      <c r="AP56" s="58">
        <v>0.35899999999999999</v>
      </c>
      <c r="AQ56" s="58">
        <v>0.308</v>
      </c>
      <c r="AR56" s="58">
        <v>11.018000000000001</v>
      </c>
      <c r="AS56" s="58">
        <v>6.5529999999999999</v>
      </c>
      <c r="AT56" s="58">
        <v>4.4649999999999999</v>
      </c>
      <c r="AU56" s="58">
        <v>6.2530000000000001</v>
      </c>
      <c r="AV56" s="58">
        <v>4.4390000000000001</v>
      </c>
      <c r="AW56" s="58">
        <v>1.8140000000000001</v>
      </c>
      <c r="AX56" s="58">
        <v>4.766</v>
      </c>
      <c r="AY56" s="58">
        <v>2.1139999999999999</v>
      </c>
      <c r="AZ56" s="58">
        <v>2.6509999999999998</v>
      </c>
      <c r="BA56" s="58">
        <v>7.1680000000000001</v>
      </c>
      <c r="BB56" s="58">
        <v>5.2889999999999997</v>
      </c>
      <c r="BC56" s="58">
        <v>1.879</v>
      </c>
      <c r="BD56" s="58">
        <v>5.0819999999999999</v>
      </c>
      <c r="BE56" s="58">
        <v>2.2530000000000001</v>
      </c>
      <c r="BF56" s="58">
        <v>2.83</v>
      </c>
      <c r="BG56" s="58">
        <v>5.9139999999999997</v>
      </c>
      <c r="BH56" s="58">
        <v>3.1320000000000001</v>
      </c>
      <c r="BI56" s="58">
        <v>2.7810000000000001</v>
      </c>
      <c r="BJ56" s="58">
        <v>226.47499999999999</v>
      </c>
      <c r="BK56" s="58">
        <v>115.77500000000001</v>
      </c>
      <c r="BL56" s="58">
        <v>110.7</v>
      </c>
      <c r="BM56" s="58">
        <v>164.24199999999999</v>
      </c>
      <c r="BN56" s="58">
        <v>95.948999999999998</v>
      </c>
      <c r="BO56" s="58">
        <v>68.293000000000006</v>
      </c>
      <c r="BP56" s="58">
        <v>62.232999999999997</v>
      </c>
      <c r="BQ56" s="58">
        <v>19.826000000000001</v>
      </c>
      <c r="BR56" s="58">
        <v>42.406999999999996</v>
      </c>
      <c r="BS56" s="58">
        <v>27.204000000000001</v>
      </c>
      <c r="BT56" s="58">
        <v>13.754</v>
      </c>
      <c r="BU56" s="58">
        <v>13.451000000000001</v>
      </c>
      <c r="BV56" s="58">
        <v>4.5640000000000001</v>
      </c>
      <c r="BW56" s="58">
        <v>2.0750000000000002</v>
      </c>
      <c r="BX56" s="58">
        <v>2.4889999999999999</v>
      </c>
      <c r="BY56" s="58">
        <v>1.1040000000000001</v>
      </c>
      <c r="BZ56" s="58">
        <v>0.60499999999999998</v>
      </c>
      <c r="CA56" s="58">
        <v>0.5</v>
      </c>
      <c r="CB56" s="58">
        <v>0.34200000000000003</v>
      </c>
      <c r="CC56" s="58">
        <v>0.14399999999999999</v>
      </c>
      <c r="CD56" s="58">
        <v>0.19700000000000001</v>
      </c>
      <c r="CE56" s="58">
        <v>0.76300000000000001</v>
      </c>
      <c r="CF56" s="58">
        <v>0.46</v>
      </c>
      <c r="CG56" s="58">
        <v>0.30199999999999999</v>
      </c>
      <c r="CH56" s="58">
        <v>3.46</v>
      </c>
      <c r="CI56" s="58">
        <v>1.4710000000000001</v>
      </c>
      <c r="CJ56" s="58">
        <v>1.9890000000000001</v>
      </c>
      <c r="CK56" s="58">
        <v>24.757000000000001</v>
      </c>
      <c r="CL56" s="58">
        <v>12.878</v>
      </c>
      <c r="CM56" s="58">
        <v>11.879</v>
      </c>
      <c r="CN56" s="58">
        <v>9.5709999999999997</v>
      </c>
      <c r="CO56" s="58">
        <v>7.3330000000000002</v>
      </c>
      <c r="CP56" s="58">
        <v>2.238</v>
      </c>
      <c r="CQ56" s="58">
        <v>15.186</v>
      </c>
      <c r="CR56" s="58">
        <v>5.5449999999999999</v>
      </c>
      <c r="CS56" s="58">
        <v>9.641</v>
      </c>
      <c r="CT56" s="58">
        <v>10.223000000000001</v>
      </c>
      <c r="CU56" s="58">
        <v>7.6289999999999996</v>
      </c>
      <c r="CV56" s="58">
        <v>2.5939999999999999</v>
      </c>
      <c r="CW56" s="58">
        <v>16.981000000000002</v>
      </c>
      <c r="CX56" s="58">
        <v>6.1239999999999997</v>
      </c>
      <c r="CY56" s="58">
        <v>10.856999999999999</v>
      </c>
      <c r="CZ56" s="58">
        <v>15.528</v>
      </c>
      <c r="DA56" s="58">
        <v>5.6890000000000001</v>
      </c>
      <c r="DB56" s="58">
        <v>9.8390000000000004</v>
      </c>
    </row>
    <row r="57" spans="1:106">
      <c r="A57" s="5">
        <v>43221</v>
      </c>
      <c r="B57" s="58">
        <v>10.247</v>
      </c>
      <c r="C57" s="58">
        <v>7.4779999999999998</v>
      </c>
      <c r="D57" s="58">
        <v>2.7690000000000001</v>
      </c>
      <c r="E57" s="58">
        <v>23.756</v>
      </c>
      <c r="F57" s="58">
        <v>8.8279999999999994</v>
      </c>
      <c r="G57" s="58">
        <v>14.927</v>
      </c>
      <c r="H57" s="58">
        <v>12.555</v>
      </c>
      <c r="I57" s="58">
        <v>9.2720000000000002</v>
      </c>
      <c r="J57" s="58">
        <v>3.2829999999999999</v>
      </c>
      <c r="K57" s="58">
        <v>26.885000000000002</v>
      </c>
      <c r="L57" s="58">
        <v>9.8260000000000005</v>
      </c>
      <c r="M57" s="58">
        <v>17.059000000000001</v>
      </c>
      <c r="N57" s="58">
        <v>25.597000000000001</v>
      </c>
      <c r="O57" s="58">
        <v>10.38</v>
      </c>
      <c r="P57" s="58">
        <v>15.217000000000001</v>
      </c>
      <c r="Q57" s="58">
        <v>139.15299999999999</v>
      </c>
      <c r="R57" s="58">
        <v>73.891000000000005</v>
      </c>
      <c r="S57" s="58">
        <v>65.262</v>
      </c>
      <c r="T57" s="58">
        <v>111.121</v>
      </c>
      <c r="U57" s="58">
        <v>63.825000000000003</v>
      </c>
      <c r="V57" s="58">
        <v>47.295999999999999</v>
      </c>
      <c r="W57" s="58">
        <v>28.032</v>
      </c>
      <c r="X57" s="58">
        <v>10.066000000000001</v>
      </c>
      <c r="Y57" s="58">
        <v>17.966000000000001</v>
      </c>
      <c r="Z57" s="58">
        <v>12.962999999999999</v>
      </c>
      <c r="AA57" s="58">
        <v>7.8109999999999999</v>
      </c>
      <c r="AB57" s="58">
        <v>5.1520000000000001</v>
      </c>
      <c r="AC57" s="58">
        <v>1.782</v>
      </c>
      <c r="AD57" s="58">
        <v>1.0960000000000001</v>
      </c>
      <c r="AE57" s="58">
        <v>0.68600000000000005</v>
      </c>
      <c r="AF57" s="58">
        <v>0.90800000000000003</v>
      </c>
      <c r="AG57" s="58">
        <v>0.83</v>
      </c>
      <c r="AH57" s="58">
        <v>7.8E-2</v>
      </c>
      <c r="AI57" s="58">
        <v>0.39400000000000002</v>
      </c>
      <c r="AJ57" s="58">
        <v>0.39400000000000002</v>
      </c>
      <c r="AK57" s="58">
        <v>0</v>
      </c>
      <c r="AL57" s="58">
        <v>0.51400000000000001</v>
      </c>
      <c r="AM57" s="58">
        <v>0.436</v>
      </c>
      <c r="AN57" s="58">
        <v>7.8E-2</v>
      </c>
      <c r="AO57" s="58">
        <v>0.874</v>
      </c>
      <c r="AP57" s="58">
        <v>0.26600000000000001</v>
      </c>
      <c r="AQ57" s="58">
        <v>0.60799999999999998</v>
      </c>
      <c r="AR57" s="58">
        <v>11.625</v>
      </c>
      <c r="AS57" s="58">
        <v>6.9290000000000003</v>
      </c>
      <c r="AT57" s="58">
        <v>4.6959999999999997</v>
      </c>
      <c r="AU57" s="58">
        <v>6.7119999999999997</v>
      </c>
      <c r="AV57" s="58">
        <v>4.9649999999999999</v>
      </c>
      <c r="AW57" s="58">
        <v>1.7470000000000001</v>
      </c>
      <c r="AX57" s="58">
        <v>4.9139999999999997</v>
      </c>
      <c r="AY57" s="58">
        <v>1.964</v>
      </c>
      <c r="AZ57" s="58">
        <v>2.95</v>
      </c>
      <c r="BA57" s="58">
        <v>7.4050000000000002</v>
      </c>
      <c r="BB57" s="58">
        <v>5.58</v>
      </c>
      <c r="BC57" s="58">
        <v>1.825</v>
      </c>
      <c r="BD57" s="58">
        <v>5.5579999999999998</v>
      </c>
      <c r="BE57" s="58">
        <v>2.2309999999999999</v>
      </c>
      <c r="BF57" s="58">
        <v>3.327</v>
      </c>
      <c r="BG57" s="58">
        <v>5.3079999999999998</v>
      </c>
      <c r="BH57" s="58">
        <v>2.3580000000000001</v>
      </c>
      <c r="BI57" s="58">
        <v>2.95</v>
      </c>
      <c r="BJ57" s="58">
        <v>226.089</v>
      </c>
      <c r="BK57" s="58">
        <v>114.224</v>
      </c>
      <c r="BL57" s="58">
        <v>111.864</v>
      </c>
      <c r="BM57" s="58">
        <v>165.37200000000001</v>
      </c>
      <c r="BN57" s="58">
        <v>96.569000000000003</v>
      </c>
      <c r="BO57" s="58">
        <v>68.802999999999997</v>
      </c>
      <c r="BP57" s="58">
        <v>60.716999999999999</v>
      </c>
      <c r="BQ57" s="58">
        <v>17.655000000000001</v>
      </c>
      <c r="BR57" s="58">
        <v>43.061999999999998</v>
      </c>
      <c r="BS57" s="58">
        <v>21.940999999999999</v>
      </c>
      <c r="BT57" s="58">
        <v>12.315</v>
      </c>
      <c r="BU57" s="58">
        <v>9.6259999999999994</v>
      </c>
      <c r="BV57" s="58">
        <v>4.4779999999999998</v>
      </c>
      <c r="BW57" s="58">
        <v>2.8639999999999999</v>
      </c>
      <c r="BX57" s="58">
        <v>1.6140000000000001</v>
      </c>
      <c r="BY57" s="58">
        <v>1.9670000000000001</v>
      </c>
      <c r="BZ57" s="58">
        <v>1.657</v>
      </c>
      <c r="CA57" s="58">
        <v>0.31</v>
      </c>
      <c r="CB57" s="58">
        <v>0.30499999999999999</v>
      </c>
      <c r="CC57" s="58">
        <v>0.156</v>
      </c>
      <c r="CD57" s="58">
        <v>0.14899999999999999</v>
      </c>
      <c r="CE57" s="58">
        <v>1.6619999999999999</v>
      </c>
      <c r="CF57" s="58">
        <v>1.5009999999999999</v>
      </c>
      <c r="CG57" s="58">
        <v>0.161</v>
      </c>
      <c r="CH57" s="58">
        <v>2.5099999999999998</v>
      </c>
      <c r="CI57" s="58">
        <v>1.2070000000000001</v>
      </c>
      <c r="CJ57" s="58">
        <v>1.3029999999999999</v>
      </c>
      <c r="CK57" s="58">
        <v>19.722999999999999</v>
      </c>
      <c r="CL57" s="58">
        <v>10.614000000000001</v>
      </c>
      <c r="CM57" s="58">
        <v>9.109</v>
      </c>
      <c r="CN57" s="58">
        <v>8.1050000000000004</v>
      </c>
      <c r="CO57" s="58">
        <v>6.0739999999999998</v>
      </c>
      <c r="CP57" s="58">
        <v>2.0310000000000001</v>
      </c>
      <c r="CQ57" s="58">
        <v>11.618</v>
      </c>
      <c r="CR57" s="58">
        <v>4.54</v>
      </c>
      <c r="CS57" s="58">
        <v>7.0780000000000003</v>
      </c>
      <c r="CT57" s="58">
        <v>9.4429999999999996</v>
      </c>
      <c r="CU57" s="58">
        <v>7.2510000000000003</v>
      </c>
      <c r="CV57" s="58">
        <v>2.1920000000000002</v>
      </c>
      <c r="CW57" s="58">
        <v>12.499000000000001</v>
      </c>
      <c r="CX57" s="58">
        <v>5.0640000000000001</v>
      </c>
      <c r="CY57" s="58">
        <v>7.4340000000000002</v>
      </c>
      <c r="CZ57" s="58">
        <v>11.923</v>
      </c>
      <c r="DA57" s="58">
        <v>4.6959999999999997</v>
      </c>
      <c r="DB57" s="58">
        <v>7.2270000000000003</v>
      </c>
    </row>
    <row r="58" spans="1:106">
      <c r="A58" s="5">
        <v>43252</v>
      </c>
      <c r="B58" s="58">
        <v>10.138</v>
      </c>
      <c r="C58" s="58">
        <v>7.3140000000000001</v>
      </c>
      <c r="D58" s="58">
        <v>2.823</v>
      </c>
      <c r="E58" s="58">
        <v>24.59</v>
      </c>
      <c r="F58" s="58">
        <v>7.968</v>
      </c>
      <c r="G58" s="58">
        <v>16.622</v>
      </c>
      <c r="H58" s="58">
        <v>12.504</v>
      </c>
      <c r="I58" s="58">
        <v>9.1080000000000005</v>
      </c>
      <c r="J58" s="58">
        <v>3.3969999999999998</v>
      </c>
      <c r="K58" s="58">
        <v>26.981999999999999</v>
      </c>
      <c r="L58" s="58">
        <v>9.4239999999999995</v>
      </c>
      <c r="M58" s="58">
        <v>17.558</v>
      </c>
      <c r="N58" s="58">
        <v>25.84</v>
      </c>
      <c r="O58" s="58">
        <v>8.8460000000000001</v>
      </c>
      <c r="P58" s="58">
        <v>16.994</v>
      </c>
      <c r="Q58" s="58">
        <v>140.809</v>
      </c>
      <c r="R58" s="58">
        <v>75.022999999999996</v>
      </c>
      <c r="S58" s="58">
        <v>65.786000000000001</v>
      </c>
      <c r="T58" s="58">
        <v>113.193</v>
      </c>
      <c r="U58" s="58">
        <v>64.522000000000006</v>
      </c>
      <c r="V58" s="58">
        <v>48.670999999999999</v>
      </c>
      <c r="W58" s="58">
        <v>27.617000000000001</v>
      </c>
      <c r="X58" s="58">
        <v>10.502000000000001</v>
      </c>
      <c r="Y58" s="58">
        <v>17.114999999999998</v>
      </c>
      <c r="Z58" s="58">
        <v>12.782</v>
      </c>
      <c r="AA58" s="58">
        <v>7.4630000000000001</v>
      </c>
      <c r="AB58" s="58">
        <v>5.3179999999999996</v>
      </c>
      <c r="AC58" s="58">
        <v>1.4950000000000001</v>
      </c>
      <c r="AD58" s="58">
        <v>0.89200000000000002</v>
      </c>
      <c r="AE58" s="58">
        <v>0.60299999999999998</v>
      </c>
      <c r="AF58" s="58">
        <v>0.86499999999999999</v>
      </c>
      <c r="AG58" s="58">
        <v>0.60699999999999998</v>
      </c>
      <c r="AH58" s="58">
        <v>0.25800000000000001</v>
      </c>
      <c r="AI58" s="58">
        <v>0.51</v>
      </c>
      <c r="AJ58" s="58">
        <v>0.39600000000000002</v>
      </c>
      <c r="AK58" s="58">
        <v>0.114</v>
      </c>
      <c r="AL58" s="58">
        <v>0.35499999999999998</v>
      </c>
      <c r="AM58" s="58">
        <v>0.21099999999999999</v>
      </c>
      <c r="AN58" s="58">
        <v>0.14399999999999999</v>
      </c>
      <c r="AO58" s="58">
        <v>0.63</v>
      </c>
      <c r="AP58" s="58">
        <v>0.28599999999999998</v>
      </c>
      <c r="AQ58" s="58">
        <v>0.34499999999999997</v>
      </c>
      <c r="AR58" s="58">
        <v>11.672000000000001</v>
      </c>
      <c r="AS58" s="58">
        <v>6.8940000000000001</v>
      </c>
      <c r="AT58" s="58">
        <v>4.7779999999999996</v>
      </c>
      <c r="AU58" s="58">
        <v>5.593</v>
      </c>
      <c r="AV58" s="58">
        <v>4.2210000000000001</v>
      </c>
      <c r="AW58" s="58">
        <v>1.3720000000000001</v>
      </c>
      <c r="AX58" s="58">
        <v>6.0789999999999997</v>
      </c>
      <c r="AY58" s="58">
        <v>2.673</v>
      </c>
      <c r="AZ58" s="58">
        <v>3.4060000000000001</v>
      </c>
      <c r="BA58" s="58">
        <v>6.3029999999999999</v>
      </c>
      <c r="BB58" s="58">
        <v>4.673</v>
      </c>
      <c r="BC58" s="58">
        <v>1.63</v>
      </c>
      <c r="BD58" s="58">
        <v>6.4790000000000001</v>
      </c>
      <c r="BE58" s="58">
        <v>2.79</v>
      </c>
      <c r="BF58" s="58">
        <v>3.6890000000000001</v>
      </c>
      <c r="BG58" s="58">
        <v>6.5890000000000004</v>
      </c>
      <c r="BH58" s="58">
        <v>3.069</v>
      </c>
      <c r="BI58" s="58">
        <v>3.52</v>
      </c>
      <c r="BJ58" s="58">
        <v>231.76499999999999</v>
      </c>
      <c r="BK58" s="58">
        <v>118.56100000000001</v>
      </c>
      <c r="BL58" s="58">
        <v>113.20399999999999</v>
      </c>
      <c r="BM58" s="58">
        <v>167.74799999999999</v>
      </c>
      <c r="BN58" s="58">
        <v>98.173000000000002</v>
      </c>
      <c r="BO58" s="58">
        <v>69.575000000000003</v>
      </c>
      <c r="BP58" s="58">
        <v>64.016999999999996</v>
      </c>
      <c r="BQ58" s="58">
        <v>20.388000000000002</v>
      </c>
      <c r="BR58" s="58">
        <v>43.63</v>
      </c>
      <c r="BS58" s="58">
        <v>24.869</v>
      </c>
      <c r="BT58" s="58">
        <v>12.28</v>
      </c>
      <c r="BU58" s="58">
        <v>12.589</v>
      </c>
      <c r="BV58" s="58">
        <v>5.8120000000000003</v>
      </c>
      <c r="BW58" s="58">
        <v>3.28</v>
      </c>
      <c r="BX58" s="58">
        <v>2.5329999999999999</v>
      </c>
      <c r="BY58" s="58">
        <v>1.7629999999999999</v>
      </c>
      <c r="BZ58" s="58">
        <v>1.474</v>
      </c>
      <c r="CA58" s="58">
        <v>0.28899999999999998</v>
      </c>
      <c r="CB58" s="58">
        <v>1.0149999999999999</v>
      </c>
      <c r="CC58" s="58">
        <v>0.72699999999999998</v>
      </c>
      <c r="CD58" s="58">
        <v>0.28899999999999998</v>
      </c>
      <c r="CE58" s="58">
        <v>0.748</v>
      </c>
      <c r="CF58" s="58">
        <v>0.748</v>
      </c>
      <c r="CG58" s="58">
        <v>0</v>
      </c>
      <c r="CH58" s="58">
        <v>4.0490000000000004</v>
      </c>
      <c r="CI58" s="58">
        <v>1.8049999999999999</v>
      </c>
      <c r="CJ58" s="58">
        <v>2.2440000000000002</v>
      </c>
      <c r="CK58" s="58">
        <v>20.852</v>
      </c>
      <c r="CL58" s="58">
        <v>10.045999999999999</v>
      </c>
      <c r="CM58" s="58">
        <v>10.805999999999999</v>
      </c>
      <c r="CN58" s="58">
        <v>7.9210000000000003</v>
      </c>
      <c r="CO58" s="58">
        <v>5.9630000000000001</v>
      </c>
      <c r="CP58" s="58">
        <v>1.958</v>
      </c>
      <c r="CQ58" s="58">
        <v>12.930999999999999</v>
      </c>
      <c r="CR58" s="58">
        <v>4.0830000000000002</v>
      </c>
      <c r="CS58" s="58">
        <v>8.8480000000000008</v>
      </c>
      <c r="CT58" s="58">
        <v>9.0980000000000008</v>
      </c>
      <c r="CU58" s="58">
        <v>6.9889999999999999</v>
      </c>
      <c r="CV58" s="58">
        <v>2.109</v>
      </c>
      <c r="CW58" s="58">
        <v>15.771000000000001</v>
      </c>
      <c r="CX58" s="58">
        <v>5.2910000000000004</v>
      </c>
      <c r="CY58" s="58">
        <v>10.48</v>
      </c>
      <c r="CZ58" s="58">
        <v>13.946</v>
      </c>
      <c r="DA58" s="58">
        <v>4.8099999999999996</v>
      </c>
      <c r="DB58" s="58">
        <v>9.1370000000000005</v>
      </c>
    </row>
    <row r="59" spans="1:106">
      <c r="A59" s="5">
        <v>43282</v>
      </c>
      <c r="B59" s="58">
        <v>10.961</v>
      </c>
      <c r="C59" s="58">
        <v>7.9859999999999998</v>
      </c>
      <c r="D59" s="58">
        <v>2.9750000000000001</v>
      </c>
      <c r="E59" s="58">
        <v>24.196999999999999</v>
      </c>
      <c r="F59" s="58">
        <v>9.2110000000000003</v>
      </c>
      <c r="G59" s="58">
        <v>14.986000000000001</v>
      </c>
      <c r="H59" s="58">
        <v>13.791</v>
      </c>
      <c r="I59" s="58">
        <v>10.553000000000001</v>
      </c>
      <c r="J59" s="58">
        <v>3.238</v>
      </c>
      <c r="K59" s="58">
        <v>26.393000000000001</v>
      </c>
      <c r="L59" s="58">
        <v>10.518000000000001</v>
      </c>
      <c r="M59" s="58">
        <v>15.875</v>
      </c>
      <c r="N59" s="58">
        <v>26.099</v>
      </c>
      <c r="O59" s="58">
        <v>10.584</v>
      </c>
      <c r="P59" s="58">
        <v>15.513999999999999</v>
      </c>
      <c r="Q59" s="58">
        <v>139.63</v>
      </c>
      <c r="R59" s="58">
        <v>73.933999999999997</v>
      </c>
      <c r="S59" s="58">
        <v>65.697000000000003</v>
      </c>
      <c r="T59" s="58">
        <v>114.41500000000001</v>
      </c>
      <c r="U59" s="58">
        <v>65.338999999999999</v>
      </c>
      <c r="V59" s="58">
        <v>49.076000000000001</v>
      </c>
      <c r="W59" s="58">
        <v>25.216000000000001</v>
      </c>
      <c r="X59" s="58">
        <v>8.5950000000000006</v>
      </c>
      <c r="Y59" s="58">
        <v>16.62</v>
      </c>
      <c r="Z59" s="58">
        <v>11.221</v>
      </c>
      <c r="AA59" s="58">
        <v>6.5119999999999996</v>
      </c>
      <c r="AB59" s="58">
        <v>4.7089999999999996</v>
      </c>
      <c r="AC59" s="58">
        <v>1.631</v>
      </c>
      <c r="AD59" s="58">
        <v>1.095</v>
      </c>
      <c r="AE59" s="58">
        <v>0.53700000000000003</v>
      </c>
      <c r="AF59" s="58">
        <v>0.63400000000000001</v>
      </c>
      <c r="AG59" s="58">
        <v>0.42599999999999999</v>
      </c>
      <c r="AH59" s="58">
        <v>0.20899999999999999</v>
      </c>
      <c r="AI59" s="58">
        <v>0.56200000000000006</v>
      </c>
      <c r="AJ59" s="58">
        <v>0.42599999999999999</v>
      </c>
      <c r="AK59" s="58">
        <v>0.13600000000000001</v>
      </c>
      <c r="AL59" s="58">
        <v>7.1999999999999995E-2</v>
      </c>
      <c r="AM59" s="58">
        <v>0</v>
      </c>
      <c r="AN59" s="58">
        <v>7.1999999999999995E-2</v>
      </c>
      <c r="AO59" s="58">
        <v>0.997</v>
      </c>
      <c r="AP59" s="58">
        <v>0.66900000000000004</v>
      </c>
      <c r="AQ59" s="58">
        <v>0.32800000000000001</v>
      </c>
      <c r="AR59" s="58">
        <v>10.093</v>
      </c>
      <c r="AS59" s="58">
        <v>5.8559999999999999</v>
      </c>
      <c r="AT59" s="58">
        <v>4.2370000000000001</v>
      </c>
      <c r="AU59" s="58">
        <v>6.0250000000000004</v>
      </c>
      <c r="AV59" s="58">
        <v>4.226</v>
      </c>
      <c r="AW59" s="58">
        <v>1.7989999999999999</v>
      </c>
      <c r="AX59" s="58">
        <v>4.0679999999999996</v>
      </c>
      <c r="AY59" s="58">
        <v>1.629</v>
      </c>
      <c r="AZ59" s="58">
        <v>2.4390000000000001</v>
      </c>
      <c r="BA59" s="58">
        <v>6.5170000000000003</v>
      </c>
      <c r="BB59" s="58">
        <v>4.51</v>
      </c>
      <c r="BC59" s="58">
        <v>2.0070000000000001</v>
      </c>
      <c r="BD59" s="58">
        <v>4.7039999999999997</v>
      </c>
      <c r="BE59" s="58">
        <v>2.0019999999999998</v>
      </c>
      <c r="BF59" s="58">
        <v>2.702</v>
      </c>
      <c r="BG59" s="58">
        <v>4.63</v>
      </c>
      <c r="BH59" s="58">
        <v>2.0550000000000002</v>
      </c>
      <c r="BI59" s="58">
        <v>2.5750000000000002</v>
      </c>
      <c r="BJ59" s="58">
        <v>228.489</v>
      </c>
      <c r="BK59" s="58">
        <v>116.711</v>
      </c>
      <c r="BL59" s="58">
        <v>111.77800000000001</v>
      </c>
      <c r="BM59" s="58">
        <v>168.07499999999999</v>
      </c>
      <c r="BN59" s="58">
        <v>97.825000000000003</v>
      </c>
      <c r="BO59" s="58">
        <v>70.25</v>
      </c>
      <c r="BP59" s="58">
        <v>60.414000000000001</v>
      </c>
      <c r="BQ59" s="58">
        <v>18.885999999999999</v>
      </c>
      <c r="BR59" s="58">
        <v>41.527999999999999</v>
      </c>
      <c r="BS59" s="58">
        <v>23.277999999999999</v>
      </c>
      <c r="BT59" s="58">
        <v>10.442</v>
      </c>
      <c r="BU59" s="58">
        <v>12.837</v>
      </c>
      <c r="BV59" s="58">
        <v>3.94</v>
      </c>
      <c r="BW59" s="58">
        <v>1.5389999999999999</v>
      </c>
      <c r="BX59" s="58">
        <v>2.4009999999999998</v>
      </c>
      <c r="BY59" s="58">
        <v>1.1020000000000001</v>
      </c>
      <c r="BZ59" s="58">
        <v>0.95099999999999996</v>
      </c>
      <c r="CA59" s="58">
        <v>0.151</v>
      </c>
      <c r="CB59" s="58">
        <v>0.79600000000000004</v>
      </c>
      <c r="CC59" s="58">
        <v>0.79600000000000004</v>
      </c>
      <c r="CD59" s="58">
        <v>0</v>
      </c>
      <c r="CE59" s="58">
        <v>0.30599999999999999</v>
      </c>
      <c r="CF59" s="58">
        <v>0.155</v>
      </c>
      <c r="CG59" s="58">
        <v>0.151</v>
      </c>
      <c r="CH59" s="58">
        <v>2.8380000000000001</v>
      </c>
      <c r="CI59" s="58">
        <v>0.58799999999999997</v>
      </c>
      <c r="CJ59" s="58">
        <v>2.25</v>
      </c>
      <c r="CK59" s="58">
        <v>21.792999999999999</v>
      </c>
      <c r="CL59" s="58">
        <v>9.7989999999999995</v>
      </c>
      <c r="CM59" s="58">
        <v>11.994</v>
      </c>
      <c r="CN59" s="58">
        <v>8.5950000000000006</v>
      </c>
      <c r="CO59" s="58">
        <v>5.851</v>
      </c>
      <c r="CP59" s="58">
        <v>2.7440000000000002</v>
      </c>
      <c r="CQ59" s="58">
        <v>13.196999999999999</v>
      </c>
      <c r="CR59" s="58">
        <v>3.948</v>
      </c>
      <c r="CS59" s="58">
        <v>9.2490000000000006</v>
      </c>
      <c r="CT59" s="58">
        <v>9.2289999999999992</v>
      </c>
      <c r="CU59" s="58">
        <v>6.3339999999999996</v>
      </c>
      <c r="CV59" s="58">
        <v>2.895</v>
      </c>
      <c r="CW59" s="58">
        <v>14.05</v>
      </c>
      <c r="CX59" s="58">
        <v>4.1079999999999997</v>
      </c>
      <c r="CY59" s="58">
        <v>9.9420000000000002</v>
      </c>
      <c r="CZ59" s="58">
        <v>13.993</v>
      </c>
      <c r="DA59" s="58">
        <v>4.7439999999999998</v>
      </c>
      <c r="DB59" s="58">
        <v>9.2490000000000006</v>
      </c>
    </row>
    <row r="60" spans="1:106">
      <c r="A60" s="5">
        <v>43313</v>
      </c>
      <c r="B60" s="58">
        <v>10.324</v>
      </c>
      <c r="C60" s="58">
        <v>8.4149999999999991</v>
      </c>
      <c r="D60" s="58">
        <v>1.909</v>
      </c>
      <c r="E60" s="58">
        <v>23.158999999999999</v>
      </c>
      <c r="F60" s="58">
        <v>8.2789999999999999</v>
      </c>
      <c r="G60" s="58">
        <v>14.88</v>
      </c>
      <c r="H60" s="58">
        <v>12.763</v>
      </c>
      <c r="I60" s="58">
        <v>9.8339999999999996</v>
      </c>
      <c r="J60" s="58">
        <v>2.9289999999999998</v>
      </c>
      <c r="K60" s="58">
        <v>25.681999999999999</v>
      </c>
      <c r="L60" s="58">
        <v>9.4870000000000001</v>
      </c>
      <c r="M60" s="58">
        <v>16.193999999999999</v>
      </c>
      <c r="N60" s="58">
        <v>24.346</v>
      </c>
      <c r="O60" s="58">
        <v>8.8179999999999996</v>
      </c>
      <c r="P60" s="58">
        <v>15.528</v>
      </c>
      <c r="Q60" s="58">
        <v>133.24</v>
      </c>
      <c r="R60" s="58">
        <v>70.582999999999998</v>
      </c>
      <c r="S60" s="58">
        <v>62.656999999999996</v>
      </c>
      <c r="T60" s="58">
        <v>106.407</v>
      </c>
      <c r="U60" s="58">
        <v>61.658999999999999</v>
      </c>
      <c r="V60" s="58">
        <v>44.747999999999998</v>
      </c>
      <c r="W60" s="58">
        <v>26.832999999999998</v>
      </c>
      <c r="X60" s="58">
        <v>8.9239999999999995</v>
      </c>
      <c r="Y60" s="58">
        <v>17.908999999999999</v>
      </c>
      <c r="Z60" s="58">
        <v>12.471</v>
      </c>
      <c r="AA60" s="58">
        <v>7.2619999999999996</v>
      </c>
      <c r="AB60" s="58">
        <v>5.2089999999999996</v>
      </c>
      <c r="AC60" s="58">
        <v>2.11</v>
      </c>
      <c r="AD60" s="58">
        <v>1.6579999999999999</v>
      </c>
      <c r="AE60" s="58">
        <v>0.45200000000000001</v>
      </c>
      <c r="AF60" s="58">
        <v>1.3660000000000001</v>
      </c>
      <c r="AG60" s="58">
        <v>1.298</v>
      </c>
      <c r="AH60" s="58">
        <v>6.8000000000000005E-2</v>
      </c>
      <c r="AI60" s="58">
        <v>0.79500000000000004</v>
      </c>
      <c r="AJ60" s="58">
        <v>0.72699999999999998</v>
      </c>
      <c r="AK60" s="58">
        <v>6.8000000000000005E-2</v>
      </c>
      <c r="AL60" s="58">
        <v>0.57099999999999995</v>
      </c>
      <c r="AM60" s="58">
        <v>0.57099999999999995</v>
      </c>
      <c r="AN60" s="58">
        <v>0</v>
      </c>
      <c r="AO60" s="58">
        <v>0.74299999999999999</v>
      </c>
      <c r="AP60" s="58">
        <v>0.36</v>
      </c>
      <c r="AQ60" s="58">
        <v>0.38400000000000001</v>
      </c>
      <c r="AR60" s="58">
        <v>11.052</v>
      </c>
      <c r="AS60" s="58">
        <v>6.0830000000000002</v>
      </c>
      <c r="AT60" s="58">
        <v>4.9690000000000003</v>
      </c>
      <c r="AU60" s="58">
        <v>5.7679999999999998</v>
      </c>
      <c r="AV60" s="58">
        <v>4.2240000000000002</v>
      </c>
      <c r="AW60" s="58">
        <v>1.544</v>
      </c>
      <c r="AX60" s="58">
        <v>5.2850000000000001</v>
      </c>
      <c r="AY60" s="58">
        <v>1.859</v>
      </c>
      <c r="AZ60" s="58">
        <v>3.4249999999999998</v>
      </c>
      <c r="BA60" s="58">
        <v>6.8259999999999996</v>
      </c>
      <c r="BB60" s="58">
        <v>5.2140000000000004</v>
      </c>
      <c r="BC60" s="58">
        <v>1.6120000000000001</v>
      </c>
      <c r="BD60" s="58">
        <v>5.6449999999999996</v>
      </c>
      <c r="BE60" s="58">
        <v>2.048</v>
      </c>
      <c r="BF60" s="58">
        <v>3.597</v>
      </c>
      <c r="BG60" s="58">
        <v>6.08</v>
      </c>
      <c r="BH60" s="58">
        <v>2.5859999999999999</v>
      </c>
      <c r="BI60" s="58">
        <v>3.4940000000000002</v>
      </c>
      <c r="BJ60" s="58">
        <v>224.56700000000001</v>
      </c>
      <c r="BK60" s="58">
        <v>115.378</v>
      </c>
      <c r="BL60" s="58">
        <v>109.18899999999999</v>
      </c>
      <c r="BM60" s="58">
        <v>159.012</v>
      </c>
      <c r="BN60" s="58">
        <v>93.088999999999999</v>
      </c>
      <c r="BO60" s="58">
        <v>65.923000000000002</v>
      </c>
      <c r="BP60" s="58">
        <v>65.555000000000007</v>
      </c>
      <c r="BQ60" s="58">
        <v>22.289000000000001</v>
      </c>
      <c r="BR60" s="58">
        <v>43.265999999999998</v>
      </c>
      <c r="BS60" s="58">
        <v>25.361000000000001</v>
      </c>
      <c r="BT60" s="58">
        <v>14.563000000000001</v>
      </c>
      <c r="BU60" s="58">
        <v>10.798</v>
      </c>
      <c r="BV60" s="58">
        <v>6.0919999999999996</v>
      </c>
      <c r="BW60" s="58">
        <v>3.6309999999999998</v>
      </c>
      <c r="BX60" s="58">
        <v>2.4609999999999999</v>
      </c>
      <c r="BY60" s="58">
        <v>1.9570000000000001</v>
      </c>
      <c r="BZ60" s="58">
        <v>1.6659999999999999</v>
      </c>
      <c r="CA60" s="58">
        <v>0.29199999999999998</v>
      </c>
      <c r="CB60" s="58">
        <v>0.76900000000000002</v>
      </c>
      <c r="CC60" s="58">
        <v>0.63300000000000001</v>
      </c>
      <c r="CD60" s="58">
        <v>0.13600000000000001</v>
      </c>
      <c r="CE60" s="58">
        <v>1.1890000000000001</v>
      </c>
      <c r="CF60" s="58">
        <v>1.0329999999999999</v>
      </c>
      <c r="CG60" s="58">
        <v>0.156</v>
      </c>
      <c r="CH60" s="58">
        <v>4.1340000000000003</v>
      </c>
      <c r="CI60" s="58">
        <v>1.9650000000000001</v>
      </c>
      <c r="CJ60" s="58">
        <v>2.169</v>
      </c>
      <c r="CK60" s="58">
        <v>22.102</v>
      </c>
      <c r="CL60" s="58">
        <v>12.355</v>
      </c>
      <c r="CM60" s="58">
        <v>9.7479999999999993</v>
      </c>
      <c r="CN60" s="58">
        <v>8.3680000000000003</v>
      </c>
      <c r="CO60" s="58">
        <v>5.9320000000000004</v>
      </c>
      <c r="CP60" s="58">
        <v>2.4359999999999999</v>
      </c>
      <c r="CQ60" s="58">
        <v>13.734999999999999</v>
      </c>
      <c r="CR60" s="58">
        <v>6.423</v>
      </c>
      <c r="CS60" s="58">
        <v>7.3120000000000003</v>
      </c>
      <c r="CT60" s="58">
        <v>9.7070000000000007</v>
      </c>
      <c r="CU60" s="58">
        <v>7.1150000000000002</v>
      </c>
      <c r="CV60" s="58">
        <v>2.5920000000000001</v>
      </c>
      <c r="CW60" s="58">
        <v>15.654</v>
      </c>
      <c r="CX60" s="58">
        <v>7.4480000000000004</v>
      </c>
      <c r="CY60" s="58">
        <v>8.2059999999999995</v>
      </c>
      <c r="CZ60" s="58">
        <v>14.503</v>
      </c>
      <c r="DA60" s="58">
        <v>7.056</v>
      </c>
      <c r="DB60" s="58">
        <v>7.4480000000000004</v>
      </c>
    </row>
    <row r="61" spans="1:106">
      <c r="A61" s="5">
        <v>43344</v>
      </c>
      <c r="B61" s="58">
        <v>9.5519999999999996</v>
      </c>
      <c r="C61" s="58">
        <v>7.2</v>
      </c>
      <c r="D61" s="58">
        <v>2.3530000000000002</v>
      </c>
      <c r="E61" s="58">
        <v>25.117000000000001</v>
      </c>
      <c r="F61" s="58">
        <v>9.4760000000000009</v>
      </c>
      <c r="G61" s="58">
        <v>15.641</v>
      </c>
      <c r="H61" s="58">
        <v>11.826000000000001</v>
      </c>
      <c r="I61" s="58">
        <v>8.6720000000000006</v>
      </c>
      <c r="J61" s="58">
        <v>3.1539999999999999</v>
      </c>
      <c r="K61" s="58">
        <v>28.407</v>
      </c>
      <c r="L61" s="58">
        <v>11.241</v>
      </c>
      <c r="M61" s="58">
        <v>17.166</v>
      </c>
      <c r="N61" s="58">
        <v>26.422999999999998</v>
      </c>
      <c r="O61" s="58">
        <v>10.28</v>
      </c>
      <c r="P61" s="58">
        <v>16.143000000000001</v>
      </c>
      <c r="Q61" s="58">
        <v>133.50800000000001</v>
      </c>
      <c r="R61" s="58">
        <v>71.304000000000002</v>
      </c>
      <c r="S61" s="58">
        <v>62.204000000000001</v>
      </c>
      <c r="T61" s="58">
        <v>106.33499999999999</v>
      </c>
      <c r="U61" s="58">
        <v>61.402000000000001</v>
      </c>
      <c r="V61" s="58">
        <v>44.933</v>
      </c>
      <c r="W61" s="58">
        <v>27.172999999999998</v>
      </c>
      <c r="X61" s="58">
        <v>9.9019999999999992</v>
      </c>
      <c r="Y61" s="58">
        <v>17.271000000000001</v>
      </c>
      <c r="Z61" s="58">
        <v>11.614000000000001</v>
      </c>
      <c r="AA61" s="58">
        <v>6.9880000000000004</v>
      </c>
      <c r="AB61" s="58">
        <v>4.6260000000000003</v>
      </c>
      <c r="AC61" s="58">
        <v>1.8979999999999999</v>
      </c>
      <c r="AD61" s="58">
        <v>1.0860000000000001</v>
      </c>
      <c r="AE61" s="58">
        <v>0.81200000000000006</v>
      </c>
      <c r="AF61" s="58">
        <v>1.139</v>
      </c>
      <c r="AG61" s="58">
        <v>0.91200000000000003</v>
      </c>
      <c r="AH61" s="58">
        <v>0.22700000000000001</v>
      </c>
      <c r="AI61" s="58">
        <v>0.74199999999999999</v>
      </c>
      <c r="AJ61" s="58">
        <v>0.59399999999999997</v>
      </c>
      <c r="AK61" s="58">
        <v>0.14699999999999999</v>
      </c>
      <c r="AL61" s="58">
        <v>0.39800000000000002</v>
      </c>
      <c r="AM61" s="58">
        <v>0.318</v>
      </c>
      <c r="AN61" s="58">
        <v>0.08</v>
      </c>
      <c r="AO61" s="58">
        <v>0.75800000000000001</v>
      </c>
      <c r="AP61" s="58">
        <v>0.17399999999999999</v>
      </c>
      <c r="AQ61" s="58">
        <v>0.58399999999999996</v>
      </c>
      <c r="AR61" s="58">
        <v>10.404999999999999</v>
      </c>
      <c r="AS61" s="58">
        <v>6.3550000000000004</v>
      </c>
      <c r="AT61" s="58">
        <v>4.05</v>
      </c>
      <c r="AU61" s="58">
        <v>5.3220000000000001</v>
      </c>
      <c r="AV61" s="58">
        <v>4.056</v>
      </c>
      <c r="AW61" s="58">
        <v>1.266</v>
      </c>
      <c r="AX61" s="58">
        <v>5.0819999999999999</v>
      </c>
      <c r="AY61" s="58">
        <v>2.2989999999999999</v>
      </c>
      <c r="AZ61" s="58">
        <v>2.7829999999999999</v>
      </c>
      <c r="BA61" s="58">
        <v>6.1159999999999997</v>
      </c>
      <c r="BB61" s="58">
        <v>4.6890000000000001</v>
      </c>
      <c r="BC61" s="58">
        <v>1.4279999999999999</v>
      </c>
      <c r="BD61" s="58">
        <v>5.4980000000000002</v>
      </c>
      <c r="BE61" s="58">
        <v>2.2989999999999999</v>
      </c>
      <c r="BF61" s="58">
        <v>3.198</v>
      </c>
      <c r="BG61" s="58">
        <v>5.8239999999999998</v>
      </c>
      <c r="BH61" s="58">
        <v>2.8940000000000001</v>
      </c>
      <c r="BI61" s="58">
        <v>2.93</v>
      </c>
      <c r="BJ61" s="58">
        <v>227.29300000000001</v>
      </c>
      <c r="BK61" s="58">
        <v>116.901</v>
      </c>
      <c r="BL61" s="58">
        <v>110.392</v>
      </c>
      <c r="BM61" s="58">
        <v>162.65100000000001</v>
      </c>
      <c r="BN61" s="58">
        <v>94.956000000000003</v>
      </c>
      <c r="BO61" s="58">
        <v>67.694999999999993</v>
      </c>
      <c r="BP61" s="58">
        <v>64.641000000000005</v>
      </c>
      <c r="BQ61" s="58">
        <v>21.943999999999999</v>
      </c>
      <c r="BR61" s="58">
        <v>42.697000000000003</v>
      </c>
      <c r="BS61" s="58">
        <v>25.026</v>
      </c>
      <c r="BT61" s="58">
        <v>13.781000000000001</v>
      </c>
      <c r="BU61" s="58">
        <v>11.244</v>
      </c>
      <c r="BV61" s="58">
        <v>5.5960000000000001</v>
      </c>
      <c r="BW61" s="58">
        <v>2.907</v>
      </c>
      <c r="BX61" s="58">
        <v>2.6890000000000001</v>
      </c>
      <c r="BY61" s="58">
        <v>2.2829999999999999</v>
      </c>
      <c r="BZ61" s="58">
        <v>1.0880000000000001</v>
      </c>
      <c r="CA61" s="58">
        <v>1.1950000000000001</v>
      </c>
      <c r="CB61" s="58">
        <v>1.194</v>
      </c>
      <c r="CC61" s="58">
        <v>0.64</v>
      </c>
      <c r="CD61" s="58">
        <v>0.55500000000000005</v>
      </c>
      <c r="CE61" s="58">
        <v>1.089</v>
      </c>
      <c r="CF61" s="58">
        <v>0.44800000000000001</v>
      </c>
      <c r="CG61" s="58">
        <v>0.64100000000000001</v>
      </c>
      <c r="CH61" s="58">
        <v>3.3130000000000002</v>
      </c>
      <c r="CI61" s="58">
        <v>1.819</v>
      </c>
      <c r="CJ61" s="58">
        <v>1.494</v>
      </c>
      <c r="CK61" s="58">
        <v>21.475000000000001</v>
      </c>
      <c r="CL61" s="58">
        <v>11.986000000000001</v>
      </c>
      <c r="CM61" s="58">
        <v>9.4890000000000008</v>
      </c>
      <c r="CN61" s="58">
        <v>6.84</v>
      </c>
      <c r="CO61" s="58">
        <v>5.1109999999999998</v>
      </c>
      <c r="CP61" s="58">
        <v>1.7290000000000001</v>
      </c>
      <c r="CQ61" s="58">
        <v>14.635</v>
      </c>
      <c r="CR61" s="58">
        <v>6.8760000000000003</v>
      </c>
      <c r="CS61" s="58">
        <v>7.76</v>
      </c>
      <c r="CT61" s="58">
        <v>8.5779999999999994</v>
      </c>
      <c r="CU61" s="58">
        <v>5.8940000000000001</v>
      </c>
      <c r="CV61" s="58">
        <v>2.6840000000000002</v>
      </c>
      <c r="CW61" s="58">
        <v>16.448</v>
      </c>
      <c r="CX61" s="58">
        <v>7.8879999999999999</v>
      </c>
      <c r="CY61" s="58">
        <v>8.56</v>
      </c>
      <c r="CZ61" s="58">
        <v>15.83</v>
      </c>
      <c r="DA61" s="58">
        <v>7.5149999999999997</v>
      </c>
      <c r="DB61" s="58">
        <v>8.3140000000000001</v>
      </c>
    </row>
    <row r="62" spans="1:106">
      <c r="A62" s="5">
        <v>43374</v>
      </c>
      <c r="B62" s="58">
        <v>9.2100000000000009</v>
      </c>
      <c r="C62" s="58">
        <v>7.1689999999999996</v>
      </c>
      <c r="D62" s="58">
        <v>2.0409999999999999</v>
      </c>
      <c r="E62" s="58">
        <v>26.673999999999999</v>
      </c>
      <c r="F62" s="58">
        <v>9.6039999999999992</v>
      </c>
      <c r="G62" s="58">
        <v>17.068999999999999</v>
      </c>
      <c r="H62" s="58">
        <v>10.332000000000001</v>
      </c>
      <c r="I62" s="58">
        <v>8.0779999999999994</v>
      </c>
      <c r="J62" s="58">
        <v>2.254</v>
      </c>
      <c r="K62" s="58">
        <v>29.451000000000001</v>
      </c>
      <c r="L62" s="58">
        <v>11.06</v>
      </c>
      <c r="M62" s="58">
        <v>18.390999999999998</v>
      </c>
      <c r="N62" s="58">
        <v>28.056000000000001</v>
      </c>
      <c r="O62" s="58">
        <v>10.773</v>
      </c>
      <c r="P62" s="58">
        <v>17.283000000000001</v>
      </c>
      <c r="Q62" s="58">
        <v>133.58699999999999</v>
      </c>
      <c r="R62" s="58">
        <v>71.046000000000006</v>
      </c>
      <c r="S62" s="58">
        <v>62.540999999999997</v>
      </c>
      <c r="T62" s="58">
        <v>104.949</v>
      </c>
      <c r="U62" s="58">
        <v>61.21</v>
      </c>
      <c r="V62" s="58">
        <v>43.738999999999997</v>
      </c>
      <c r="W62" s="58">
        <v>28.638000000000002</v>
      </c>
      <c r="X62" s="58">
        <v>9.8360000000000003</v>
      </c>
      <c r="Y62" s="58">
        <v>18.802</v>
      </c>
      <c r="Z62" s="58">
        <v>13.763999999999999</v>
      </c>
      <c r="AA62" s="58">
        <v>8.7669999999999995</v>
      </c>
      <c r="AB62" s="58">
        <v>4.9969999999999999</v>
      </c>
      <c r="AC62" s="58">
        <v>1.335</v>
      </c>
      <c r="AD62" s="58">
        <v>0.75900000000000001</v>
      </c>
      <c r="AE62" s="58">
        <v>0.57599999999999996</v>
      </c>
      <c r="AF62" s="58">
        <v>0.90200000000000002</v>
      </c>
      <c r="AG62" s="58">
        <v>0.67100000000000004</v>
      </c>
      <c r="AH62" s="58">
        <v>0.23100000000000001</v>
      </c>
      <c r="AI62" s="58">
        <v>0.45400000000000001</v>
      </c>
      <c r="AJ62" s="58">
        <v>0.39200000000000002</v>
      </c>
      <c r="AK62" s="58">
        <v>6.2E-2</v>
      </c>
      <c r="AL62" s="58">
        <v>0.44800000000000001</v>
      </c>
      <c r="AM62" s="58">
        <v>0.27900000000000003</v>
      </c>
      <c r="AN62" s="58">
        <v>0.16900000000000001</v>
      </c>
      <c r="AO62" s="58">
        <v>0.433</v>
      </c>
      <c r="AP62" s="58">
        <v>8.7999999999999995E-2</v>
      </c>
      <c r="AQ62" s="58">
        <v>0.34599999999999997</v>
      </c>
      <c r="AR62" s="58">
        <v>12.858000000000001</v>
      </c>
      <c r="AS62" s="58">
        <v>8.2859999999999996</v>
      </c>
      <c r="AT62" s="58">
        <v>4.5730000000000004</v>
      </c>
      <c r="AU62" s="58">
        <v>7.7779999999999996</v>
      </c>
      <c r="AV62" s="58">
        <v>6.2</v>
      </c>
      <c r="AW62" s="58">
        <v>1.5780000000000001</v>
      </c>
      <c r="AX62" s="58">
        <v>5.08</v>
      </c>
      <c r="AY62" s="58">
        <v>2.085</v>
      </c>
      <c r="AZ62" s="58">
        <v>2.9950000000000001</v>
      </c>
      <c r="BA62" s="58">
        <v>8.49</v>
      </c>
      <c r="BB62" s="58">
        <v>6.6820000000000004</v>
      </c>
      <c r="BC62" s="58">
        <v>1.8080000000000001</v>
      </c>
      <c r="BD62" s="58">
        <v>5.274</v>
      </c>
      <c r="BE62" s="58">
        <v>2.085</v>
      </c>
      <c r="BF62" s="58">
        <v>3.1880000000000002</v>
      </c>
      <c r="BG62" s="58">
        <v>5.5339999999999998</v>
      </c>
      <c r="BH62" s="58">
        <v>2.4769999999999999</v>
      </c>
      <c r="BI62" s="58">
        <v>3.0569999999999999</v>
      </c>
      <c r="BJ62" s="58">
        <v>223.559</v>
      </c>
      <c r="BK62" s="58">
        <v>114.86499999999999</v>
      </c>
      <c r="BL62" s="58">
        <v>108.694</v>
      </c>
      <c r="BM62" s="58">
        <v>160.56899999999999</v>
      </c>
      <c r="BN62" s="58">
        <v>93.73</v>
      </c>
      <c r="BO62" s="58">
        <v>66.838999999999999</v>
      </c>
      <c r="BP62" s="58">
        <v>62.99</v>
      </c>
      <c r="BQ62" s="58">
        <v>21.135000000000002</v>
      </c>
      <c r="BR62" s="58">
        <v>41.854999999999997</v>
      </c>
      <c r="BS62" s="58">
        <v>23.748999999999999</v>
      </c>
      <c r="BT62" s="58">
        <v>13.975</v>
      </c>
      <c r="BU62" s="58">
        <v>9.7739999999999991</v>
      </c>
      <c r="BV62" s="58">
        <v>5.2889999999999997</v>
      </c>
      <c r="BW62" s="58">
        <v>3.8980000000000001</v>
      </c>
      <c r="BX62" s="58">
        <v>1.391</v>
      </c>
      <c r="BY62" s="58">
        <v>1.5549999999999999</v>
      </c>
      <c r="BZ62" s="58">
        <v>0.89200000000000002</v>
      </c>
      <c r="CA62" s="58">
        <v>0.66300000000000003</v>
      </c>
      <c r="CB62" s="58">
        <v>0.64600000000000002</v>
      </c>
      <c r="CC62" s="58">
        <v>0.33800000000000002</v>
      </c>
      <c r="CD62" s="58">
        <v>0.308</v>
      </c>
      <c r="CE62" s="58">
        <v>0.90900000000000003</v>
      </c>
      <c r="CF62" s="58">
        <v>0.55400000000000005</v>
      </c>
      <c r="CG62" s="58">
        <v>0.35599999999999998</v>
      </c>
      <c r="CH62" s="58">
        <v>3.734</v>
      </c>
      <c r="CI62" s="58">
        <v>3.0070000000000001</v>
      </c>
      <c r="CJ62" s="58">
        <v>0.72699999999999998</v>
      </c>
      <c r="CK62" s="58">
        <v>20.353000000000002</v>
      </c>
      <c r="CL62" s="58">
        <v>11.691000000000001</v>
      </c>
      <c r="CM62" s="58">
        <v>8.6609999999999996</v>
      </c>
      <c r="CN62" s="58">
        <v>7.0309999999999997</v>
      </c>
      <c r="CO62" s="58">
        <v>5.46</v>
      </c>
      <c r="CP62" s="58">
        <v>1.57</v>
      </c>
      <c r="CQ62" s="58">
        <v>13.321999999999999</v>
      </c>
      <c r="CR62" s="58">
        <v>6.2309999999999999</v>
      </c>
      <c r="CS62" s="58">
        <v>7.0910000000000002</v>
      </c>
      <c r="CT62" s="58">
        <v>8.266</v>
      </c>
      <c r="CU62" s="58">
        <v>6.16</v>
      </c>
      <c r="CV62" s="58">
        <v>2.1059999999999999</v>
      </c>
      <c r="CW62" s="58">
        <v>15.483000000000001</v>
      </c>
      <c r="CX62" s="58">
        <v>7.8150000000000004</v>
      </c>
      <c r="CY62" s="58">
        <v>7.6680000000000001</v>
      </c>
      <c r="CZ62" s="58">
        <v>13.968</v>
      </c>
      <c r="DA62" s="58">
        <v>6.569</v>
      </c>
      <c r="DB62" s="58">
        <v>7.399</v>
      </c>
    </row>
    <row r="63" spans="1:106">
      <c r="A63" s="5">
        <v>43405</v>
      </c>
      <c r="B63" s="58">
        <v>11.148</v>
      </c>
      <c r="C63" s="58">
        <v>7.7610000000000001</v>
      </c>
      <c r="D63" s="58">
        <v>3.3860000000000001</v>
      </c>
      <c r="E63" s="58">
        <v>26.077999999999999</v>
      </c>
      <c r="F63" s="58">
        <v>8.6289999999999996</v>
      </c>
      <c r="G63" s="58">
        <v>17.449000000000002</v>
      </c>
      <c r="H63" s="58">
        <v>12.420999999999999</v>
      </c>
      <c r="I63" s="58">
        <v>8.6289999999999996</v>
      </c>
      <c r="J63" s="58">
        <v>3.7919999999999998</v>
      </c>
      <c r="K63" s="58">
        <v>28.763000000000002</v>
      </c>
      <c r="L63" s="58">
        <v>10.093999999999999</v>
      </c>
      <c r="M63" s="58">
        <v>18.670000000000002</v>
      </c>
      <c r="N63" s="58">
        <v>27.184000000000001</v>
      </c>
      <c r="O63" s="58">
        <v>9.2949999999999999</v>
      </c>
      <c r="P63" s="58">
        <v>17.888999999999999</v>
      </c>
      <c r="Q63" s="58">
        <v>135.00899999999999</v>
      </c>
      <c r="R63" s="58">
        <v>71.938999999999993</v>
      </c>
      <c r="S63" s="58">
        <v>63.07</v>
      </c>
      <c r="T63" s="58">
        <v>107.872</v>
      </c>
      <c r="U63" s="58">
        <v>62.021999999999998</v>
      </c>
      <c r="V63" s="58">
        <v>45.85</v>
      </c>
      <c r="W63" s="58">
        <v>27.137</v>
      </c>
      <c r="X63" s="58">
        <v>9.9169999999999998</v>
      </c>
      <c r="Y63" s="58">
        <v>17.22</v>
      </c>
      <c r="Z63" s="58">
        <v>14.047000000000001</v>
      </c>
      <c r="AA63" s="58">
        <v>8.0470000000000006</v>
      </c>
      <c r="AB63" s="58">
        <v>6</v>
      </c>
      <c r="AC63" s="58">
        <v>1.1919999999999999</v>
      </c>
      <c r="AD63" s="58">
        <v>0.94699999999999995</v>
      </c>
      <c r="AE63" s="58">
        <v>0.245</v>
      </c>
      <c r="AF63" s="58">
        <v>0.94199999999999995</v>
      </c>
      <c r="AG63" s="58">
        <v>0.86399999999999999</v>
      </c>
      <c r="AH63" s="58">
        <v>7.8E-2</v>
      </c>
      <c r="AI63" s="58">
        <v>0.55800000000000005</v>
      </c>
      <c r="AJ63" s="58">
        <v>0.48</v>
      </c>
      <c r="AK63" s="58">
        <v>7.8E-2</v>
      </c>
      <c r="AL63" s="58">
        <v>0.38400000000000001</v>
      </c>
      <c r="AM63" s="58">
        <v>0.38400000000000001</v>
      </c>
      <c r="AN63" s="58">
        <v>0</v>
      </c>
      <c r="AO63" s="58">
        <v>0.249</v>
      </c>
      <c r="AP63" s="58">
        <v>8.3000000000000004E-2</v>
      </c>
      <c r="AQ63" s="58">
        <v>0.16700000000000001</v>
      </c>
      <c r="AR63" s="58">
        <v>13.188000000000001</v>
      </c>
      <c r="AS63" s="58">
        <v>7.3550000000000004</v>
      </c>
      <c r="AT63" s="58">
        <v>5.8330000000000002</v>
      </c>
      <c r="AU63" s="58">
        <v>7.5</v>
      </c>
      <c r="AV63" s="58">
        <v>5.2350000000000003</v>
      </c>
      <c r="AW63" s="58">
        <v>2.2650000000000001</v>
      </c>
      <c r="AX63" s="58">
        <v>5.6879999999999997</v>
      </c>
      <c r="AY63" s="58">
        <v>2.12</v>
      </c>
      <c r="AZ63" s="58">
        <v>3.5680000000000001</v>
      </c>
      <c r="BA63" s="58">
        <v>8.1920000000000002</v>
      </c>
      <c r="BB63" s="58">
        <v>5.9269999999999996</v>
      </c>
      <c r="BC63" s="58">
        <v>2.2650000000000001</v>
      </c>
      <c r="BD63" s="58">
        <v>5.8550000000000004</v>
      </c>
      <c r="BE63" s="58">
        <v>2.12</v>
      </c>
      <c r="BF63" s="58">
        <v>3.7349999999999999</v>
      </c>
      <c r="BG63" s="58">
        <v>6.2469999999999999</v>
      </c>
      <c r="BH63" s="58">
        <v>2.6</v>
      </c>
      <c r="BI63" s="58">
        <v>3.6459999999999999</v>
      </c>
      <c r="BJ63" s="58">
        <v>229.55</v>
      </c>
      <c r="BK63" s="58">
        <v>116.21599999999999</v>
      </c>
      <c r="BL63" s="58">
        <v>113.333</v>
      </c>
      <c r="BM63" s="58">
        <v>161.40799999999999</v>
      </c>
      <c r="BN63" s="58">
        <v>92.879000000000005</v>
      </c>
      <c r="BO63" s="58">
        <v>68.528999999999996</v>
      </c>
      <c r="BP63" s="58">
        <v>68.141999999999996</v>
      </c>
      <c r="BQ63" s="58">
        <v>23.338000000000001</v>
      </c>
      <c r="BR63" s="58">
        <v>44.804000000000002</v>
      </c>
      <c r="BS63" s="58">
        <v>31.055</v>
      </c>
      <c r="BT63" s="58">
        <v>17.689</v>
      </c>
      <c r="BU63" s="58">
        <v>13.365</v>
      </c>
      <c r="BV63" s="58">
        <v>5.7460000000000004</v>
      </c>
      <c r="BW63" s="58">
        <v>2.8410000000000002</v>
      </c>
      <c r="BX63" s="58">
        <v>2.9049999999999998</v>
      </c>
      <c r="BY63" s="58">
        <v>1.7110000000000001</v>
      </c>
      <c r="BZ63" s="58">
        <v>1.1910000000000001</v>
      </c>
      <c r="CA63" s="58">
        <v>0.52</v>
      </c>
      <c r="CB63" s="58">
        <v>0.316</v>
      </c>
      <c r="CC63" s="58">
        <v>0.316</v>
      </c>
      <c r="CD63" s="58">
        <v>0</v>
      </c>
      <c r="CE63" s="58">
        <v>1.395</v>
      </c>
      <c r="CF63" s="58">
        <v>0.875</v>
      </c>
      <c r="CG63" s="58">
        <v>0.52</v>
      </c>
      <c r="CH63" s="58">
        <v>4.0350000000000001</v>
      </c>
      <c r="CI63" s="58">
        <v>1.65</v>
      </c>
      <c r="CJ63" s="58">
        <v>2.3849999999999998</v>
      </c>
      <c r="CK63" s="58">
        <v>27.981999999999999</v>
      </c>
      <c r="CL63" s="58">
        <v>16.009</v>
      </c>
      <c r="CM63" s="58">
        <v>11.973000000000001</v>
      </c>
      <c r="CN63" s="58">
        <v>8.9849999999999994</v>
      </c>
      <c r="CO63" s="58">
        <v>7.1710000000000003</v>
      </c>
      <c r="CP63" s="58">
        <v>1.8140000000000001</v>
      </c>
      <c r="CQ63" s="58">
        <v>18.997</v>
      </c>
      <c r="CR63" s="58">
        <v>8.8379999999999992</v>
      </c>
      <c r="CS63" s="58">
        <v>10.159000000000001</v>
      </c>
      <c r="CT63" s="58">
        <v>10.53</v>
      </c>
      <c r="CU63" s="58">
        <v>8.3620000000000001</v>
      </c>
      <c r="CV63" s="58">
        <v>2.1680000000000001</v>
      </c>
      <c r="CW63" s="58">
        <v>20.524999999999999</v>
      </c>
      <c r="CX63" s="58">
        <v>9.327</v>
      </c>
      <c r="CY63" s="58">
        <v>11.196999999999999</v>
      </c>
      <c r="CZ63" s="58">
        <v>19.314</v>
      </c>
      <c r="DA63" s="58">
        <v>9.1539999999999999</v>
      </c>
      <c r="DB63" s="58">
        <v>10.159000000000001</v>
      </c>
    </row>
    <row r="64" spans="1:106">
      <c r="A64" s="5">
        <v>43435</v>
      </c>
      <c r="B64" s="58">
        <v>10.146000000000001</v>
      </c>
      <c r="C64" s="58">
        <v>6.9059999999999997</v>
      </c>
      <c r="D64" s="58">
        <v>3.24</v>
      </c>
      <c r="E64" s="58">
        <v>26.367000000000001</v>
      </c>
      <c r="F64" s="58">
        <v>9.52</v>
      </c>
      <c r="G64" s="58">
        <v>16.847000000000001</v>
      </c>
      <c r="H64" s="58">
        <v>11.826000000000001</v>
      </c>
      <c r="I64" s="58">
        <v>8.4760000000000009</v>
      </c>
      <c r="J64" s="58">
        <v>3.35</v>
      </c>
      <c r="K64" s="58">
        <v>28.501000000000001</v>
      </c>
      <c r="L64" s="58">
        <v>10.444000000000001</v>
      </c>
      <c r="M64" s="58">
        <v>18.056999999999999</v>
      </c>
      <c r="N64" s="58">
        <v>27.47</v>
      </c>
      <c r="O64" s="58">
        <v>10.622999999999999</v>
      </c>
      <c r="P64" s="58">
        <v>16.847000000000001</v>
      </c>
      <c r="Q64" s="58">
        <v>134.76900000000001</v>
      </c>
      <c r="R64" s="58">
        <v>71.674999999999997</v>
      </c>
      <c r="S64" s="58">
        <v>63.094999999999999</v>
      </c>
      <c r="T64" s="58">
        <v>107.17400000000001</v>
      </c>
      <c r="U64" s="58">
        <v>61.146999999999998</v>
      </c>
      <c r="V64" s="58">
        <v>46.027000000000001</v>
      </c>
      <c r="W64" s="58">
        <v>27.596</v>
      </c>
      <c r="X64" s="58">
        <v>10.528</v>
      </c>
      <c r="Y64" s="58">
        <v>17.068000000000001</v>
      </c>
      <c r="Z64" s="58">
        <v>13.624000000000001</v>
      </c>
      <c r="AA64" s="58">
        <v>7.9820000000000002</v>
      </c>
      <c r="AB64" s="58">
        <v>5.6420000000000003</v>
      </c>
      <c r="AC64" s="58">
        <v>1.077</v>
      </c>
      <c r="AD64" s="58">
        <v>0.69499999999999995</v>
      </c>
      <c r="AE64" s="58">
        <v>0.38200000000000001</v>
      </c>
      <c r="AF64" s="58">
        <v>0.39700000000000002</v>
      </c>
      <c r="AG64" s="58">
        <v>0.24299999999999999</v>
      </c>
      <c r="AH64" s="58">
        <v>0.154</v>
      </c>
      <c r="AI64" s="58">
        <v>0.16</v>
      </c>
      <c r="AJ64" s="58">
        <v>0.16</v>
      </c>
      <c r="AK64" s="58">
        <v>0</v>
      </c>
      <c r="AL64" s="58">
        <v>0.23799999999999999</v>
      </c>
      <c r="AM64" s="58">
        <v>8.4000000000000005E-2</v>
      </c>
      <c r="AN64" s="58">
        <v>0.154</v>
      </c>
      <c r="AO64" s="58">
        <v>0.67900000000000005</v>
      </c>
      <c r="AP64" s="58">
        <v>0.45100000000000001</v>
      </c>
      <c r="AQ64" s="58">
        <v>0.22800000000000001</v>
      </c>
      <c r="AR64" s="58">
        <v>13.317</v>
      </c>
      <c r="AS64" s="58">
        <v>7.9820000000000002</v>
      </c>
      <c r="AT64" s="58">
        <v>5.335</v>
      </c>
      <c r="AU64" s="58">
        <v>6.6970000000000001</v>
      </c>
      <c r="AV64" s="58">
        <v>4.7430000000000003</v>
      </c>
      <c r="AW64" s="58">
        <v>1.9530000000000001</v>
      </c>
      <c r="AX64" s="58">
        <v>6.6210000000000004</v>
      </c>
      <c r="AY64" s="58">
        <v>3.2389999999999999</v>
      </c>
      <c r="AZ64" s="58">
        <v>3.3820000000000001</v>
      </c>
      <c r="BA64" s="58">
        <v>6.7750000000000004</v>
      </c>
      <c r="BB64" s="58">
        <v>4.7430000000000003</v>
      </c>
      <c r="BC64" s="58">
        <v>2.032</v>
      </c>
      <c r="BD64" s="58">
        <v>6.8490000000000002</v>
      </c>
      <c r="BE64" s="58">
        <v>3.2389999999999999</v>
      </c>
      <c r="BF64" s="58">
        <v>3.61</v>
      </c>
      <c r="BG64" s="58">
        <v>6.78</v>
      </c>
      <c r="BH64" s="58">
        <v>3.399</v>
      </c>
      <c r="BI64" s="58">
        <v>3.3820000000000001</v>
      </c>
      <c r="BJ64" s="58">
        <v>228.82900000000001</v>
      </c>
      <c r="BK64" s="58">
        <v>115.72799999999999</v>
      </c>
      <c r="BL64" s="58">
        <v>113.101</v>
      </c>
      <c r="BM64" s="58">
        <v>167.43</v>
      </c>
      <c r="BN64" s="58">
        <v>95.777000000000001</v>
      </c>
      <c r="BO64" s="58">
        <v>71.653999999999996</v>
      </c>
      <c r="BP64" s="58">
        <v>61.399000000000001</v>
      </c>
      <c r="BQ64" s="58">
        <v>19.952000000000002</v>
      </c>
      <c r="BR64" s="58">
        <v>41.447000000000003</v>
      </c>
      <c r="BS64" s="58">
        <v>27.753</v>
      </c>
      <c r="BT64" s="58">
        <v>14.798999999999999</v>
      </c>
      <c r="BU64" s="58">
        <v>12.954000000000001</v>
      </c>
      <c r="BV64" s="58">
        <v>6.75</v>
      </c>
      <c r="BW64" s="58">
        <v>3.8410000000000002</v>
      </c>
      <c r="BX64" s="58">
        <v>2.91</v>
      </c>
      <c r="BY64" s="58">
        <v>1.6619999999999999</v>
      </c>
      <c r="BZ64" s="58">
        <v>1.494</v>
      </c>
      <c r="CA64" s="58">
        <v>0.16700000000000001</v>
      </c>
      <c r="CB64" s="58">
        <v>0.95599999999999996</v>
      </c>
      <c r="CC64" s="58">
        <v>0.95599999999999996</v>
      </c>
      <c r="CD64" s="58">
        <v>0</v>
      </c>
      <c r="CE64" s="58">
        <v>0.70499999999999996</v>
      </c>
      <c r="CF64" s="58">
        <v>0.53800000000000003</v>
      </c>
      <c r="CG64" s="58">
        <v>0.16700000000000001</v>
      </c>
      <c r="CH64" s="58">
        <v>5.0890000000000004</v>
      </c>
      <c r="CI64" s="58">
        <v>2.3460000000000001</v>
      </c>
      <c r="CJ64" s="58">
        <v>2.742</v>
      </c>
      <c r="CK64" s="58">
        <v>23.577000000000002</v>
      </c>
      <c r="CL64" s="58">
        <v>12.138999999999999</v>
      </c>
      <c r="CM64" s="58">
        <v>11.439</v>
      </c>
      <c r="CN64" s="58">
        <v>8.9760000000000009</v>
      </c>
      <c r="CO64" s="58">
        <v>6.2969999999999997</v>
      </c>
      <c r="CP64" s="58">
        <v>2.6789999999999998</v>
      </c>
      <c r="CQ64" s="58">
        <v>14.602</v>
      </c>
      <c r="CR64" s="58">
        <v>5.8419999999999996</v>
      </c>
      <c r="CS64" s="58">
        <v>8.76</v>
      </c>
      <c r="CT64" s="58">
        <v>10.257</v>
      </c>
      <c r="CU64" s="58">
        <v>7.4119999999999999</v>
      </c>
      <c r="CV64" s="58">
        <v>2.8460000000000001</v>
      </c>
      <c r="CW64" s="58">
        <v>17.495999999999999</v>
      </c>
      <c r="CX64" s="58">
        <v>7.3869999999999996</v>
      </c>
      <c r="CY64" s="58">
        <v>10.108000000000001</v>
      </c>
      <c r="CZ64" s="58">
        <v>15.558</v>
      </c>
      <c r="DA64" s="58">
        <v>6.798</v>
      </c>
      <c r="DB64" s="58">
        <v>8.76</v>
      </c>
    </row>
    <row r="65" spans="1:106">
      <c r="A65" s="5">
        <v>43466</v>
      </c>
      <c r="B65" s="58">
        <v>11.225</v>
      </c>
      <c r="C65" s="58">
        <v>7.2549999999999999</v>
      </c>
      <c r="D65" s="58">
        <v>3.97</v>
      </c>
      <c r="E65" s="58">
        <v>23.404</v>
      </c>
      <c r="F65" s="58">
        <v>9.9169999999999998</v>
      </c>
      <c r="G65" s="58">
        <v>13.487</v>
      </c>
      <c r="H65" s="58">
        <v>12.852</v>
      </c>
      <c r="I65" s="58">
        <v>8.5389999999999997</v>
      </c>
      <c r="J65" s="58">
        <v>4.3140000000000001</v>
      </c>
      <c r="K65" s="58">
        <v>27.041</v>
      </c>
      <c r="L65" s="58">
        <v>11.301</v>
      </c>
      <c r="M65" s="58">
        <v>15.739000000000001</v>
      </c>
      <c r="N65" s="58">
        <v>24.73</v>
      </c>
      <c r="O65" s="58">
        <v>10.898999999999999</v>
      </c>
      <c r="P65" s="58">
        <v>13.831</v>
      </c>
      <c r="Q65" s="58">
        <v>132.88999999999999</v>
      </c>
      <c r="R65" s="58">
        <v>70.816000000000003</v>
      </c>
      <c r="S65" s="58">
        <v>62.073999999999998</v>
      </c>
      <c r="T65" s="58">
        <v>105.51600000000001</v>
      </c>
      <c r="U65" s="58">
        <v>61.29</v>
      </c>
      <c r="V65" s="58">
        <v>44.225999999999999</v>
      </c>
      <c r="W65" s="58">
        <v>27.373999999999999</v>
      </c>
      <c r="X65" s="58">
        <v>9.5269999999999992</v>
      </c>
      <c r="Y65" s="58">
        <v>17.847999999999999</v>
      </c>
      <c r="Z65" s="58">
        <v>16.047999999999998</v>
      </c>
      <c r="AA65" s="58">
        <v>9.1210000000000004</v>
      </c>
      <c r="AB65" s="58">
        <v>6.9260000000000002</v>
      </c>
      <c r="AC65" s="58">
        <v>1.6479999999999999</v>
      </c>
      <c r="AD65" s="58">
        <v>1.306</v>
      </c>
      <c r="AE65" s="58">
        <v>0.34200000000000003</v>
      </c>
      <c r="AF65" s="58">
        <v>0.81699999999999995</v>
      </c>
      <c r="AG65" s="58">
        <v>0.81699999999999995</v>
      </c>
      <c r="AH65" s="58">
        <v>0</v>
      </c>
      <c r="AI65" s="58">
        <v>0.81699999999999995</v>
      </c>
      <c r="AJ65" s="58">
        <v>0.81699999999999995</v>
      </c>
      <c r="AK65" s="58">
        <v>0</v>
      </c>
      <c r="AL65" s="58">
        <v>0</v>
      </c>
      <c r="AM65" s="58">
        <v>0</v>
      </c>
      <c r="AN65" s="58">
        <v>0</v>
      </c>
      <c r="AO65" s="58">
        <v>0.83099999999999996</v>
      </c>
      <c r="AP65" s="58">
        <v>0.48899999999999999</v>
      </c>
      <c r="AQ65" s="58">
        <v>0.34200000000000003</v>
      </c>
      <c r="AR65" s="58">
        <v>15.218</v>
      </c>
      <c r="AS65" s="58">
        <v>8.39</v>
      </c>
      <c r="AT65" s="58">
        <v>6.8280000000000003</v>
      </c>
      <c r="AU65" s="58">
        <v>8.4130000000000003</v>
      </c>
      <c r="AV65" s="58">
        <v>5.351</v>
      </c>
      <c r="AW65" s="58">
        <v>3.0619999999999998</v>
      </c>
      <c r="AX65" s="58">
        <v>6.8049999999999997</v>
      </c>
      <c r="AY65" s="58">
        <v>3.0390000000000001</v>
      </c>
      <c r="AZ65" s="58">
        <v>3.766</v>
      </c>
      <c r="BA65" s="58">
        <v>8.9030000000000005</v>
      </c>
      <c r="BB65" s="58">
        <v>5.8410000000000002</v>
      </c>
      <c r="BC65" s="58">
        <v>3.0619999999999998</v>
      </c>
      <c r="BD65" s="58">
        <v>7.1449999999999996</v>
      </c>
      <c r="BE65" s="58">
        <v>3.28</v>
      </c>
      <c r="BF65" s="58">
        <v>3.8639999999999999</v>
      </c>
      <c r="BG65" s="58">
        <v>7.6219999999999999</v>
      </c>
      <c r="BH65" s="58">
        <v>3.855</v>
      </c>
      <c r="BI65" s="58">
        <v>3.766</v>
      </c>
      <c r="BJ65" s="58">
        <v>227.32400000000001</v>
      </c>
      <c r="BK65" s="58">
        <v>115.974</v>
      </c>
      <c r="BL65" s="58">
        <v>111.349</v>
      </c>
      <c r="BM65" s="58">
        <v>164.13499999999999</v>
      </c>
      <c r="BN65" s="58">
        <v>95.995999999999995</v>
      </c>
      <c r="BO65" s="58">
        <v>68.138999999999996</v>
      </c>
      <c r="BP65" s="58">
        <v>63.189</v>
      </c>
      <c r="BQ65" s="58">
        <v>19.978000000000002</v>
      </c>
      <c r="BR65" s="58">
        <v>43.210999999999999</v>
      </c>
      <c r="BS65" s="58">
        <v>30.079000000000001</v>
      </c>
      <c r="BT65" s="58">
        <v>17.113</v>
      </c>
      <c r="BU65" s="58">
        <v>12.965999999999999</v>
      </c>
      <c r="BV65" s="58">
        <v>7.5389999999999997</v>
      </c>
      <c r="BW65" s="58">
        <v>4.3499999999999996</v>
      </c>
      <c r="BX65" s="58">
        <v>3.19</v>
      </c>
      <c r="BY65" s="58">
        <v>3.601</v>
      </c>
      <c r="BZ65" s="58">
        <v>3.2250000000000001</v>
      </c>
      <c r="CA65" s="58">
        <v>0.376</v>
      </c>
      <c r="CB65" s="58">
        <v>1.5009999999999999</v>
      </c>
      <c r="CC65" s="58">
        <v>1.296</v>
      </c>
      <c r="CD65" s="58">
        <v>0.20499999999999999</v>
      </c>
      <c r="CE65" s="58">
        <v>2.0990000000000002</v>
      </c>
      <c r="CF65" s="58">
        <v>1.9279999999999999</v>
      </c>
      <c r="CG65" s="58">
        <v>0.17100000000000001</v>
      </c>
      <c r="CH65" s="58">
        <v>3.9390000000000001</v>
      </c>
      <c r="CI65" s="58">
        <v>1.125</v>
      </c>
      <c r="CJ65" s="58">
        <v>2.8140000000000001</v>
      </c>
      <c r="CK65" s="58">
        <v>25.518999999999998</v>
      </c>
      <c r="CL65" s="58">
        <v>14.356</v>
      </c>
      <c r="CM65" s="58">
        <v>11.163</v>
      </c>
      <c r="CN65" s="58">
        <v>11.363</v>
      </c>
      <c r="CO65" s="58">
        <v>8.9420000000000002</v>
      </c>
      <c r="CP65" s="58">
        <v>2.4220000000000002</v>
      </c>
      <c r="CQ65" s="58">
        <v>14.156000000000001</v>
      </c>
      <c r="CR65" s="58">
        <v>5.415</v>
      </c>
      <c r="CS65" s="58">
        <v>8.7409999999999997</v>
      </c>
      <c r="CT65" s="58">
        <v>14.141</v>
      </c>
      <c r="CU65" s="58">
        <v>11.548</v>
      </c>
      <c r="CV65" s="58">
        <v>2.593</v>
      </c>
      <c r="CW65" s="58">
        <v>15.939</v>
      </c>
      <c r="CX65" s="58">
        <v>5.5650000000000004</v>
      </c>
      <c r="CY65" s="58">
        <v>10.374000000000001</v>
      </c>
      <c r="CZ65" s="58">
        <v>15.657</v>
      </c>
      <c r="DA65" s="58">
        <v>6.7110000000000003</v>
      </c>
      <c r="DB65" s="58">
        <v>8.9459999999999997</v>
      </c>
    </row>
    <row r="66" spans="1:106">
      <c r="A66" s="5">
        <v>43497</v>
      </c>
      <c r="B66" s="58">
        <v>11.436</v>
      </c>
      <c r="C66" s="58">
        <v>7.8979999999999997</v>
      </c>
      <c r="D66" s="58">
        <v>3.5379999999999998</v>
      </c>
      <c r="E66" s="58">
        <v>22.783999999999999</v>
      </c>
      <c r="F66" s="58">
        <v>8.6340000000000003</v>
      </c>
      <c r="G66" s="58">
        <v>14.15</v>
      </c>
      <c r="H66" s="58">
        <v>13.273999999999999</v>
      </c>
      <c r="I66" s="58">
        <v>9.3000000000000007</v>
      </c>
      <c r="J66" s="58">
        <v>3.9750000000000001</v>
      </c>
      <c r="K66" s="58">
        <v>24.587</v>
      </c>
      <c r="L66" s="58">
        <v>9.0540000000000003</v>
      </c>
      <c r="M66" s="58">
        <v>15.532999999999999</v>
      </c>
      <c r="N66" s="58">
        <v>24.288</v>
      </c>
      <c r="O66" s="58">
        <v>9.51</v>
      </c>
      <c r="P66" s="58">
        <v>14.778</v>
      </c>
      <c r="Q66" s="58">
        <v>131.51300000000001</v>
      </c>
      <c r="R66" s="58">
        <v>70.019000000000005</v>
      </c>
      <c r="S66" s="58">
        <v>61.494999999999997</v>
      </c>
      <c r="T66" s="58">
        <v>103.896</v>
      </c>
      <c r="U66" s="58">
        <v>59.750999999999998</v>
      </c>
      <c r="V66" s="58">
        <v>44.143999999999998</v>
      </c>
      <c r="W66" s="58">
        <v>27.617999999999999</v>
      </c>
      <c r="X66" s="58">
        <v>10.266999999999999</v>
      </c>
      <c r="Y66" s="58">
        <v>17.350000000000001</v>
      </c>
      <c r="Z66" s="58">
        <v>16.876999999999999</v>
      </c>
      <c r="AA66" s="58">
        <v>9.3979999999999997</v>
      </c>
      <c r="AB66" s="58">
        <v>7.48</v>
      </c>
      <c r="AC66" s="58">
        <v>2.145</v>
      </c>
      <c r="AD66" s="58">
        <v>1.3140000000000001</v>
      </c>
      <c r="AE66" s="58">
        <v>0.83</v>
      </c>
      <c r="AF66" s="58">
        <v>1.1739999999999999</v>
      </c>
      <c r="AG66" s="58">
        <v>0.90300000000000002</v>
      </c>
      <c r="AH66" s="58">
        <v>0.27100000000000002</v>
      </c>
      <c r="AI66" s="58">
        <v>0.71499999999999997</v>
      </c>
      <c r="AJ66" s="58">
        <v>0.44400000000000001</v>
      </c>
      <c r="AK66" s="58">
        <v>0.27100000000000002</v>
      </c>
      <c r="AL66" s="58">
        <v>0.46</v>
      </c>
      <c r="AM66" s="58">
        <v>0.46</v>
      </c>
      <c r="AN66" s="58">
        <v>0</v>
      </c>
      <c r="AO66" s="58">
        <v>0.97</v>
      </c>
      <c r="AP66" s="58">
        <v>0.41099999999999998</v>
      </c>
      <c r="AQ66" s="58">
        <v>0.55900000000000005</v>
      </c>
      <c r="AR66" s="58">
        <v>15.555999999999999</v>
      </c>
      <c r="AS66" s="58">
        <v>8.5180000000000007</v>
      </c>
      <c r="AT66" s="58">
        <v>7.0380000000000003</v>
      </c>
      <c r="AU66" s="58">
        <v>8.5559999999999992</v>
      </c>
      <c r="AV66" s="58">
        <v>6.0279999999999996</v>
      </c>
      <c r="AW66" s="58">
        <v>2.528</v>
      </c>
      <c r="AX66" s="58">
        <v>7</v>
      </c>
      <c r="AY66" s="58">
        <v>2.4900000000000002</v>
      </c>
      <c r="AZ66" s="58">
        <v>4.51</v>
      </c>
      <c r="BA66" s="58">
        <v>9.2929999999999993</v>
      </c>
      <c r="BB66" s="58">
        <v>6.67</v>
      </c>
      <c r="BC66" s="58">
        <v>2.6240000000000001</v>
      </c>
      <c r="BD66" s="58">
        <v>7.5839999999999996</v>
      </c>
      <c r="BE66" s="58">
        <v>2.7280000000000002</v>
      </c>
      <c r="BF66" s="58">
        <v>4.8559999999999999</v>
      </c>
      <c r="BG66" s="58">
        <v>7.7140000000000004</v>
      </c>
      <c r="BH66" s="58">
        <v>2.9329999999999998</v>
      </c>
      <c r="BI66" s="58">
        <v>4.7809999999999997</v>
      </c>
      <c r="BJ66" s="58">
        <v>226.74600000000001</v>
      </c>
      <c r="BK66" s="58">
        <v>115.164</v>
      </c>
      <c r="BL66" s="58">
        <v>111.58199999999999</v>
      </c>
      <c r="BM66" s="58">
        <v>163.30199999999999</v>
      </c>
      <c r="BN66" s="58">
        <v>94.62</v>
      </c>
      <c r="BO66" s="58">
        <v>68.682000000000002</v>
      </c>
      <c r="BP66" s="58">
        <v>63.444000000000003</v>
      </c>
      <c r="BQ66" s="58">
        <v>20.544</v>
      </c>
      <c r="BR66" s="58">
        <v>42.9</v>
      </c>
      <c r="BS66" s="58">
        <v>27.364000000000001</v>
      </c>
      <c r="BT66" s="58">
        <v>17.501000000000001</v>
      </c>
      <c r="BU66" s="58">
        <v>9.8620000000000001</v>
      </c>
      <c r="BV66" s="58">
        <v>5.4409999999999998</v>
      </c>
      <c r="BW66" s="58">
        <v>3.7559999999999998</v>
      </c>
      <c r="BX66" s="58">
        <v>1.6839999999999999</v>
      </c>
      <c r="BY66" s="58">
        <v>1.964</v>
      </c>
      <c r="BZ66" s="58">
        <v>1.6379999999999999</v>
      </c>
      <c r="CA66" s="58">
        <v>0.32700000000000001</v>
      </c>
      <c r="CB66" s="58">
        <v>0.64800000000000002</v>
      </c>
      <c r="CC66" s="58">
        <v>0.49</v>
      </c>
      <c r="CD66" s="58">
        <v>0.159</v>
      </c>
      <c r="CE66" s="58">
        <v>1.3160000000000001</v>
      </c>
      <c r="CF66" s="58">
        <v>1.1479999999999999</v>
      </c>
      <c r="CG66" s="58">
        <v>0.16800000000000001</v>
      </c>
      <c r="CH66" s="58">
        <v>3.476</v>
      </c>
      <c r="CI66" s="58">
        <v>2.1190000000000002</v>
      </c>
      <c r="CJ66" s="58">
        <v>1.3580000000000001</v>
      </c>
      <c r="CK66" s="58">
        <v>23.547999999999998</v>
      </c>
      <c r="CL66" s="58">
        <v>14.702</v>
      </c>
      <c r="CM66" s="58">
        <v>8.8460000000000001</v>
      </c>
      <c r="CN66" s="58">
        <v>10.718</v>
      </c>
      <c r="CO66" s="58">
        <v>9.23</v>
      </c>
      <c r="CP66" s="58">
        <v>1.488</v>
      </c>
      <c r="CQ66" s="58">
        <v>12.83</v>
      </c>
      <c r="CR66" s="58">
        <v>5.4720000000000004</v>
      </c>
      <c r="CS66" s="58">
        <v>7.3579999999999997</v>
      </c>
      <c r="CT66" s="58">
        <v>12.682</v>
      </c>
      <c r="CU66" s="58">
        <v>10.868</v>
      </c>
      <c r="CV66" s="58">
        <v>1.8149999999999999</v>
      </c>
      <c r="CW66" s="58">
        <v>14.682</v>
      </c>
      <c r="CX66" s="58">
        <v>6.6340000000000003</v>
      </c>
      <c r="CY66" s="58">
        <v>8.048</v>
      </c>
      <c r="CZ66" s="58">
        <v>13.478</v>
      </c>
      <c r="DA66" s="58">
        <v>5.9610000000000003</v>
      </c>
      <c r="DB66" s="58">
        <v>7.5170000000000003</v>
      </c>
    </row>
    <row r="67" spans="1:106">
      <c r="A67" s="5">
        <v>43525</v>
      </c>
      <c r="B67" s="58">
        <v>9.5830000000000002</v>
      </c>
      <c r="C67" s="58">
        <v>6.6539999999999999</v>
      </c>
      <c r="D67" s="58">
        <v>2.9289999999999998</v>
      </c>
      <c r="E67" s="58">
        <v>24.684000000000001</v>
      </c>
      <c r="F67" s="58">
        <v>8.4469999999999992</v>
      </c>
      <c r="G67" s="58">
        <v>16.236000000000001</v>
      </c>
      <c r="H67" s="58">
        <v>10.231999999999999</v>
      </c>
      <c r="I67" s="58">
        <v>7.0819999999999999</v>
      </c>
      <c r="J67" s="58">
        <v>3.149</v>
      </c>
      <c r="K67" s="58">
        <v>27.210999999999999</v>
      </c>
      <c r="L67" s="58">
        <v>9.8390000000000004</v>
      </c>
      <c r="M67" s="58">
        <v>17.373000000000001</v>
      </c>
      <c r="N67" s="58">
        <v>25.225000000000001</v>
      </c>
      <c r="O67" s="58">
        <v>8.8680000000000003</v>
      </c>
      <c r="P67" s="58">
        <v>16.356999999999999</v>
      </c>
      <c r="Q67" s="58">
        <v>132.61600000000001</v>
      </c>
      <c r="R67" s="58">
        <v>71.769000000000005</v>
      </c>
      <c r="S67" s="58">
        <v>60.847000000000001</v>
      </c>
      <c r="T67" s="58">
        <v>101.655</v>
      </c>
      <c r="U67" s="58">
        <v>58.447000000000003</v>
      </c>
      <c r="V67" s="58">
        <v>43.207000000000001</v>
      </c>
      <c r="W67" s="58">
        <v>30.960999999999999</v>
      </c>
      <c r="X67" s="58">
        <v>13.321999999999999</v>
      </c>
      <c r="Y67" s="58">
        <v>17.638999999999999</v>
      </c>
      <c r="Z67" s="58">
        <v>15.926</v>
      </c>
      <c r="AA67" s="58">
        <v>8.798</v>
      </c>
      <c r="AB67" s="58">
        <v>7.1280000000000001</v>
      </c>
      <c r="AC67" s="58">
        <v>2.0539999999999998</v>
      </c>
      <c r="AD67" s="58">
        <v>1.1160000000000001</v>
      </c>
      <c r="AE67" s="58">
        <v>0.93899999999999995</v>
      </c>
      <c r="AF67" s="58">
        <v>1</v>
      </c>
      <c r="AG67" s="58">
        <v>0.83499999999999996</v>
      </c>
      <c r="AH67" s="58">
        <v>0.16400000000000001</v>
      </c>
      <c r="AI67" s="58">
        <v>0.40899999999999997</v>
      </c>
      <c r="AJ67" s="58">
        <v>0.32300000000000001</v>
      </c>
      <c r="AK67" s="58">
        <v>8.5999999999999993E-2</v>
      </c>
      <c r="AL67" s="58">
        <v>0.59</v>
      </c>
      <c r="AM67" s="58">
        <v>0.51200000000000001</v>
      </c>
      <c r="AN67" s="58">
        <v>7.8E-2</v>
      </c>
      <c r="AO67" s="58">
        <v>1.054</v>
      </c>
      <c r="AP67" s="58">
        <v>0.28000000000000003</v>
      </c>
      <c r="AQ67" s="58">
        <v>0.77400000000000002</v>
      </c>
      <c r="AR67" s="58">
        <v>14.728999999999999</v>
      </c>
      <c r="AS67" s="58">
        <v>8.0190000000000001</v>
      </c>
      <c r="AT67" s="58">
        <v>6.7089999999999996</v>
      </c>
      <c r="AU67" s="58">
        <v>6.8330000000000002</v>
      </c>
      <c r="AV67" s="58">
        <v>4.0999999999999996</v>
      </c>
      <c r="AW67" s="58">
        <v>2.734</v>
      </c>
      <c r="AX67" s="58">
        <v>7.8959999999999999</v>
      </c>
      <c r="AY67" s="58">
        <v>3.92</v>
      </c>
      <c r="AZ67" s="58">
        <v>3.976</v>
      </c>
      <c r="BA67" s="58">
        <v>7.5270000000000001</v>
      </c>
      <c r="BB67" s="58">
        <v>4.7149999999999999</v>
      </c>
      <c r="BC67" s="58">
        <v>2.8119999999999998</v>
      </c>
      <c r="BD67" s="58">
        <v>8.3989999999999991</v>
      </c>
      <c r="BE67" s="58">
        <v>4.0839999999999996</v>
      </c>
      <c r="BF67" s="58">
        <v>4.3159999999999998</v>
      </c>
      <c r="BG67" s="58">
        <v>8.3049999999999997</v>
      </c>
      <c r="BH67" s="58">
        <v>4.2430000000000003</v>
      </c>
      <c r="BI67" s="58">
        <v>4.0620000000000003</v>
      </c>
      <c r="BJ67" s="58">
        <v>226.803</v>
      </c>
      <c r="BK67" s="58">
        <v>114.09399999999999</v>
      </c>
      <c r="BL67" s="58">
        <v>112.709</v>
      </c>
      <c r="BM67" s="58">
        <v>163.13200000000001</v>
      </c>
      <c r="BN67" s="58">
        <v>92.643000000000001</v>
      </c>
      <c r="BO67" s="58">
        <v>70.489999999999995</v>
      </c>
      <c r="BP67" s="58">
        <v>63.67</v>
      </c>
      <c r="BQ67" s="58">
        <v>21.451000000000001</v>
      </c>
      <c r="BR67" s="58">
        <v>42.219000000000001</v>
      </c>
      <c r="BS67" s="58">
        <v>26.151</v>
      </c>
      <c r="BT67" s="58">
        <v>14.003</v>
      </c>
      <c r="BU67" s="58">
        <v>12.148</v>
      </c>
      <c r="BV67" s="58">
        <v>5.1219999999999999</v>
      </c>
      <c r="BW67" s="58">
        <v>2.5630000000000002</v>
      </c>
      <c r="BX67" s="58">
        <v>2.56</v>
      </c>
      <c r="BY67" s="58">
        <v>1.044</v>
      </c>
      <c r="BZ67" s="58">
        <v>1.044</v>
      </c>
      <c r="CA67" s="58">
        <v>0</v>
      </c>
      <c r="CB67" s="58">
        <v>0.443</v>
      </c>
      <c r="CC67" s="58">
        <v>0.443</v>
      </c>
      <c r="CD67" s="58">
        <v>0</v>
      </c>
      <c r="CE67" s="58">
        <v>0.60099999999999998</v>
      </c>
      <c r="CF67" s="58">
        <v>0.60099999999999998</v>
      </c>
      <c r="CG67" s="58">
        <v>0</v>
      </c>
      <c r="CH67" s="58">
        <v>4.0780000000000003</v>
      </c>
      <c r="CI67" s="58">
        <v>1.5189999999999999</v>
      </c>
      <c r="CJ67" s="58">
        <v>2.56</v>
      </c>
      <c r="CK67" s="58">
        <v>23.094000000000001</v>
      </c>
      <c r="CL67" s="58">
        <v>12.412000000000001</v>
      </c>
      <c r="CM67" s="58">
        <v>10.682</v>
      </c>
      <c r="CN67" s="58">
        <v>9.4930000000000003</v>
      </c>
      <c r="CO67" s="58">
        <v>7.0839999999999996</v>
      </c>
      <c r="CP67" s="58">
        <v>2.4089999999999998</v>
      </c>
      <c r="CQ67" s="58">
        <v>13.601000000000001</v>
      </c>
      <c r="CR67" s="58">
        <v>5.3280000000000003</v>
      </c>
      <c r="CS67" s="58">
        <v>8.2729999999999997</v>
      </c>
      <c r="CT67" s="58">
        <v>10.339</v>
      </c>
      <c r="CU67" s="58">
        <v>7.93</v>
      </c>
      <c r="CV67" s="58">
        <v>2.4089999999999998</v>
      </c>
      <c r="CW67" s="58">
        <v>15.813000000000001</v>
      </c>
      <c r="CX67" s="58">
        <v>6.0730000000000004</v>
      </c>
      <c r="CY67" s="58">
        <v>9.74</v>
      </c>
      <c r="CZ67" s="58">
        <v>14.044</v>
      </c>
      <c r="DA67" s="58">
        <v>5.7709999999999999</v>
      </c>
      <c r="DB67" s="58">
        <v>8.2729999999999997</v>
      </c>
    </row>
    <row r="68" spans="1:106">
      <c r="A68" s="5">
        <v>43556</v>
      </c>
      <c r="B68" s="58">
        <v>7.8049999999999997</v>
      </c>
      <c r="C68" s="58">
        <v>4.6500000000000004</v>
      </c>
      <c r="D68" s="58">
        <v>3.1549999999999998</v>
      </c>
      <c r="E68" s="58">
        <v>25.715</v>
      </c>
      <c r="F68" s="58">
        <v>10.506</v>
      </c>
      <c r="G68" s="58">
        <v>15.208</v>
      </c>
      <c r="H68" s="58">
        <v>9.6530000000000005</v>
      </c>
      <c r="I68" s="58">
        <v>5.9889999999999999</v>
      </c>
      <c r="J68" s="58">
        <v>3.6640000000000001</v>
      </c>
      <c r="K68" s="58">
        <v>27.295000000000002</v>
      </c>
      <c r="L68" s="58">
        <v>11.002000000000001</v>
      </c>
      <c r="M68" s="58">
        <v>16.292000000000002</v>
      </c>
      <c r="N68" s="58">
        <v>26.789000000000001</v>
      </c>
      <c r="O68" s="58">
        <v>11.147</v>
      </c>
      <c r="P68" s="58">
        <v>15.641999999999999</v>
      </c>
      <c r="Q68" s="58">
        <v>128.369</v>
      </c>
      <c r="R68" s="58">
        <v>68.183000000000007</v>
      </c>
      <c r="S68" s="58">
        <v>60.185000000000002</v>
      </c>
      <c r="T68" s="58">
        <v>101.583</v>
      </c>
      <c r="U68" s="58">
        <v>58.392000000000003</v>
      </c>
      <c r="V68" s="58">
        <v>43.19</v>
      </c>
      <c r="W68" s="58">
        <v>26.786000000000001</v>
      </c>
      <c r="X68" s="58">
        <v>9.7910000000000004</v>
      </c>
      <c r="Y68" s="58">
        <v>16.995000000000001</v>
      </c>
      <c r="Z68" s="58">
        <v>19.129000000000001</v>
      </c>
      <c r="AA68" s="58">
        <v>11.38</v>
      </c>
      <c r="AB68" s="58">
        <v>7.7489999999999997</v>
      </c>
      <c r="AC68" s="58">
        <v>2.9119999999999999</v>
      </c>
      <c r="AD68" s="58">
        <v>1.5820000000000001</v>
      </c>
      <c r="AE68" s="58">
        <v>1.33</v>
      </c>
      <c r="AF68" s="58">
        <v>1.6719999999999999</v>
      </c>
      <c r="AG68" s="58">
        <v>1.127</v>
      </c>
      <c r="AH68" s="58">
        <v>0.54500000000000004</v>
      </c>
      <c r="AI68" s="58">
        <v>0.80900000000000005</v>
      </c>
      <c r="AJ68" s="58">
        <v>0.71</v>
      </c>
      <c r="AK68" s="58">
        <v>0.1</v>
      </c>
      <c r="AL68" s="58">
        <v>0.86299999999999999</v>
      </c>
      <c r="AM68" s="58">
        <v>0.41799999999999998</v>
      </c>
      <c r="AN68" s="58">
        <v>0.44500000000000001</v>
      </c>
      <c r="AO68" s="58">
        <v>1.24</v>
      </c>
      <c r="AP68" s="58">
        <v>0.45400000000000001</v>
      </c>
      <c r="AQ68" s="58">
        <v>0.78600000000000003</v>
      </c>
      <c r="AR68" s="58">
        <v>17.329999999999998</v>
      </c>
      <c r="AS68" s="58">
        <v>10.220000000000001</v>
      </c>
      <c r="AT68" s="58">
        <v>7.11</v>
      </c>
      <c r="AU68" s="58">
        <v>10.662000000000001</v>
      </c>
      <c r="AV68" s="58">
        <v>7.4550000000000001</v>
      </c>
      <c r="AW68" s="58">
        <v>3.2069999999999999</v>
      </c>
      <c r="AX68" s="58">
        <v>6.6680000000000001</v>
      </c>
      <c r="AY68" s="58">
        <v>2.7650000000000001</v>
      </c>
      <c r="AZ68" s="58">
        <v>3.903</v>
      </c>
      <c r="BA68" s="58">
        <v>11.835000000000001</v>
      </c>
      <c r="BB68" s="58">
        <v>8.3360000000000003</v>
      </c>
      <c r="BC68" s="58">
        <v>3.5</v>
      </c>
      <c r="BD68" s="58">
        <v>7.2939999999999996</v>
      </c>
      <c r="BE68" s="58">
        <v>3.044</v>
      </c>
      <c r="BF68" s="58">
        <v>4.25</v>
      </c>
      <c r="BG68" s="58">
        <v>7.4770000000000003</v>
      </c>
      <c r="BH68" s="58">
        <v>3.4750000000000001</v>
      </c>
      <c r="BI68" s="58">
        <v>4.0019999999999998</v>
      </c>
      <c r="BJ68" s="58">
        <v>227.74700000000001</v>
      </c>
      <c r="BK68" s="58">
        <v>117.05500000000001</v>
      </c>
      <c r="BL68" s="58">
        <v>110.691</v>
      </c>
      <c r="BM68" s="58">
        <v>165.07</v>
      </c>
      <c r="BN68" s="58">
        <v>94.665000000000006</v>
      </c>
      <c r="BO68" s="58">
        <v>70.405000000000001</v>
      </c>
      <c r="BP68" s="58">
        <v>62.676000000000002</v>
      </c>
      <c r="BQ68" s="58">
        <v>22.39</v>
      </c>
      <c r="BR68" s="58">
        <v>40.286000000000001</v>
      </c>
      <c r="BS68" s="58">
        <v>28.689</v>
      </c>
      <c r="BT68" s="58">
        <v>16.664999999999999</v>
      </c>
      <c r="BU68" s="58">
        <v>12.023999999999999</v>
      </c>
      <c r="BV68" s="58">
        <v>4.6989999999999998</v>
      </c>
      <c r="BW68" s="58">
        <v>3.2370000000000001</v>
      </c>
      <c r="BX68" s="58">
        <v>1.462</v>
      </c>
      <c r="BY68" s="58">
        <v>1.861</v>
      </c>
      <c r="BZ68" s="58">
        <v>1.6870000000000001</v>
      </c>
      <c r="CA68" s="58">
        <v>0.17399999999999999</v>
      </c>
      <c r="CB68" s="58">
        <v>0.64</v>
      </c>
      <c r="CC68" s="58">
        <v>0.46600000000000003</v>
      </c>
      <c r="CD68" s="58">
        <v>0.17399999999999999</v>
      </c>
      <c r="CE68" s="58">
        <v>1.22</v>
      </c>
      <c r="CF68" s="58">
        <v>1.22</v>
      </c>
      <c r="CG68" s="58">
        <v>0</v>
      </c>
      <c r="CH68" s="58">
        <v>2.8380000000000001</v>
      </c>
      <c r="CI68" s="58">
        <v>1.55</v>
      </c>
      <c r="CJ68" s="58">
        <v>1.288</v>
      </c>
      <c r="CK68" s="58">
        <v>25.622</v>
      </c>
      <c r="CL68" s="58">
        <v>14.576000000000001</v>
      </c>
      <c r="CM68" s="58">
        <v>11.045999999999999</v>
      </c>
      <c r="CN68" s="58">
        <v>13.677</v>
      </c>
      <c r="CO68" s="58">
        <v>9.2219999999999995</v>
      </c>
      <c r="CP68" s="58">
        <v>4.4539999999999997</v>
      </c>
      <c r="CQ68" s="58">
        <v>11.945</v>
      </c>
      <c r="CR68" s="58">
        <v>5.3529999999999998</v>
      </c>
      <c r="CS68" s="58">
        <v>6.5919999999999996</v>
      </c>
      <c r="CT68" s="58">
        <v>15.090999999999999</v>
      </c>
      <c r="CU68" s="58">
        <v>10.462</v>
      </c>
      <c r="CV68" s="58">
        <v>4.6289999999999996</v>
      </c>
      <c r="CW68" s="58">
        <v>13.598000000000001</v>
      </c>
      <c r="CX68" s="58">
        <v>6.2030000000000003</v>
      </c>
      <c r="CY68" s="58">
        <v>7.3959999999999999</v>
      </c>
      <c r="CZ68" s="58">
        <v>12.585000000000001</v>
      </c>
      <c r="DA68" s="58">
        <v>5.819</v>
      </c>
      <c r="DB68" s="58">
        <v>6.766</v>
      </c>
    </row>
    <row r="69" spans="1:106">
      <c r="A69" s="5">
        <v>43586</v>
      </c>
      <c r="B69" s="58">
        <v>8.84</v>
      </c>
      <c r="C69" s="58">
        <v>5.8840000000000003</v>
      </c>
      <c r="D69" s="58">
        <v>2.9569999999999999</v>
      </c>
      <c r="E69" s="58">
        <v>27.056000000000001</v>
      </c>
      <c r="F69" s="58">
        <v>10.042</v>
      </c>
      <c r="G69" s="58">
        <v>17.013999999999999</v>
      </c>
      <c r="H69" s="58">
        <v>10.029999999999999</v>
      </c>
      <c r="I69" s="58">
        <v>6.8620000000000001</v>
      </c>
      <c r="J69" s="58">
        <v>3.1680000000000001</v>
      </c>
      <c r="K69" s="58">
        <v>30.283000000000001</v>
      </c>
      <c r="L69" s="58">
        <v>10.958</v>
      </c>
      <c r="M69" s="58">
        <v>19.324000000000002</v>
      </c>
      <c r="N69" s="58">
        <v>27.611000000000001</v>
      </c>
      <c r="O69" s="58">
        <v>10.478999999999999</v>
      </c>
      <c r="P69" s="58">
        <v>17.132000000000001</v>
      </c>
      <c r="Q69" s="58">
        <v>128.56200000000001</v>
      </c>
      <c r="R69" s="58">
        <v>67.909000000000006</v>
      </c>
      <c r="S69" s="58">
        <v>60.652999999999999</v>
      </c>
      <c r="T69" s="58">
        <v>98.013999999999996</v>
      </c>
      <c r="U69" s="58">
        <v>55.683</v>
      </c>
      <c r="V69" s="58">
        <v>42.331000000000003</v>
      </c>
      <c r="W69" s="58">
        <v>30.547000000000001</v>
      </c>
      <c r="X69" s="58">
        <v>12.226000000000001</v>
      </c>
      <c r="Y69" s="58">
        <v>18.321000000000002</v>
      </c>
      <c r="Z69" s="58">
        <v>17.477</v>
      </c>
      <c r="AA69" s="58">
        <v>10.112</v>
      </c>
      <c r="AB69" s="58">
        <v>7.3650000000000002</v>
      </c>
      <c r="AC69" s="58">
        <v>1.3089999999999999</v>
      </c>
      <c r="AD69" s="58">
        <v>0.95499999999999996</v>
      </c>
      <c r="AE69" s="58">
        <v>0.35399999999999998</v>
      </c>
      <c r="AF69" s="58">
        <v>0.70099999999999996</v>
      </c>
      <c r="AG69" s="58">
        <v>0.70099999999999996</v>
      </c>
      <c r="AH69" s="58">
        <v>0</v>
      </c>
      <c r="AI69" s="58">
        <v>0.52900000000000003</v>
      </c>
      <c r="AJ69" s="58">
        <v>0.52900000000000003</v>
      </c>
      <c r="AK69" s="58">
        <v>0</v>
      </c>
      <c r="AL69" s="58">
        <v>0.17199999999999999</v>
      </c>
      <c r="AM69" s="58">
        <v>0.17199999999999999</v>
      </c>
      <c r="AN69" s="58">
        <v>0</v>
      </c>
      <c r="AO69" s="58">
        <v>0.60799999999999998</v>
      </c>
      <c r="AP69" s="58">
        <v>0.254</v>
      </c>
      <c r="AQ69" s="58">
        <v>0.35399999999999998</v>
      </c>
      <c r="AR69" s="58">
        <v>16.837</v>
      </c>
      <c r="AS69" s="58">
        <v>9.7420000000000009</v>
      </c>
      <c r="AT69" s="58">
        <v>7.0960000000000001</v>
      </c>
      <c r="AU69" s="58">
        <v>8.8260000000000005</v>
      </c>
      <c r="AV69" s="58">
        <v>6.0720000000000001</v>
      </c>
      <c r="AW69" s="58">
        <v>2.754</v>
      </c>
      <c r="AX69" s="58">
        <v>8.0109999999999992</v>
      </c>
      <c r="AY69" s="58">
        <v>3.67</v>
      </c>
      <c r="AZ69" s="58">
        <v>4.3410000000000002</v>
      </c>
      <c r="BA69" s="58">
        <v>9.0920000000000005</v>
      </c>
      <c r="BB69" s="58">
        <v>6.3369999999999997</v>
      </c>
      <c r="BC69" s="58">
        <v>2.754</v>
      </c>
      <c r="BD69" s="58">
        <v>8.3849999999999998</v>
      </c>
      <c r="BE69" s="58">
        <v>3.7749999999999999</v>
      </c>
      <c r="BF69" s="58">
        <v>4.6100000000000003</v>
      </c>
      <c r="BG69" s="58">
        <v>8.5410000000000004</v>
      </c>
      <c r="BH69" s="58">
        <v>4.1989999999999998</v>
      </c>
      <c r="BI69" s="58">
        <v>4.3410000000000002</v>
      </c>
      <c r="BJ69" s="58">
        <v>228.274</v>
      </c>
      <c r="BK69" s="58">
        <v>117.18899999999999</v>
      </c>
      <c r="BL69" s="58">
        <v>111.08499999999999</v>
      </c>
      <c r="BM69" s="58">
        <v>166.90799999999999</v>
      </c>
      <c r="BN69" s="58">
        <v>95.346000000000004</v>
      </c>
      <c r="BO69" s="58">
        <v>71.561999999999998</v>
      </c>
      <c r="BP69" s="58">
        <v>61.366</v>
      </c>
      <c r="BQ69" s="58">
        <v>21.843</v>
      </c>
      <c r="BR69" s="58">
        <v>39.523000000000003</v>
      </c>
      <c r="BS69" s="58">
        <v>27.433</v>
      </c>
      <c r="BT69" s="58">
        <v>16.7</v>
      </c>
      <c r="BU69" s="58">
        <v>10.731999999999999</v>
      </c>
      <c r="BV69" s="58">
        <v>4.1349999999999998</v>
      </c>
      <c r="BW69" s="58">
        <v>2.782</v>
      </c>
      <c r="BX69" s="58">
        <v>1.353</v>
      </c>
      <c r="BY69" s="58">
        <v>1.6850000000000001</v>
      </c>
      <c r="BZ69" s="58">
        <v>1.4870000000000001</v>
      </c>
      <c r="CA69" s="58">
        <v>0.19900000000000001</v>
      </c>
      <c r="CB69" s="58">
        <v>0.65800000000000003</v>
      </c>
      <c r="CC69" s="58">
        <v>0.65800000000000003</v>
      </c>
      <c r="CD69" s="58">
        <v>0</v>
      </c>
      <c r="CE69" s="58">
        <v>1.028</v>
      </c>
      <c r="CF69" s="58">
        <v>0.82899999999999996</v>
      </c>
      <c r="CG69" s="58">
        <v>0.19900000000000001</v>
      </c>
      <c r="CH69" s="58">
        <v>2.4500000000000002</v>
      </c>
      <c r="CI69" s="58">
        <v>1.2949999999999999</v>
      </c>
      <c r="CJ69" s="58">
        <v>1.155</v>
      </c>
      <c r="CK69" s="58">
        <v>24.811</v>
      </c>
      <c r="CL69" s="58">
        <v>14.698</v>
      </c>
      <c r="CM69" s="58">
        <v>10.114000000000001</v>
      </c>
      <c r="CN69" s="58">
        <v>12.121</v>
      </c>
      <c r="CO69" s="58">
        <v>10.11</v>
      </c>
      <c r="CP69" s="58">
        <v>2.0110000000000001</v>
      </c>
      <c r="CQ69" s="58">
        <v>12.69</v>
      </c>
      <c r="CR69" s="58">
        <v>4.5880000000000001</v>
      </c>
      <c r="CS69" s="58">
        <v>8.1020000000000003</v>
      </c>
      <c r="CT69" s="58">
        <v>13.622</v>
      </c>
      <c r="CU69" s="58">
        <v>11.412000000000001</v>
      </c>
      <c r="CV69" s="58">
        <v>2.21</v>
      </c>
      <c r="CW69" s="58">
        <v>13.811</v>
      </c>
      <c r="CX69" s="58">
        <v>5.2889999999999997</v>
      </c>
      <c r="CY69" s="58">
        <v>8.5220000000000002</v>
      </c>
      <c r="CZ69" s="58">
        <v>13.347</v>
      </c>
      <c r="DA69" s="58">
        <v>5.2450000000000001</v>
      </c>
      <c r="DB69" s="58">
        <v>8.1020000000000003</v>
      </c>
    </row>
    <row r="70" spans="1:106">
      <c r="A70" s="5">
        <v>43617</v>
      </c>
      <c r="B70" s="58">
        <v>9.3729999999999993</v>
      </c>
      <c r="C70" s="58">
        <v>6.7960000000000003</v>
      </c>
      <c r="D70" s="58">
        <v>2.577</v>
      </c>
      <c r="E70" s="58">
        <v>27.239000000000001</v>
      </c>
      <c r="F70" s="58">
        <v>9.9659999999999993</v>
      </c>
      <c r="G70" s="58">
        <v>17.273</v>
      </c>
      <c r="H70" s="58">
        <v>10.483000000000001</v>
      </c>
      <c r="I70" s="58">
        <v>7.3959999999999999</v>
      </c>
      <c r="J70" s="58">
        <v>3.0870000000000002</v>
      </c>
      <c r="K70" s="58">
        <v>29.378</v>
      </c>
      <c r="L70" s="58">
        <v>11.013</v>
      </c>
      <c r="M70" s="58">
        <v>18.364999999999998</v>
      </c>
      <c r="N70" s="58">
        <v>28.009</v>
      </c>
      <c r="O70" s="58">
        <v>10.425000000000001</v>
      </c>
      <c r="P70" s="58">
        <v>17.582999999999998</v>
      </c>
      <c r="Q70" s="58">
        <v>128.292</v>
      </c>
      <c r="R70" s="58">
        <v>66.665999999999997</v>
      </c>
      <c r="S70" s="58">
        <v>61.625999999999998</v>
      </c>
      <c r="T70" s="58">
        <v>100.786</v>
      </c>
      <c r="U70" s="58">
        <v>56.893999999999998</v>
      </c>
      <c r="V70" s="58">
        <v>43.892000000000003</v>
      </c>
      <c r="W70" s="58">
        <v>27.506</v>
      </c>
      <c r="X70" s="58">
        <v>9.7720000000000002</v>
      </c>
      <c r="Y70" s="58">
        <v>17.734999999999999</v>
      </c>
      <c r="Z70" s="58">
        <v>17.39</v>
      </c>
      <c r="AA70" s="58">
        <v>9.6690000000000005</v>
      </c>
      <c r="AB70" s="58">
        <v>7.7210000000000001</v>
      </c>
      <c r="AC70" s="58">
        <v>1.3660000000000001</v>
      </c>
      <c r="AD70" s="58">
        <v>0.89700000000000002</v>
      </c>
      <c r="AE70" s="58">
        <v>0.47</v>
      </c>
      <c r="AF70" s="58">
        <v>0.71399999999999997</v>
      </c>
      <c r="AG70" s="58">
        <v>0.38200000000000001</v>
      </c>
      <c r="AH70" s="58">
        <v>0.33200000000000002</v>
      </c>
      <c r="AI70" s="58">
        <v>0.71399999999999997</v>
      </c>
      <c r="AJ70" s="58">
        <v>0.38200000000000001</v>
      </c>
      <c r="AK70" s="58">
        <v>0.33200000000000002</v>
      </c>
      <c r="AL70" s="58">
        <v>0</v>
      </c>
      <c r="AM70" s="58">
        <v>0</v>
      </c>
      <c r="AN70" s="58">
        <v>0</v>
      </c>
      <c r="AO70" s="58">
        <v>0.65300000000000002</v>
      </c>
      <c r="AP70" s="58">
        <v>0.51500000000000001</v>
      </c>
      <c r="AQ70" s="58">
        <v>0.13800000000000001</v>
      </c>
      <c r="AR70" s="58">
        <v>16.573</v>
      </c>
      <c r="AS70" s="58">
        <v>9.016</v>
      </c>
      <c r="AT70" s="58">
        <v>7.5570000000000004</v>
      </c>
      <c r="AU70" s="58">
        <v>9.4710000000000001</v>
      </c>
      <c r="AV70" s="58">
        <v>6.319</v>
      </c>
      <c r="AW70" s="58">
        <v>3.153</v>
      </c>
      <c r="AX70" s="58">
        <v>7.1020000000000003</v>
      </c>
      <c r="AY70" s="58">
        <v>2.6970000000000001</v>
      </c>
      <c r="AZ70" s="58">
        <v>4.4050000000000002</v>
      </c>
      <c r="BA70" s="58">
        <v>9.7729999999999997</v>
      </c>
      <c r="BB70" s="58">
        <v>6.4569999999999999</v>
      </c>
      <c r="BC70" s="58">
        <v>3.3170000000000002</v>
      </c>
      <c r="BD70" s="58">
        <v>7.617</v>
      </c>
      <c r="BE70" s="58">
        <v>3.2120000000000002</v>
      </c>
      <c r="BF70" s="58">
        <v>4.4050000000000002</v>
      </c>
      <c r="BG70" s="58">
        <v>7.8159999999999998</v>
      </c>
      <c r="BH70" s="58">
        <v>3.0790000000000002</v>
      </c>
      <c r="BI70" s="58">
        <v>4.7370000000000001</v>
      </c>
      <c r="BJ70" s="58">
        <v>235.428</v>
      </c>
      <c r="BK70" s="58">
        <v>121.315</v>
      </c>
      <c r="BL70" s="58">
        <v>114.113</v>
      </c>
      <c r="BM70" s="58">
        <v>169.316</v>
      </c>
      <c r="BN70" s="58">
        <v>98.804000000000002</v>
      </c>
      <c r="BO70" s="58">
        <v>70.510999999999996</v>
      </c>
      <c r="BP70" s="58">
        <v>66.111999999999995</v>
      </c>
      <c r="BQ70" s="58">
        <v>22.51</v>
      </c>
      <c r="BR70" s="58">
        <v>43.601999999999997</v>
      </c>
      <c r="BS70" s="58">
        <v>26.117000000000001</v>
      </c>
      <c r="BT70" s="58">
        <v>14.271000000000001</v>
      </c>
      <c r="BU70" s="58">
        <v>11.846</v>
      </c>
      <c r="BV70" s="58">
        <v>3.5680000000000001</v>
      </c>
      <c r="BW70" s="58">
        <v>1.333</v>
      </c>
      <c r="BX70" s="58">
        <v>2.2349999999999999</v>
      </c>
      <c r="BY70" s="58">
        <v>1.272</v>
      </c>
      <c r="BZ70" s="58">
        <v>0.64800000000000002</v>
      </c>
      <c r="CA70" s="58">
        <v>0.625</v>
      </c>
      <c r="CB70" s="58">
        <v>0</v>
      </c>
      <c r="CC70" s="58">
        <v>0</v>
      </c>
      <c r="CD70" s="58">
        <v>0</v>
      </c>
      <c r="CE70" s="58">
        <v>1.272</v>
      </c>
      <c r="CF70" s="58">
        <v>0.64800000000000002</v>
      </c>
      <c r="CG70" s="58">
        <v>0.625</v>
      </c>
      <c r="CH70" s="58">
        <v>2.2949999999999999</v>
      </c>
      <c r="CI70" s="58">
        <v>0.68500000000000005</v>
      </c>
      <c r="CJ70" s="58">
        <v>1.611</v>
      </c>
      <c r="CK70" s="58">
        <v>23.376000000000001</v>
      </c>
      <c r="CL70" s="58">
        <v>13.14</v>
      </c>
      <c r="CM70" s="58">
        <v>10.236000000000001</v>
      </c>
      <c r="CN70" s="58">
        <v>11.176</v>
      </c>
      <c r="CO70" s="58">
        <v>8.3879999999999999</v>
      </c>
      <c r="CP70" s="58">
        <v>2.7869999999999999</v>
      </c>
      <c r="CQ70" s="58">
        <v>12.2</v>
      </c>
      <c r="CR70" s="58">
        <v>4.7510000000000003</v>
      </c>
      <c r="CS70" s="58">
        <v>7.4489999999999998</v>
      </c>
      <c r="CT70" s="58">
        <v>12.448</v>
      </c>
      <c r="CU70" s="58">
        <v>9.0359999999999996</v>
      </c>
      <c r="CV70" s="58">
        <v>3.4119999999999999</v>
      </c>
      <c r="CW70" s="58">
        <v>13.669</v>
      </c>
      <c r="CX70" s="58">
        <v>5.234</v>
      </c>
      <c r="CY70" s="58">
        <v>8.4339999999999993</v>
      </c>
      <c r="CZ70" s="58">
        <v>12.2</v>
      </c>
      <c r="DA70" s="58">
        <v>4.7510000000000003</v>
      </c>
      <c r="DB70" s="58">
        <v>7.4489999999999998</v>
      </c>
    </row>
    <row r="71" spans="1:106">
      <c r="A71" s="5">
        <v>43647</v>
      </c>
      <c r="B71" s="58">
        <v>9.4529999999999994</v>
      </c>
      <c r="C71" s="58">
        <v>6.3090000000000002</v>
      </c>
      <c r="D71" s="58">
        <v>3.145</v>
      </c>
      <c r="E71" s="58">
        <v>26.266999999999999</v>
      </c>
      <c r="F71" s="58">
        <v>9.4489999999999998</v>
      </c>
      <c r="G71" s="58">
        <v>16.818000000000001</v>
      </c>
      <c r="H71" s="58">
        <v>10.744</v>
      </c>
      <c r="I71" s="58">
        <v>7.4749999999999996</v>
      </c>
      <c r="J71" s="58">
        <v>3.2690000000000001</v>
      </c>
      <c r="K71" s="58">
        <v>28.567</v>
      </c>
      <c r="L71" s="58">
        <v>10.759</v>
      </c>
      <c r="M71" s="58">
        <v>17.806999999999999</v>
      </c>
      <c r="N71" s="58">
        <v>27.119</v>
      </c>
      <c r="O71" s="58">
        <v>10.111000000000001</v>
      </c>
      <c r="P71" s="58">
        <v>17.007999999999999</v>
      </c>
      <c r="Q71" s="58">
        <v>127.97</v>
      </c>
      <c r="R71" s="58">
        <v>67.552000000000007</v>
      </c>
      <c r="S71" s="58">
        <v>60.417999999999999</v>
      </c>
      <c r="T71" s="58">
        <v>98.91</v>
      </c>
      <c r="U71" s="58">
        <v>57.064999999999998</v>
      </c>
      <c r="V71" s="58">
        <v>41.844999999999999</v>
      </c>
      <c r="W71" s="58">
        <v>29.06</v>
      </c>
      <c r="X71" s="58">
        <v>10.487</v>
      </c>
      <c r="Y71" s="58">
        <v>18.573</v>
      </c>
      <c r="Z71" s="58">
        <v>19.907</v>
      </c>
      <c r="AA71" s="58">
        <v>11.499000000000001</v>
      </c>
      <c r="AB71" s="58">
        <v>8.4079999999999995</v>
      </c>
      <c r="AC71" s="58">
        <v>2.444</v>
      </c>
      <c r="AD71" s="58">
        <v>1.2769999999999999</v>
      </c>
      <c r="AE71" s="58">
        <v>1.1679999999999999</v>
      </c>
      <c r="AF71" s="58">
        <v>1.3740000000000001</v>
      </c>
      <c r="AG71" s="58">
        <v>1.0069999999999999</v>
      </c>
      <c r="AH71" s="58">
        <v>0.36699999999999999</v>
      </c>
      <c r="AI71" s="58">
        <v>0.38900000000000001</v>
      </c>
      <c r="AJ71" s="58">
        <v>0.318</v>
      </c>
      <c r="AK71" s="58">
        <v>7.0999999999999994E-2</v>
      </c>
      <c r="AL71" s="58">
        <v>0.98499999999999999</v>
      </c>
      <c r="AM71" s="58">
        <v>0.68899999999999995</v>
      </c>
      <c r="AN71" s="58">
        <v>0.29599999999999999</v>
      </c>
      <c r="AO71" s="58">
        <v>1.071</v>
      </c>
      <c r="AP71" s="58">
        <v>0.27</v>
      </c>
      <c r="AQ71" s="58">
        <v>0.80100000000000005</v>
      </c>
      <c r="AR71" s="58">
        <v>18.699000000000002</v>
      </c>
      <c r="AS71" s="58">
        <v>10.725</v>
      </c>
      <c r="AT71" s="58">
        <v>7.9740000000000002</v>
      </c>
      <c r="AU71" s="58">
        <v>10.930999999999999</v>
      </c>
      <c r="AV71" s="58">
        <v>7.8520000000000003</v>
      </c>
      <c r="AW71" s="58">
        <v>3.0790000000000002</v>
      </c>
      <c r="AX71" s="58">
        <v>7.7670000000000003</v>
      </c>
      <c r="AY71" s="58">
        <v>2.8719999999999999</v>
      </c>
      <c r="AZ71" s="58">
        <v>4.8949999999999996</v>
      </c>
      <c r="BA71" s="58">
        <v>11.768000000000001</v>
      </c>
      <c r="BB71" s="58">
        <v>8.4570000000000007</v>
      </c>
      <c r="BC71" s="58">
        <v>3.3109999999999999</v>
      </c>
      <c r="BD71" s="58">
        <v>8.1389999999999993</v>
      </c>
      <c r="BE71" s="58">
        <v>3.0419999999999998</v>
      </c>
      <c r="BF71" s="58">
        <v>5.0970000000000004</v>
      </c>
      <c r="BG71" s="58">
        <v>8.1560000000000006</v>
      </c>
      <c r="BH71" s="58">
        <v>3.19</v>
      </c>
      <c r="BI71" s="58">
        <v>4.9660000000000002</v>
      </c>
      <c r="BJ71" s="58">
        <v>229.749</v>
      </c>
      <c r="BK71" s="58">
        <v>117.45099999999999</v>
      </c>
      <c r="BL71" s="58">
        <v>112.297</v>
      </c>
      <c r="BM71" s="58">
        <v>162.87200000000001</v>
      </c>
      <c r="BN71" s="58">
        <v>93.367999999999995</v>
      </c>
      <c r="BO71" s="58">
        <v>69.504000000000005</v>
      </c>
      <c r="BP71" s="58">
        <v>66.876000000000005</v>
      </c>
      <c r="BQ71" s="58">
        <v>24.082999999999998</v>
      </c>
      <c r="BR71" s="58">
        <v>42.793999999999997</v>
      </c>
      <c r="BS71" s="58">
        <v>25.622</v>
      </c>
      <c r="BT71" s="58">
        <v>13.782999999999999</v>
      </c>
      <c r="BU71" s="58">
        <v>11.839</v>
      </c>
      <c r="BV71" s="58">
        <v>4.6849999999999996</v>
      </c>
      <c r="BW71" s="58">
        <v>2.8250000000000002</v>
      </c>
      <c r="BX71" s="58">
        <v>1.86</v>
      </c>
      <c r="BY71" s="58">
        <v>1.8029999999999999</v>
      </c>
      <c r="BZ71" s="58">
        <v>1.8029999999999999</v>
      </c>
      <c r="CA71" s="58">
        <v>0</v>
      </c>
      <c r="CB71" s="58">
        <v>0.74099999999999999</v>
      </c>
      <c r="CC71" s="58">
        <v>0.74099999999999999</v>
      </c>
      <c r="CD71" s="58">
        <v>0</v>
      </c>
      <c r="CE71" s="58">
        <v>1.0620000000000001</v>
      </c>
      <c r="CF71" s="58">
        <v>1.0620000000000001</v>
      </c>
      <c r="CG71" s="58">
        <v>0</v>
      </c>
      <c r="CH71" s="58">
        <v>2.8820000000000001</v>
      </c>
      <c r="CI71" s="58">
        <v>1.022</v>
      </c>
      <c r="CJ71" s="58">
        <v>1.86</v>
      </c>
      <c r="CK71" s="58">
        <v>22.739000000000001</v>
      </c>
      <c r="CL71" s="58">
        <v>11.491</v>
      </c>
      <c r="CM71" s="58">
        <v>11.247999999999999</v>
      </c>
      <c r="CN71" s="58">
        <v>10.682</v>
      </c>
      <c r="CO71" s="58">
        <v>7.5620000000000003</v>
      </c>
      <c r="CP71" s="58">
        <v>3.12</v>
      </c>
      <c r="CQ71" s="58">
        <v>12.057</v>
      </c>
      <c r="CR71" s="58">
        <v>3.9289999999999998</v>
      </c>
      <c r="CS71" s="58">
        <v>8.1280000000000001</v>
      </c>
      <c r="CT71" s="58">
        <v>12.36</v>
      </c>
      <c r="CU71" s="58">
        <v>9.24</v>
      </c>
      <c r="CV71" s="58">
        <v>3.12</v>
      </c>
      <c r="CW71" s="58">
        <v>13.262</v>
      </c>
      <c r="CX71" s="58">
        <v>4.5430000000000001</v>
      </c>
      <c r="CY71" s="58">
        <v>8.7189999999999994</v>
      </c>
      <c r="CZ71" s="58">
        <v>12.798</v>
      </c>
      <c r="DA71" s="58">
        <v>4.67</v>
      </c>
      <c r="DB71" s="58">
        <v>8.1280000000000001</v>
      </c>
    </row>
    <row r="72" spans="1:106">
      <c r="A72" s="5">
        <v>43678</v>
      </c>
      <c r="B72" s="58">
        <v>9.7509999999999994</v>
      </c>
      <c r="C72" s="58">
        <v>6.681</v>
      </c>
      <c r="D72" s="58">
        <v>3.0710000000000002</v>
      </c>
      <c r="E72" s="58">
        <v>29.068000000000001</v>
      </c>
      <c r="F72" s="58">
        <v>11.417999999999999</v>
      </c>
      <c r="G72" s="58">
        <v>17.649000000000001</v>
      </c>
      <c r="H72" s="58">
        <v>10.81</v>
      </c>
      <c r="I72" s="58">
        <v>7.5460000000000003</v>
      </c>
      <c r="J72" s="58">
        <v>3.2639999999999998</v>
      </c>
      <c r="K72" s="58">
        <v>31.931999999999999</v>
      </c>
      <c r="L72" s="58">
        <v>12.567</v>
      </c>
      <c r="M72" s="58">
        <v>19.364000000000001</v>
      </c>
      <c r="N72" s="58">
        <v>30.050999999999998</v>
      </c>
      <c r="O72" s="58">
        <v>11.975</v>
      </c>
      <c r="P72" s="58">
        <v>18.077000000000002</v>
      </c>
      <c r="Q72" s="58">
        <v>128.29300000000001</v>
      </c>
      <c r="R72" s="58">
        <v>67.012</v>
      </c>
      <c r="S72" s="58">
        <v>61.281999999999996</v>
      </c>
      <c r="T72" s="58">
        <v>99.197999999999993</v>
      </c>
      <c r="U72" s="58">
        <v>57.087000000000003</v>
      </c>
      <c r="V72" s="58">
        <v>42.110999999999997</v>
      </c>
      <c r="W72" s="58">
        <v>29.094999999999999</v>
      </c>
      <c r="X72" s="58">
        <v>9.9250000000000007</v>
      </c>
      <c r="Y72" s="58">
        <v>19.170000000000002</v>
      </c>
      <c r="Z72" s="58">
        <v>16.027000000000001</v>
      </c>
      <c r="AA72" s="58">
        <v>9.52</v>
      </c>
      <c r="AB72" s="58">
        <v>6.5069999999999997</v>
      </c>
      <c r="AC72" s="58">
        <v>1.512</v>
      </c>
      <c r="AD72" s="58">
        <v>1.1599999999999999</v>
      </c>
      <c r="AE72" s="58">
        <v>0.35199999999999998</v>
      </c>
      <c r="AF72" s="58">
        <v>0.87</v>
      </c>
      <c r="AG72" s="58">
        <v>0.74199999999999999</v>
      </c>
      <c r="AH72" s="58">
        <v>0.128</v>
      </c>
      <c r="AI72" s="58">
        <v>0.60899999999999999</v>
      </c>
      <c r="AJ72" s="58">
        <v>0.48099999999999998</v>
      </c>
      <c r="AK72" s="58">
        <v>0.128</v>
      </c>
      <c r="AL72" s="58">
        <v>0.26100000000000001</v>
      </c>
      <c r="AM72" s="58">
        <v>0.26100000000000001</v>
      </c>
      <c r="AN72" s="58">
        <v>0</v>
      </c>
      <c r="AO72" s="58">
        <v>0.64200000000000002</v>
      </c>
      <c r="AP72" s="58">
        <v>0.41799999999999998</v>
      </c>
      <c r="AQ72" s="58">
        <v>0.224</v>
      </c>
      <c r="AR72" s="58">
        <v>15.162000000000001</v>
      </c>
      <c r="AS72" s="58">
        <v>8.9380000000000006</v>
      </c>
      <c r="AT72" s="58">
        <v>6.2240000000000002</v>
      </c>
      <c r="AU72" s="58">
        <v>8.9179999999999993</v>
      </c>
      <c r="AV72" s="58">
        <v>6.3070000000000004</v>
      </c>
      <c r="AW72" s="58">
        <v>2.6110000000000002</v>
      </c>
      <c r="AX72" s="58">
        <v>6.2439999999999998</v>
      </c>
      <c r="AY72" s="58">
        <v>2.6309999999999998</v>
      </c>
      <c r="AZ72" s="58">
        <v>3.613</v>
      </c>
      <c r="BA72" s="58">
        <v>9.48</v>
      </c>
      <c r="BB72" s="58">
        <v>6.7409999999999997</v>
      </c>
      <c r="BC72" s="58">
        <v>2.7389999999999999</v>
      </c>
      <c r="BD72" s="58">
        <v>6.5469999999999997</v>
      </c>
      <c r="BE72" s="58">
        <v>2.7789999999999999</v>
      </c>
      <c r="BF72" s="58">
        <v>3.7679999999999998</v>
      </c>
      <c r="BG72" s="58">
        <v>6.8529999999999998</v>
      </c>
      <c r="BH72" s="58">
        <v>3.1120000000000001</v>
      </c>
      <c r="BI72" s="58">
        <v>3.7410000000000001</v>
      </c>
      <c r="BJ72" s="58">
        <v>230.27099999999999</v>
      </c>
      <c r="BK72" s="58">
        <v>117.578</v>
      </c>
      <c r="BL72" s="58">
        <v>112.693</v>
      </c>
      <c r="BM72" s="58">
        <v>162.57599999999999</v>
      </c>
      <c r="BN72" s="58">
        <v>93.641000000000005</v>
      </c>
      <c r="BO72" s="58">
        <v>68.936000000000007</v>
      </c>
      <c r="BP72" s="58">
        <v>67.694999999999993</v>
      </c>
      <c r="BQ72" s="58">
        <v>23.937000000000001</v>
      </c>
      <c r="BR72" s="58">
        <v>43.758000000000003</v>
      </c>
      <c r="BS72" s="58">
        <v>28.635000000000002</v>
      </c>
      <c r="BT72" s="58">
        <v>15.416</v>
      </c>
      <c r="BU72" s="58">
        <v>13.218999999999999</v>
      </c>
      <c r="BV72" s="58">
        <v>6.5519999999999996</v>
      </c>
      <c r="BW72" s="58">
        <v>4.4829999999999997</v>
      </c>
      <c r="BX72" s="58">
        <v>2.069</v>
      </c>
      <c r="BY72" s="58">
        <v>2.2789999999999999</v>
      </c>
      <c r="BZ72" s="58">
        <v>1.9390000000000001</v>
      </c>
      <c r="CA72" s="58">
        <v>0.33900000000000002</v>
      </c>
      <c r="CB72" s="58">
        <v>1.262</v>
      </c>
      <c r="CC72" s="58">
        <v>1.262</v>
      </c>
      <c r="CD72" s="58">
        <v>0</v>
      </c>
      <c r="CE72" s="58">
        <v>1.0169999999999999</v>
      </c>
      <c r="CF72" s="58">
        <v>0.67800000000000005</v>
      </c>
      <c r="CG72" s="58">
        <v>0.33900000000000002</v>
      </c>
      <c r="CH72" s="58">
        <v>4.2729999999999997</v>
      </c>
      <c r="CI72" s="58">
        <v>2.544</v>
      </c>
      <c r="CJ72" s="58">
        <v>1.7290000000000001</v>
      </c>
      <c r="CK72" s="58">
        <v>24.084</v>
      </c>
      <c r="CL72" s="58">
        <v>12.75</v>
      </c>
      <c r="CM72" s="58">
        <v>11.335000000000001</v>
      </c>
      <c r="CN72" s="58">
        <v>7.2770000000000001</v>
      </c>
      <c r="CO72" s="58">
        <v>5.4539999999999997</v>
      </c>
      <c r="CP72" s="58">
        <v>1.823</v>
      </c>
      <c r="CQ72" s="58">
        <v>16.806999999999999</v>
      </c>
      <c r="CR72" s="58">
        <v>7.2960000000000003</v>
      </c>
      <c r="CS72" s="58">
        <v>9.5120000000000005</v>
      </c>
      <c r="CT72" s="58">
        <v>9.109</v>
      </c>
      <c r="CU72" s="58">
        <v>6.9459999999999997</v>
      </c>
      <c r="CV72" s="58">
        <v>2.1619999999999999</v>
      </c>
      <c r="CW72" s="58">
        <v>19.526</v>
      </c>
      <c r="CX72" s="58">
        <v>8.4700000000000006</v>
      </c>
      <c r="CY72" s="58">
        <v>11.057</v>
      </c>
      <c r="CZ72" s="58">
        <v>18.068999999999999</v>
      </c>
      <c r="DA72" s="58">
        <v>8.5570000000000004</v>
      </c>
      <c r="DB72" s="58">
        <v>9.5120000000000005</v>
      </c>
    </row>
    <row r="73" spans="1:106">
      <c r="A73" s="5">
        <v>43709</v>
      </c>
      <c r="B73" s="58">
        <v>10.385</v>
      </c>
      <c r="C73" s="58">
        <v>7.1550000000000002</v>
      </c>
      <c r="D73" s="58">
        <v>3.2309999999999999</v>
      </c>
      <c r="E73" s="58">
        <v>28.414999999999999</v>
      </c>
      <c r="F73" s="58">
        <v>11.18</v>
      </c>
      <c r="G73" s="58">
        <v>17.234999999999999</v>
      </c>
      <c r="H73" s="58">
        <v>11.702</v>
      </c>
      <c r="I73" s="58">
        <v>8.3580000000000005</v>
      </c>
      <c r="J73" s="58">
        <v>3.3439999999999999</v>
      </c>
      <c r="K73" s="58">
        <v>31.318000000000001</v>
      </c>
      <c r="L73" s="58">
        <v>12.584</v>
      </c>
      <c r="M73" s="58">
        <v>18.734000000000002</v>
      </c>
      <c r="N73" s="58">
        <v>29.89</v>
      </c>
      <c r="O73" s="58">
        <v>12.443</v>
      </c>
      <c r="P73" s="58">
        <v>17.446999999999999</v>
      </c>
      <c r="Q73" s="58">
        <v>132.077</v>
      </c>
      <c r="R73" s="58">
        <v>68.716999999999999</v>
      </c>
      <c r="S73" s="58">
        <v>63.36</v>
      </c>
      <c r="T73" s="58">
        <v>102.492</v>
      </c>
      <c r="U73" s="58">
        <v>58.01</v>
      </c>
      <c r="V73" s="58">
        <v>44.481999999999999</v>
      </c>
      <c r="W73" s="58">
        <v>29.585000000000001</v>
      </c>
      <c r="X73" s="58">
        <v>10.707000000000001</v>
      </c>
      <c r="Y73" s="58">
        <v>18.878</v>
      </c>
      <c r="Z73" s="58">
        <v>17.084</v>
      </c>
      <c r="AA73" s="58">
        <v>9.766</v>
      </c>
      <c r="AB73" s="58">
        <v>7.3179999999999996</v>
      </c>
      <c r="AC73" s="58">
        <v>1.6080000000000001</v>
      </c>
      <c r="AD73" s="58">
        <v>1.141</v>
      </c>
      <c r="AE73" s="58">
        <v>0.46700000000000003</v>
      </c>
      <c r="AF73" s="58">
        <v>1.0620000000000001</v>
      </c>
      <c r="AG73" s="58">
        <v>0.91500000000000004</v>
      </c>
      <c r="AH73" s="58">
        <v>0.14699999999999999</v>
      </c>
      <c r="AI73" s="58">
        <v>0.42399999999999999</v>
      </c>
      <c r="AJ73" s="58">
        <v>0.42399999999999999</v>
      </c>
      <c r="AK73" s="58">
        <v>0</v>
      </c>
      <c r="AL73" s="58">
        <v>0.63800000000000001</v>
      </c>
      <c r="AM73" s="58">
        <v>0.49099999999999999</v>
      </c>
      <c r="AN73" s="58">
        <v>0.14699999999999999</v>
      </c>
      <c r="AO73" s="58">
        <v>0.54600000000000004</v>
      </c>
      <c r="AP73" s="58">
        <v>0.22600000000000001</v>
      </c>
      <c r="AQ73" s="58">
        <v>0.32</v>
      </c>
      <c r="AR73" s="58">
        <v>15.962999999999999</v>
      </c>
      <c r="AS73" s="58">
        <v>8.8550000000000004</v>
      </c>
      <c r="AT73" s="58">
        <v>7.1079999999999997</v>
      </c>
      <c r="AU73" s="58">
        <v>8.6150000000000002</v>
      </c>
      <c r="AV73" s="58">
        <v>6.0190000000000001</v>
      </c>
      <c r="AW73" s="58">
        <v>2.5960000000000001</v>
      </c>
      <c r="AX73" s="58">
        <v>7.3470000000000004</v>
      </c>
      <c r="AY73" s="58">
        <v>2.8359999999999999</v>
      </c>
      <c r="AZ73" s="58">
        <v>4.5119999999999996</v>
      </c>
      <c r="BA73" s="58">
        <v>9.4480000000000004</v>
      </c>
      <c r="BB73" s="58">
        <v>6.7039999999999997</v>
      </c>
      <c r="BC73" s="58">
        <v>2.7440000000000002</v>
      </c>
      <c r="BD73" s="58">
        <v>7.6360000000000001</v>
      </c>
      <c r="BE73" s="58">
        <v>3.0619999999999998</v>
      </c>
      <c r="BF73" s="58">
        <v>4.5739999999999998</v>
      </c>
      <c r="BG73" s="58">
        <v>7.7709999999999999</v>
      </c>
      <c r="BH73" s="58">
        <v>3.26</v>
      </c>
      <c r="BI73" s="58">
        <v>4.5119999999999996</v>
      </c>
      <c r="BJ73" s="58">
        <v>235.167</v>
      </c>
      <c r="BK73" s="58">
        <v>120.196</v>
      </c>
      <c r="BL73" s="58">
        <v>114.971</v>
      </c>
      <c r="BM73" s="58">
        <v>167.79900000000001</v>
      </c>
      <c r="BN73" s="58">
        <v>96.924999999999997</v>
      </c>
      <c r="BO73" s="58">
        <v>70.873999999999995</v>
      </c>
      <c r="BP73" s="58">
        <v>67.367999999999995</v>
      </c>
      <c r="BQ73" s="58">
        <v>23.271000000000001</v>
      </c>
      <c r="BR73" s="58">
        <v>44.097000000000001</v>
      </c>
      <c r="BS73" s="58">
        <v>25.39</v>
      </c>
      <c r="BT73" s="58">
        <v>11.786</v>
      </c>
      <c r="BU73" s="58">
        <v>13.605</v>
      </c>
      <c r="BV73" s="58">
        <v>6.24</v>
      </c>
      <c r="BW73" s="58">
        <v>2.64</v>
      </c>
      <c r="BX73" s="58">
        <v>3.6</v>
      </c>
      <c r="BY73" s="58">
        <v>2.327</v>
      </c>
      <c r="BZ73" s="58">
        <v>1.544</v>
      </c>
      <c r="CA73" s="58">
        <v>0.78300000000000003</v>
      </c>
      <c r="CB73" s="58">
        <v>1.2110000000000001</v>
      </c>
      <c r="CC73" s="58">
        <v>0.629</v>
      </c>
      <c r="CD73" s="58">
        <v>0.58199999999999996</v>
      </c>
      <c r="CE73" s="58">
        <v>1.1160000000000001</v>
      </c>
      <c r="CF73" s="58">
        <v>0.91500000000000004</v>
      </c>
      <c r="CG73" s="58">
        <v>0.20100000000000001</v>
      </c>
      <c r="CH73" s="58">
        <v>3.9129999999999998</v>
      </c>
      <c r="CI73" s="58">
        <v>1.0960000000000001</v>
      </c>
      <c r="CJ73" s="58">
        <v>2.8170000000000002</v>
      </c>
      <c r="CK73" s="58">
        <v>21.224</v>
      </c>
      <c r="CL73" s="58">
        <v>10.458</v>
      </c>
      <c r="CM73" s="58">
        <v>10.765000000000001</v>
      </c>
      <c r="CN73" s="58">
        <v>10.028</v>
      </c>
      <c r="CO73" s="58">
        <v>6.5720000000000001</v>
      </c>
      <c r="CP73" s="58">
        <v>3.456</v>
      </c>
      <c r="CQ73" s="58">
        <v>11.196</v>
      </c>
      <c r="CR73" s="58">
        <v>3.8860000000000001</v>
      </c>
      <c r="CS73" s="58">
        <v>7.31</v>
      </c>
      <c r="CT73" s="58">
        <v>11.272</v>
      </c>
      <c r="CU73" s="58">
        <v>7.4139999999999997</v>
      </c>
      <c r="CV73" s="58">
        <v>3.8580000000000001</v>
      </c>
      <c r="CW73" s="58">
        <v>14.119</v>
      </c>
      <c r="CX73" s="58">
        <v>4.3719999999999999</v>
      </c>
      <c r="CY73" s="58">
        <v>9.7469999999999999</v>
      </c>
      <c r="CZ73" s="58">
        <v>12.407</v>
      </c>
      <c r="DA73" s="58">
        <v>4.5149999999999997</v>
      </c>
      <c r="DB73" s="58">
        <v>7.8920000000000003</v>
      </c>
    </row>
    <row r="74" spans="1:106">
      <c r="A74" s="5">
        <v>43739</v>
      </c>
      <c r="B74" s="58">
        <v>10.052</v>
      </c>
      <c r="C74" s="58">
        <v>6.5780000000000003</v>
      </c>
      <c r="D74" s="58">
        <v>3.4740000000000002</v>
      </c>
      <c r="E74" s="58">
        <v>28.536000000000001</v>
      </c>
      <c r="F74" s="58">
        <v>10.698</v>
      </c>
      <c r="G74" s="58">
        <v>17.838000000000001</v>
      </c>
      <c r="H74" s="58">
        <v>11.861000000000001</v>
      </c>
      <c r="I74" s="58">
        <v>8.3870000000000005</v>
      </c>
      <c r="J74" s="58">
        <v>3.4740000000000002</v>
      </c>
      <c r="K74" s="58">
        <v>30.21</v>
      </c>
      <c r="L74" s="58">
        <v>11.544</v>
      </c>
      <c r="M74" s="58">
        <v>18.666</v>
      </c>
      <c r="N74" s="58">
        <v>29.856999999999999</v>
      </c>
      <c r="O74" s="58">
        <v>12.018000000000001</v>
      </c>
      <c r="P74" s="58">
        <v>17.838000000000001</v>
      </c>
      <c r="Q74" s="58">
        <v>131.809</v>
      </c>
      <c r="R74" s="58">
        <v>67.563000000000002</v>
      </c>
      <c r="S74" s="58">
        <v>64.245999999999995</v>
      </c>
      <c r="T74" s="58">
        <v>100.633</v>
      </c>
      <c r="U74" s="58">
        <v>56.896000000000001</v>
      </c>
      <c r="V74" s="58">
        <v>43.737000000000002</v>
      </c>
      <c r="W74" s="58">
        <v>31.175999999999998</v>
      </c>
      <c r="X74" s="58">
        <v>10.667</v>
      </c>
      <c r="Y74" s="58">
        <v>20.509</v>
      </c>
      <c r="Z74" s="58">
        <v>16.411999999999999</v>
      </c>
      <c r="AA74" s="58">
        <v>8.8230000000000004</v>
      </c>
      <c r="AB74" s="58">
        <v>7.5890000000000004</v>
      </c>
      <c r="AC74" s="58">
        <v>1.3740000000000001</v>
      </c>
      <c r="AD74" s="58">
        <v>0.8</v>
      </c>
      <c r="AE74" s="58">
        <v>0.57399999999999995</v>
      </c>
      <c r="AF74" s="58">
        <v>0.93899999999999995</v>
      </c>
      <c r="AG74" s="58">
        <v>0.55100000000000005</v>
      </c>
      <c r="AH74" s="58">
        <v>0.38800000000000001</v>
      </c>
      <c r="AI74" s="58">
        <v>0.498</v>
      </c>
      <c r="AJ74" s="58">
        <v>0.29199999999999998</v>
      </c>
      <c r="AK74" s="58">
        <v>0.20599999999999999</v>
      </c>
      <c r="AL74" s="58">
        <v>0.441</v>
      </c>
      <c r="AM74" s="58">
        <v>0.25900000000000001</v>
      </c>
      <c r="AN74" s="58">
        <v>0.182</v>
      </c>
      <c r="AO74" s="58">
        <v>0.435</v>
      </c>
      <c r="AP74" s="58">
        <v>0.249</v>
      </c>
      <c r="AQ74" s="58">
        <v>0.186</v>
      </c>
      <c r="AR74" s="58">
        <v>15.365</v>
      </c>
      <c r="AS74" s="58">
        <v>8.2420000000000009</v>
      </c>
      <c r="AT74" s="58">
        <v>7.1230000000000002</v>
      </c>
      <c r="AU74" s="58">
        <v>7.9660000000000002</v>
      </c>
      <c r="AV74" s="58">
        <v>5.61</v>
      </c>
      <c r="AW74" s="58">
        <v>2.3559999999999999</v>
      </c>
      <c r="AX74" s="58">
        <v>7.399</v>
      </c>
      <c r="AY74" s="58">
        <v>2.6320000000000001</v>
      </c>
      <c r="AZ74" s="58">
        <v>4.7670000000000003</v>
      </c>
      <c r="BA74" s="58">
        <v>8.6859999999999999</v>
      </c>
      <c r="BB74" s="58">
        <v>5.9409999999999998</v>
      </c>
      <c r="BC74" s="58">
        <v>2.7440000000000002</v>
      </c>
      <c r="BD74" s="58">
        <v>7.726</v>
      </c>
      <c r="BE74" s="58">
        <v>2.8809999999999998</v>
      </c>
      <c r="BF74" s="58">
        <v>4.8449999999999998</v>
      </c>
      <c r="BG74" s="58">
        <v>7.8970000000000002</v>
      </c>
      <c r="BH74" s="58">
        <v>2.9239999999999999</v>
      </c>
      <c r="BI74" s="58">
        <v>4.9729999999999999</v>
      </c>
      <c r="BJ74" s="58">
        <v>231.20599999999999</v>
      </c>
      <c r="BK74" s="58">
        <v>118.142</v>
      </c>
      <c r="BL74" s="58">
        <v>113.06399999999999</v>
      </c>
      <c r="BM74" s="58">
        <v>162.64599999999999</v>
      </c>
      <c r="BN74" s="58">
        <v>92.676000000000002</v>
      </c>
      <c r="BO74" s="58">
        <v>69.97</v>
      </c>
      <c r="BP74" s="58">
        <v>68.56</v>
      </c>
      <c r="BQ74" s="58">
        <v>25.466000000000001</v>
      </c>
      <c r="BR74" s="58">
        <v>43.093000000000004</v>
      </c>
      <c r="BS74" s="58">
        <v>20.972999999999999</v>
      </c>
      <c r="BT74" s="58">
        <v>10.936999999999999</v>
      </c>
      <c r="BU74" s="58">
        <v>10.036</v>
      </c>
      <c r="BV74" s="58">
        <v>3.6160000000000001</v>
      </c>
      <c r="BW74" s="58">
        <v>2.4159999999999999</v>
      </c>
      <c r="BX74" s="58">
        <v>1.2010000000000001</v>
      </c>
      <c r="BY74" s="58">
        <v>1.3440000000000001</v>
      </c>
      <c r="BZ74" s="58">
        <v>1.145</v>
      </c>
      <c r="CA74" s="58">
        <v>0.19800000000000001</v>
      </c>
      <c r="CB74" s="58">
        <v>1.3440000000000001</v>
      </c>
      <c r="CC74" s="58">
        <v>1.145</v>
      </c>
      <c r="CD74" s="58">
        <v>0.19800000000000001</v>
      </c>
      <c r="CE74" s="58">
        <v>0</v>
      </c>
      <c r="CF74" s="58">
        <v>0</v>
      </c>
      <c r="CG74" s="58">
        <v>0</v>
      </c>
      <c r="CH74" s="58">
        <v>2.2730000000000001</v>
      </c>
      <c r="CI74" s="58">
        <v>1.27</v>
      </c>
      <c r="CJ74" s="58">
        <v>1.002</v>
      </c>
      <c r="CK74" s="58">
        <v>18.907</v>
      </c>
      <c r="CL74" s="58">
        <v>9.2759999999999998</v>
      </c>
      <c r="CM74" s="58">
        <v>9.6310000000000002</v>
      </c>
      <c r="CN74" s="58">
        <v>8.07</v>
      </c>
      <c r="CO74" s="58">
        <v>4.6120000000000001</v>
      </c>
      <c r="CP74" s="58">
        <v>3.4580000000000002</v>
      </c>
      <c r="CQ74" s="58">
        <v>10.837</v>
      </c>
      <c r="CR74" s="58">
        <v>4.665</v>
      </c>
      <c r="CS74" s="58">
        <v>6.173</v>
      </c>
      <c r="CT74" s="58">
        <v>9.2149999999999999</v>
      </c>
      <c r="CU74" s="58">
        <v>5.7569999999999997</v>
      </c>
      <c r="CV74" s="58">
        <v>3.4580000000000002</v>
      </c>
      <c r="CW74" s="58">
        <v>11.757999999999999</v>
      </c>
      <c r="CX74" s="58">
        <v>5.18</v>
      </c>
      <c r="CY74" s="58">
        <v>6.5780000000000003</v>
      </c>
      <c r="CZ74" s="58">
        <v>12.180999999999999</v>
      </c>
      <c r="DA74" s="58">
        <v>5.81</v>
      </c>
      <c r="DB74" s="58">
        <v>6.3710000000000004</v>
      </c>
    </row>
    <row r="75" spans="1:106">
      <c r="A75" s="5">
        <v>43770</v>
      </c>
      <c r="B75" s="58">
        <v>11.444000000000001</v>
      </c>
      <c r="C75" s="58">
        <v>7.9939999999999998</v>
      </c>
      <c r="D75" s="58">
        <v>3.45</v>
      </c>
      <c r="E75" s="58">
        <v>27.986000000000001</v>
      </c>
      <c r="F75" s="58">
        <v>11.019</v>
      </c>
      <c r="G75" s="58">
        <v>16.966999999999999</v>
      </c>
      <c r="H75" s="58">
        <v>13.252000000000001</v>
      </c>
      <c r="I75" s="58">
        <v>9.5090000000000003</v>
      </c>
      <c r="J75" s="58">
        <v>3.7429999999999999</v>
      </c>
      <c r="K75" s="58">
        <v>29.82</v>
      </c>
      <c r="L75" s="58">
        <v>11.683</v>
      </c>
      <c r="M75" s="58">
        <v>18.137</v>
      </c>
      <c r="N75" s="58">
        <v>29.58</v>
      </c>
      <c r="O75" s="58">
        <v>12.205</v>
      </c>
      <c r="P75" s="58">
        <v>17.375</v>
      </c>
      <c r="Q75" s="58">
        <v>134.511</v>
      </c>
      <c r="R75" s="58">
        <v>70.430999999999997</v>
      </c>
      <c r="S75" s="58">
        <v>64.08</v>
      </c>
      <c r="T75" s="58">
        <v>105.03</v>
      </c>
      <c r="U75" s="58">
        <v>59.875999999999998</v>
      </c>
      <c r="V75" s="58">
        <v>45.152999999999999</v>
      </c>
      <c r="W75" s="58">
        <v>29.481000000000002</v>
      </c>
      <c r="X75" s="58">
        <v>10.555</v>
      </c>
      <c r="Y75" s="58">
        <v>18.925999999999998</v>
      </c>
      <c r="Z75" s="58">
        <v>14.82</v>
      </c>
      <c r="AA75" s="58">
        <v>8.6820000000000004</v>
      </c>
      <c r="AB75" s="58">
        <v>6.1379999999999999</v>
      </c>
      <c r="AC75" s="58">
        <v>1.6060000000000001</v>
      </c>
      <c r="AD75" s="58">
        <v>0.84199999999999997</v>
      </c>
      <c r="AE75" s="58">
        <v>0.76300000000000001</v>
      </c>
      <c r="AF75" s="58">
        <v>0.63600000000000001</v>
      </c>
      <c r="AG75" s="58">
        <v>0.57299999999999995</v>
      </c>
      <c r="AH75" s="58">
        <v>6.3E-2</v>
      </c>
      <c r="AI75" s="58">
        <v>0.35199999999999998</v>
      </c>
      <c r="AJ75" s="58">
        <v>0.35199999999999998</v>
      </c>
      <c r="AK75" s="58">
        <v>0</v>
      </c>
      <c r="AL75" s="58">
        <v>0.28299999999999997</v>
      </c>
      <c r="AM75" s="58">
        <v>0.221</v>
      </c>
      <c r="AN75" s="58">
        <v>6.3E-2</v>
      </c>
      <c r="AO75" s="58">
        <v>0.97</v>
      </c>
      <c r="AP75" s="58">
        <v>0.27</v>
      </c>
      <c r="AQ75" s="58">
        <v>0.70099999999999996</v>
      </c>
      <c r="AR75" s="58">
        <v>14.086</v>
      </c>
      <c r="AS75" s="58">
        <v>8.3339999999999996</v>
      </c>
      <c r="AT75" s="58">
        <v>5.7519999999999998</v>
      </c>
      <c r="AU75" s="58">
        <v>6.9269999999999996</v>
      </c>
      <c r="AV75" s="58">
        <v>5.6580000000000004</v>
      </c>
      <c r="AW75" s="58">
        <v>1.2689999999999999</v>
      </c>
      <c r="AX75" s="58">
        <v>7.1589999999999998</v>
      </c>
      <c r="AY75" s="58">
        <v>2.6760000000000002</v>
      </c>
      <c r="AZ75" s="58">
        <v>4.4820000000000002</v>
      </c>
      <c r="BA75" s="58">
        <v>7.3380000000000001</v>
      </c>
      <c r="BB75" s="58">
        <v>6.0049999999999999</v>
      </c>
      <c r="BC75" s="58">
        <v>1.3320000000000001</v>
      </c>
      <c r="BD75" s="58">
        <v>7.4820000000000002</v>
      </c>
      <c r="BE75" s="58">
        <v>2.6760000000000002</v>
      </c>
      <c r="BF75" s="58">
        <v>4.806</v>
      </c>
      <c r="BG75" s="58">
        <v>7.5110000000000001</v>
      </c>
      <c r="BH75" s="58">
        <v>3.028</v>
      </c>
      <c r="BI75" s="58">
        <v>4.4820000000000002</v>
      </c>
      <c r="BJ75" s="58">
        <v>236.857</v>
      </c>
      <c r="BK75" s="58">
        <v>120.685</v>
      </c>
      <c r="BL75" s="58">
        <v>116.172</v>
      </c>
      <c r="BM75" s="58">
        <v>166.322</v>
      </c>
      <c r="BN75" s="58">
        <v>95.534999999999997</v>
      </c>
      <c r="BO75" s="58">
        <v>70.787000000000006</v>
      </c>
      <c r="BP75" s="58">
        <v>70.534999999999997</v>
      </c>
      <c r="BQ75" s="58">
        <v>25.15</v>
      </c>
      <c r="BR75" s="58">
        <v>45.384999999999998</v>
      </c>
      <c r="BS75" s="58">
        <v>27.925999999999998</v>
      </c>
      <c r="BT75" s="58">
        <v>13.819000000000001</v>
      </c>
      <c r="BU75" s="58">
        <v>14.108000000000001</v>
      </c>
      <c r="BV75" s="58">
        <v>5.59</v>
      </c>
      <c r="BW75" s="58">
        <v>3.06</v>
      </c>
      <c r="BX75" s="58">
        <v>2.5299999999999998</v>
      </c>
      <c r="BY75" s="58">
        <v>1.0369999999999999</v>
      </c>
      <c r="BZ75" s="58">
        <v>0.83699999999999997</v>
      </c>
      <c r="CA75" s="58">
        <v>0.2</v>
      </c>
      <c r="CB75" s="58">
        <v>0.2</v>
      </c>
      <c r="CC75" s="58">
        <v>0</v>
      </c>
      <c r="CD75" s="58">
        <v>0.2</v>
      </c>
      <c r="CE75" s="58">
        <v>0.83699999999999997</v>
      </c>
      <c r="CF75" s="58">
        <v>0.83699999999999997</v>
      </c>
      <c r="CG75" s="58">
        <v>0</v>
      </c>
      <c r="CH75" s="58">
        <v>4.5529999999999999</v>
      </c>
      <c r="CI75" s="58">
        <v>2.2229999999999999</v>
      </c>
      <c r="CJ75" s="58">
        <v>2.331</v>
      </c>
      <c r="CK75" s="58">
        <v>24.672000000000001</v>
      </c>
      <c r="CL75" s="58">
        <v>11.566000000000001</v>
      </c>
      <c r="CM75" s="58">
        <v>13.106</v>
      </c>
      <c r="CN75" s="58">
        <v>8.7590000000000003</v>
      </c>
      <c r="CO75" s="58">
        <v>6.0049999999999999</v>
      </c>
      <c r="CP75" s="58">
        <v>2.754</v>
      </c>
      <c r="CQ75" s="58">
        <v>15.913</v>
      </c>
      <c r="CR75" s="58">
        <v>5.56</v>
      </c>
      <c r="CS75" s="58">
        <v>10.353</v>
      </c>
      <c r="CT75" s="58">
        <v>9.3919999999999995</v>
      </c>
      <c r="CU75" s="58">
        <v>6.6390000000000002</v>
      </c>
      <c r="CV75" s="58">
        <v>2.754</v>
      </c>
      <c r="CW75" s="58">
        <v>18.533999999999999</v>
      </c>
      <c r="CX75" s="58">
        <v>7.18</v>
      </c>
      <c r="CY75" s="58">
        <v>11.353999999999999</v>
      </c>
      <c r="CZ75" s="58">
        <v>16.113</v>
      </c>
      <c r="DA75" s="58">
        <v>5.56</v>
      </c>
      <c r="DB75" s="58">
        <v>10.553000000000001</v>
      </c>
    </row>
    <row r="76" spans="1:106">
      <c r="A76" s="5">
        <v>43800</v>
      </c>
      <c r="B76" s="58">
        <v>9.5020000000000007</v>
      </c>
      <c r="C76" s="58">
        <v>6.0030000000000001</v>
      </c>
      <c r="D76" s="58">
        <v>3.4990000000000001</v>
      </c>
      <c r="E76" s="58">
        <v>30.359000000000002</v>
      </c>
      <c r="F76" s="58">
        <v>13.211</v>
      </c>
      <c r="G76" s="58">
        <v>17.149000000000001</v>
      </c>
      <c r="H76" s="58">
        <v>10.752000000000001</v>
      </c>
      <c r="I76" s="58">
        <v>6.8140000000000001</v>
      </c>
      <c r="J76" s="58">
        <v>3.9380000000000002</v>
      </c>
      <c r="K76" s="58">
        <v>32.597000000000001</v>
      </c>
      <c r="L76" s="58">
        <v>14.19</v>
      </c>
      <c r="M76" s="58">
        <v>18.407</v>
      </c>
      <c r="N76" s="58">
        <v>31.390999999999998</v>
      </c>
      <c r="O76" s="58">
        <v>13.815</v>
      </c>
      <c r="P76" s="58">
        <v>17.577000000000002</v>
      </c>
      <c r="Q76" s="58">
        <v>135.94200000000001</v>
      </c>
      <c r="R76" s="58">
        <v>71.331000000000003</v>
      </c>
      <c r="S76" s="58">
        <v>64.611000000000004</v>
      </c>
      <c r="T76" s="58">
        <v>106.684</v>
      </c>
      <c r="U76" s="58">
        <v>59.923000000000002</v>
      </c>
      <c r="V76" s="58">
        <v>46.762</v>
      </c>
      <c r="W76" s="58">
        <v>29.257000000000001</v>
      </c>
      <c r="X76" s="58">
        <v>11.407999999999999</v>
      </c>
      <c r="Y76" s="58">
        <v>17.849</v>
      </c>
      <c r="Z76" s="58">
        <v>15.694000000000001</v>
      </c>
      <c r="AA76" s="58">
        <v>8.5510000000000002</v>
      </c>
      <c r="AB76" s="58">
        <v>7.1429999999999998</v>
      </c>
      <c r="AC76" s="58">
        <v>1.962</v>
      </c>
      <c r="AD76" s="58">
        <v>1.03</v>
      </c>
      <c r="AE76" s="58">
        <v>0.93300000000000005</v>
      </c>
      <c r="AF76" s="58">
        <v>0.70499999999999996</v>
      </c>
      <c r="AG76" s="58">
        <v>0.40400000000000003</v>
      </c>
      <c r="AH76" s="58">
        <v>0.30099999999999999</v>
      </c>
      <c r="AI76" s="58">
        <v>0.40500000000000003</v>
      </c>
      <c r="AJ76" s="58">
        <v>0.27500000000000002</v>
      </c>
      <c r="AK76" s="58">
        <v>0.129</v>
      </c>
      <c r="AL76" s="58">
        <v>0.30099999999999999</v>
      </c>
      <c r="AM76" s="58">
        <v>0.129</v>
      </c>
      <c r="AN76" s="58">
        <v>0.17199999999999999</v>
      </c>
      <c r="AO76" s="58">
        <v>1.2569999999999999</v>
      </c>
      <c r="AP76" s="58">
        <v>0.626</v>
      </c>
      <c r="AQ76" s="58">
        <v>0.63200000000000001</v>
      </c>
      <c r="AR76" s="58">
        <v>14.5</v>
      </c>
      <c r="AS76" s="58">
        <v>7.7149999999999999</v>
      </c>
      <c r="AT76" s="58">
        <v>6.7850000000000001</v>
      </c>
      <c r="AU76" s="58">
        <v>6.4950000000000001</v>
      </c>
      <c r="AV76" s="58">
        <v>4.9009999999999998</v>
      </c>
      <c r="AW76" s="58">
        <v>1.593</v>
      </c>
      <c r="AX76" s="58">
        <v>8.0050000000000008</v>
      </c>
      <c r="AY76" s="58">
        <v>2.8140000000000001</v>
      </c>
      <c r="AZ76" s="58">
        <v>5.1920000000000002</v>
      </c>
      <c r="BA76" s="58">
        <v>6.98</v>
      </c>
      <c r="BB76" s="58">
        <v>5.1769999999999996</v>
      </c>
      <c r="BC76" s="58">
        <v>1.8029999999999999</v>
      </c>
      <c r="BD76" s="58">
        <v>8.7140000000000004</v>
      </c>
      <c r="BE76" s="58">
        <v>3.3740000000000001</v>
      </c>
      <c r="BF76" s="58">
        <v>5.34</v>
      </c>
      <c r="BG76" s="58">
        <v>8.41</v>
      </c>
      <c r="BH76" s="58">
        <v>3.089</v>
      </c>
      <c r="BI76" s="58">
        <v>5.3209999999999997</v>
      </c>
      <c r="BJ76" s="58">
        <v>234.68199999999999</v>
      </c>
      <c r="BK76" s="58">
        <v>119.227</v>
      </c>
      <c r="BL76" s="58">
        <v>115.455</v>
      </c>
      <c r="BM76" s="58">
        <v>166.99700000000001</v>
      </c>
      <c r="BN76" s="58">
        <v>95.956000000000003</v>
      </c>
      <c r="BO76" s="58">
        <v>71.040000000000006</v>
      </c>
      <c r="BP76" s="58">
        <v>67.686000000000007</v>
      </c>
      <c r="BQ76" s="58">
        <v>23.271000000000001</v>
      </c>
      <c r="BR76" s="58">
        <v>44.414999999999999</v>
      </c>
      <c r="BS76" s="58">
        <v>23.446999999999999</v>
      </c>
      <c r="BT76" s="58">
        <v>11.362</v>
      </c>
      <c r="BU76" s="58">
        <v>12.085000000000001</v>
      </c>
      <c r="BV76" s="58">
        <v>4.6859999999999999</v>
      </c>
      <c r="BW76" s="58">
        <v>2.2959999999999998</v>
      </c>
      <c r="BX76" s="58">
        <v>2.39</v>
      </c>
      <c r="BY76" s="58">
        <v>1.542</v>
      </c>
      <c r="BZ76" s="58">
        <v>1.173</v>
      </c>
      <c r="CA76" s="58">
        <v>0.36899999999999999</v>
      </c>
      <c r="CB76" s="58">
        <v>0.52700000000000002</v>
      </c>
      <c r="CC76" s="58">
        <v>0.32600000000000001</v>
      </c>
      <c r="CD76" s="58">
        <v>0.20100000000000001</v>
      </c>
      <c r="CE76" s="58">
        <v>1.016</v>
      </c>
      <c r="CF76" s="58">
        <v>0.84699999999999998</v>
      </c>
      <c r="CG76" s="58">
        <v>0.16900000000000001</v>
      </c>
      <c r="CH76" s="58">
        <v>3.1440000000000001</v>
      </c>
      <c r="CI76" s="58">
        <v>1.123</v>
      </c>
      <c r="CJ76" s="58">
        <v>2.02</v>
      </c>
      <c r="CK76" s="58">
        <v>20.9</v>
      </c>
      <c r="CL76" s="58">
        <v>10.102</v>
      </c>
      <c r="CM76" s="58">
        <v>10.798</v>
      </c>
      <c r="CN76" s="58">
        <v>6.9889999999999999</v>
      </c>
      <c r="CO76" s="58">
        <v>5.0410000000000004</v>
      </c>
      <c r="CP76" s="58">
        <v>1.948</v>
      </c>
      <c r="CQ76" s="58">
        <v>13.911</v>
      </c>
      <c r="CR76" s="58">
        <v>5.0620000000000003</v>
      </c>
      <c r="CS76" s="58">
        <v>8.85</v>
      </c>
      <c r="CT76" s="58">
        <v>8.0039999999999996</v>
      </c>
      <c r="CU76" s="58">
        <v>5.8869999999999996</v>
      </c>
      <c r="CV76" s="58">
        <v>2.117</v>
      </c>
      <c r="CW76" s="58">
        <v>15.442</v>
      </c>
      <c r="CX76" s="58">
        <v>5.4740000000000002</v>
      </c>
      <c r="CY76" s="58">
        <v>9.968</v>
      </c>
      <c r="CZ76" s="58">
        <v>14.438000000000001</v>
      </c>
      <c r="DA76" s="58">
        <v>5.3879999999999999</v>
      </c>
      <c r="DB76" s="58">
        <v>9.0500000000000007</v>
      </c>
    </row>
    <row r="77" spans="1:106">
      <c r="A77" s="5">
        <v>43831</v>
      </c>
      <c r="B77" s="58">
        <v>10.571</v>
      </c>
      <c r="C77" s="58">
        <v>7.1760000000000002</v>
      </c>
      <c r="D77" s="58">
        <v>3.395</v>
      </c>
      <c r="E77" s="58">
        <v>29.001000000000001</v>
      </c>
      <c r="F77" s="58">
        <v>12.006</v>
      </c>
      <c r="G77" s="58">
        <v>16.995000000000001</v>
      </c>
      <c r="H77" s="58">
        <v>11.731</v>
      </c>
      <c r="I77" s="58">
        <v>8.0210000000000008</v>
      </c>
      <c r="J77" s="58">
        <v>3.71</v>
      </c>
      <c r="K77" s="58">
        <v>31.431999999999999</v>
      </c>
      <c r="L77" s="58">
        <v>12.746</v>
      </c>
      <c r="M77" s="58">
        <v>18.686</v>
      </c>
      <c r="N77" s="58">
        <v>29.803999999999998</v>
      </c>
      <c r="O77" s="58">
        <v>12.593</v>
      </c>
      <c r="P77" s="58">
        <v>17.210999999999999</v>
      </c>
      <c r="Q77" s="58">
        <v>131.226</v>
      </c>
      <c r="R77" s="58">
        <v>69.638999999999996</v>
      </c>
      <c r="S77" s="58">
        <v>61.587000000000003</v>
      </c>
      <c r="T77" s="58">
        <v>103.828</v>
      </c>
      <c r="U77" s="58">
        <v>59.182000000000002</v>
      </c>
      <c r="V77" s="58">
        <v>44.646000000000001</v>
      </c>
      <c r="W77" s="58">
        <v>27.398</v>
      </c>
      <c r="X77" s="58">
        <v>10.457000000000001</v>
      </c>
      <c r="Y77" s="58">
        <v>16.940999999999999</v>
      </c>
      <c r="Z77" s="58">
        <v>17.459</v>
      </c>
      <c r="AA77" s="58">
        <v>10.976000000000001</v>
      </c>
      <c r="AB77" s="58">
        <v>6.4829999999999997</v>
      </c>
      <c r="AC77" s="58">
        <v>2.544</v>
      </c>
      <c r="AD77" s="58">
        <v>1.4370000000000001</v>
      </c>
      <c r="AE77" s="58">
        <v>1.107</v>
      </c>
      <c r="AF77" s="58">
        <v>1.111</v>
      </c>
      <c r="AG77" s="58">
        <v>0.95</v>
      </c>
      <c r="AH77" s="58">
        <v>0.161</v>
      </c>
      <c r="AI77" s="58">
        <v>1.02</v>
      </c>
      <c r="AJ77" s="58">
        <v>0.85899999999999999</v>
      </c>
      <c r="AK77" s="58">
        <v>0.161</v>
      </c>
      <c r="AL77" s="58">
        <v>9.0999999999999998E-2</v>
      </c>
      <c r="AM77" s="58">
        <v>9.0999999999999998E-2</v>
      </c>
      <c r="AN77" s="58">
        <v>0</v>
      </c>
      <c r="AO77" s="58">
        <v>1.4330000000000001</v>
      </c>
      <c r="AP77" s="58">
        <v>0.48699999999999999</v>
      </c>
      <c r="AQ77" s="58">
        <v>0.94599999999999995</v>
      </c>
      <c r="AR77" s="58">
        <v>15.637</v>
      </c>
      <c r="AS77" s="58">
        <v>10.009</v>
      </c>
      <c r="AT77" s="58">
        <v>5.6280000000000001</v>
      </c>
      <c r="AU77" s="58">
        <v>8.75</v>
      </c>
      <c r="AV77" s="58">
        <v>6.8920000000000003</v>
      </c>
      <c r="AW77" s="58">
        <v>1.8580000000000001</v>
      </c>
      <c r="AX77" s="58">
        <v>6.8869999999999996</v>
      </c>
      <c r="AY77" s="58">
        <v>3.117</v>
      </c>
      <c r="AZ77" s="58">
        <v>3.77</v>
      </c>
      <c r="BA77" s="58">
        <v>9.702</v>
      </c>
      <c r="BB77" s="58">
        <v>7.6840000000000002</v>
      </c>
      <c r="BC77" s="58">
        <v>2.0179999999999998</v>
      </c>
      <c r="BD77" s="58">
        <v>7.7560000000000002</v>
      </c>
      <c r="BE77" s="58">
        <v>3.2919999999999998</v>
      </c>
      <c r="BF77" s="58">
        <v>4.4649999999999999</v>
      </c>
      <c r="BG77" s="58">
        <v>7.907</v>
      </c>
      <c r="BH77" s="58">
        <v>3.976</v>
      </c>
      <c r="BI77" s="58">
        <v>3.931</v>
      </c>
      <c r="BJ77" s="58">
        <v>232.364</v>
      </c>
      <c r="BK77" s="58">
        <v>119.66800000000001</v>
      </c>
      <c r="BL77" s="58">
        <v>112.696</v>
      </c>
      <c r="BM77" s="58">
        <v>171.06299999999999</v>
      </c>
      <c r="BN77" s="58">
        <v>98.546999999999997</v>
      </c>
      <c r="BO77" s="58">
        <v>72.516000000000005</v>
      </c>
      <c r="BP77" s="58">
        <v>61.301000000000002</v>
      </c>
      <c r="BQ77" s="58">
        <v>21.122</v>
      </c>
      <c r="BR77" s="58">
        <v>40.18</v>
      </c>
      <c r="BS77" s="58">
        <v>24.481999999999999</v>
      </c>
      <c r="BT77" s="58">
        <v>12.074</v>
      </c>
      <c r="BU77" s="58">
        <v>12.407999999999999</v>
      </c>
      <c r="BV77" s="58">
        <v>6.3419999999999996</v>
      </c>
      <c r="BW77" s="58">
        <v>3.74</v>
      </c>
      <c r="BX77" s="58">
        <v>2.6019999999999999</v>
      </c>
      <c r="BY77" s="58">
        <v>2.8879999999999999</v>
      </c>
      <c r="BZ77" s="58">
        <v>1.9730000000000001</v>
      </c>
      <c r="CA77" s="58">
        <v>0.91600000000000004</v>
      </c>
      <c r="CB77" s="58">
        <v>2.1139999999999999</v>
      </c>
      <c r="CC77" s="58">
        <v>1.198</v>
      </c>
      <c r="CD77" s="58">
        <v>0.91600000000000004</v>
      </c>
      <c r="CE77" s="58">
        <v>0.77400000000000002</v>
      </c>
      <c r="CF77" s="58">
        <v>0.77400000000000002</v>
      </c>
      <c r="CG77" s="58">
        <v>0</v>
      </c>
      <c r="CH77" s="58">
        <v>3.4540000000000002</v>
      </c>
      <c r="CI77" s="58">
        <v>1.768</v>
      </c>
      <c r="CJ77" s="58">
        <v>1.6859999999999999</v>
      </c>
      <c r="CK77" s="58">
        <v>20.332999999999998</v>
      </c>
      <c r="CL77" s="58">
        <v>9.5749999999999993</v>
      </c>
      <c r="CM77" s="58">
        <v>10.757</v>
      </c>
      <c r="CN77" s="58">
        <v>6.4269999999999996</v>
      </c>
      <c r="CO77" s="58">
        <v>4.3129999999999997</v>
      </c>
      <c r="CP77" s="58">
        <v>2.1150000000000002</v>
      </c>
      <c r="CQ77" s="58">
        <v>13.904999999999999</v>
      </c>
      <c r="CR77" s="58">
        <v>5.2629999999999999</v>
      </c>
      <c r="CS77" s="58">
        <v>8.6430000000000007</v>
      </c>
      <c r="CT77" s="58">
        <v>8.4</v>
      </c>
      <c r="CU77" s="58">
        <v>5.7489999999999997</v>
      </c>
      <c r="CV77" s="58">
        <v>2.6509999999999998</v>
      </c>
      <c r="CW77" s="58">
        <v>16.082000000000001</v>
      </c>
      <c r="CX77" s="58">
        <v>6.3250000000000002</v>
      </c>
      <c r="CY77" s="58">
        <v>9.7569999999999997</v>
      </c>
      <c r="CZ77" s="58">
        <v>16.018999999999998</v>
      </c>
      <c r="DA77" s="58">
        <v>6.4610000000000003</v>
      </c>
      <c r="DB77" s="58">
        <v>9.5579999999999998</v>
      </c>
    </row>
    <row r="78" spans="1:106">
      <c r="A78" s="5">
        <v>43862</v>
      </c>
      <c r="B78" s="58">
        <v>10.473000000000001</v>
      </c>
      <c r="C78" s="58">
        <v>7.2</v>
      </c>
      <c r="D78" s="58">
        <v>3.2730000000000001</v>
      </c>
      <c r="E78" s="58">
        <v>26.65</v>
      </c>
      <c r="F78" s="58">
        <v>9.7810000000000006</v>
      </c>
      <c r="G78" s="58">
        <v>16.869</v>
      </c>
      <c r="H78" s="58">
        <v>12.634</v>
      </c>
      <c r="I78" s="58">
        <v>9.0670000000000002</v>
      </c>
      <c r="J78" s="58">
        <v>3.5680000000000001</v>
      </c>
      <c r="K78" s="58">
        <v>30.161999999999999</v>
      </c>
      <c r="L78" s="58">
        <v>11.206</v>
      </c>
      <c r="M78" s="58">
        <v>18.956</v>
      </c>
      <c r="N78" s="58">
        <v>28.472999999999999</v>
      </c>
      <c r="O78" s="58">
        <v>11.198</v>
      </c>
      <c r="P78" s="58">
        <v>17.274999999999999</v>
      </c>
      <c r="Q78" s="58">
        <v>133.684</v>
      </c>
      <c r="R78" s="58">
        <v>70.332999999999998</v>
      </c>
      <c r="S78" s="58">
        <v>63.350999999999999</v>
      </c>
      <c r="T78" s="58">
        <v>104.22199999999999</v>
      </c>
      <c r="U78" s="58">
        <v>59.256</v>
      </c>
      <c r="V78" s="58">
        <v>44.966000000000001</v>
      </c>
      <c r="W78" s="58">
        <v>29.462</v>
      </c>
      <c r="X78" s="58">
        <v>11.077</v>
      </c>
      <c r="Y78" s="58">
        <v>18.385000000000002</v>
      </c>
      <c r="Z78" s="58">
        <v>17.882999999999999</v>
      </c>
      <c r="AA78" s="58">
        <v>9.702</v>
      </c>
      <c r="AB78" s="58">
        <v>8.18</v>
      </c>
      <c r="AC78" s="58">
        <v>2.0099999999999998</v>
      </c>
      <c r="AD78" s="58">
        <v>1.3340000000000001</v>
      </c>
      <c r="AE78" s="58">
        <v>0.67600000000000005</v>
      </c>
      <c r="AF78" s="58">
        <v>1.0169999999999999</v>
      </c>
      <c r="AG78" s="58">
        <v>0.93899999999999995</v>
      </c>
      <c r="AH78" s="58">
        <v>7.8E-2</v>
      </c>
      <c r="AI78" s="58">
        <v>0.77</v>
      </c>
      <c r="AJ78" s="58">
        <v>0.69199999999999995</v>
      </c>
      <c r="AK78" s="58">
        <v>7.8E-2</v>
      </c>
      <c r="AL78" s="58">
        <v>0.247</v>
      </c>
      <c r="AM78" s="58">
        <v>0.247</v>
      </c>
      <c r="AN78" s="58">
        <v>0</v>
      </c>
      <c r="AO78" s="58">
        <v>0.99299999999999999</v>
      </c>
      <c r="AP78" s="58">
        <v>0.39500000000000002</v>
      </c>
      <c r="AQ78" s="58">
        <v>0.59799999999999998</v>
      </c>
      <c r="AR78" s="58">
        <v>16.817</v>
      </c>
      <c r="AS78" s="58">
        <v>8.9649999999999999</v>
      </c>
      <c r="AT78" s="58">
        <v>7.8520000000000003</v>
      </c>
      <c r="AU78" s="58">
        <v>8.9090000000000007</v>
      </c>
      <c r="AV78" s="58">
        <v>6.0880000000000001</v>
      </c>
      <c r="AW78" s="58">
        <v>2.8210000000000002</v>
      </c>
      <c r="AX78" s="58">
        <v>7.9080000000000004</v>
      </c>
      <c r="AY78" s="58">
        <v>2.8769999999999998</v>
      </c>
      <c r="AZ78" s="58">
        <v>5.0309999999999997</v>
      </c>
      <c r="BA78" s="58">
        <v>9.4909999999999997</v>
      </c>
      <c r="BB78" s="58">
        <v>6.5919999999999996</v>
      </c>
      <c r="BC78" s="58">
        <v>2.899</v>
      </c>
      <c r="BD78" s="58">
        <v>8.3919999999999995</v>
      </c>
      <c r="BE78" s="58">
        <v>3.11</v>
      </c>
      <c r="BF78" s="58">
        <v>5.282</v>
      </c>
      <c r="BG78" s="58">
        <v>8.6780000000000008</v>
      </c>
      <c r="BH78" s="58">
        <v>3.569</v>
      </c>
      <c r="BI78" s="58">
        <v>5.1079999999999997</v>
      </c>
      <c r="BJ78" s="58">
        <v>238.58500000000001</v>
      </c>
      <c r="BK78" s="58">
        <v>120.568</v>
      </c>
      <c r="BL78" s="58">
        <v>118.018</v>
      </c>
      <c r="BM78" s="58">
        <v>174.22499999999999</v>
      </c>
      <c r="BN78" s="58">
        <v>101.43899999999999</v>
      </c>
      <c r="BO78" s="58">
        <v>72.786000000000001</v>
      </c>
      <c r="BP78" s="58">
        <v>64.36</v>
      </c>
      <c r="BQ78" s="58">
        <v>19.129000000000001</v>
      </c>
      <c r="BR78" s="58">
        <v>45.231999999999999</v>
      </c>
      <c r="BS78" s="58">
        <v>20.085999999999999</v>
      </c>
      <c r="BT78" s="58">
        <v>9.9930000000000003</v>
      </c>
      <c r="BU78" s="58">
        <v>10.093</v>
      </c>
      <c r="BV78" s="58">
        <v>4.4989999999999997</v>
      </c>
      <c r="BW78" s="58">
        <v>2.125</v>
      </c>
      <c r="BX78" s="58">
        <v>2.3740000000000001</v>
      </c>
      <c r="BY78" s="58">
        <v>1.8939999999999999</v>
      </c>
      <c r="BZ78" s="58">
        <v>0.89500000000000002</v>
      </c>
      <c r="CA78" s="58">
        <v>0.999</v>
      </c>
      <c r="CB78" s="58">
        <v>0.77100000000000002</v>
      </c>
      <c r="CC78" s="58">
        <v>0.36199999999999999</v>
      </c>
      <c r="CD78" s="58">
        <v>0.40899999999999997</v>
      </c>
      <c r="CE78" s="58">
        <v>1.123</v>
      </c>
      <c r="CF78" s="58">
        <v>0.53300000000000003</v>
      </c>
      <c r="CG78" s="58">
        <v>0.59</v>
      </c>
      <c r="CH78" s="58">
        <v>2.605</v>
      </c>
      <c r="CI78" s="58">
        <v>1.23</v>
      </c>
      <c r="CJ78" s="58">
        <v>1.375</v>
      </c>
      <c r="CK78" s="58">
        <v>17.207999999999998</v>
      </c>
      <c r="CL78" s="58">
        <v>8.4809999999999999</v>
      </c>
      <c r="CM78" s="58">
        <v>8.7270000000000003</v>
      </c>
      <c r="CN78" s="58">
        <v>6.6520000000000001</v>
      </c>
      <c r="CO78" s="58">
        <v>4.1719999999999997</v>
      </c>
      <c r="CP78" s="58">
        <v>2.4790000000000001</v>
      </c>
      <c r="CQ78" s="58">
        <v>10.555999999999999</v>
      </c>
      <c r="CR78" s="58">
        <v>4.3090000000000002</v>
      </c>
      <c r="CS78" s="58">
        <v>6.2469999999999999</v>
      </c>
      <c r="CT78" s="58">
        <v>8.1370000000000005</v>
      </c>
      <c r="CU78" s="58">
        <v>5.0670000000000002</v>
      </c>
      <c r="CV78" s="58">
        <v>3.069</v>
      </c>
      <c r="CW78" s="58">
        <v>11.95</v>
      </c>
      <c r="CX78" s="58">
        <v>4.9260000000000002</v>
      </c>
      <c r="CY78" s="58">
        <v>7.024</v>
      </c>
      <c r="CZ78" s="58">
        <v>11.327</v>
      </c>
      <c r="DA78" s="58">
        <v>4.6710000000000003</v>
      </c>
      <c r="DB78" s="58">
        <v>6.6559999999999997</v>
      </c>
    </row>
    <row r="79" spans="1:106">
      <c r="A79" s="5">
        <v>43891</v>
      </c>
      <c r="B79" s="58">
        <v>11.801</v>
      </c>
      <c r="C79" s="58">
        <v>7.915</v>
      </c>
      <c r="D79" s="58">
        <v>3.8860000000000001</v>
      </c>
      <c r="E79" s="58">
        <v>29.212</v>
      </c>
      <c r="F79" s="58">
        <v>12.999000000000001</v>
      </c>
      <c r="G79" s="58">
        <v>16.213000000000001</v>
      </c>
      <c r="H79" s="58">
        <v>14.662000000000001</v>
      </c>
      <c r="I79" s="58">
        <v>9.8260000000000005</v>
      </c>
      <c r="J79" s="58">
        <v>4.8369999999999997</v>
      </c>
      <c r="K79" s="58">
        <v>31.577999999999999</v>
      </c>
      <c r="L79" s="58">
        <v>14.29</v>
      </c>
      <c r="M79" s="58">
        <v>17.289000000000001</v>
      </c>
      <c r="N79" s="58">
        <v>31.11</v>
      </c>
      <c r="O79" s="58">
        <v>14.54</v>
      </c>
      <c r="P79" s="58">
        <v>16.57</v>
      </c>
      <c r="Q79" s="58">
        <v>136.595</v>
      </c>
      <c r="R79" s="58">
        <v>71.177999999999997</v>
      </c>
      <c r="S79" s="58">
        <v>65.418000000000006</v>
      </c>
      <c r="T79" s="58">
        <v>103.91800000000001</v>
      </c>
      <c r="U79" s="58">
        <v>58.613</v>
      </c>
      <c r="V79" s="58">
        <v>45.305</v>
      </c>
      <c r="W79" s="58">
        <v>32.677</v>
      </c>
      <c r="X79" s="58">
        <v>12.565</v>
      </c>
      <c r="Y79" s="58">
        <v>20.111999999999998</v>
      </c>
      <c r="Z79" s="58">
        <v>16.649000000000001</v>
      </c>
      <c r="AA79" s="58">
        <v>9.734</v>
      </c>
      <c r="AB79" s="58">
        <v>6.915</v>
      </c>
      <c r="AC79" s="58">
        <v>2.6269999999999998</v>
      </c>
      <c r="AD79" s="58">
        <v>1.593</v>
      </c>
      <c r="AE79" s="58">
        <v>1.034</v>
      </c>
      <c r="AF79" s="58">
        <v>1.1519999999999999</v>
      </c>
      <c r="AG79" s="58">
        <v>0.78500000000000003</v>
      </c>
      <c r="AH79" s="58">
        <v>0.36699999999999999</v>
      </c>
      <c r="AI79" s="58">
        <v>0.63900000000000001</v>
      </c>
      <c r="AJ79" s="58">
        <v>0.495</v>
      </c>
      <c r="AK79" s="58">
        <v>0.14399999999999999</v>
      </c>
      <c r="AL79" s="58">
        <v>0.51300000000000001</v>
      </c>
      <c r="AM79" s="58">
        <v>0.28999999999999998</v>
      </c>
      <c r="AN79" s="58">
        <v>0.223</v>
      </c>
      <c r="AO79" s="58">
        <v>1.4750000000000001</v>
      </c>
      <c r="AP79" s="58">
        <v>0.80800000000000005</v>
      </c>
      <c r="AQ79" s="58">
        <v>0.66600000000000004</v>
      </c>
      <c r="AR79" s="58">
        <v>15.234</v>
      </c>
      <c r="AS79" s="58">
        <v>8.9469999999999992</v>
      </c>
      <c r="AT79" s="58">
        <v>6.2880000000000003</v>
      </c>
      <c r="AU79" s="58">
        <v>7.3739999999999997</v>
      </c>
      <c r="AV79" s="58">
        <v>4.9370000000000003</v>
      </c>
      <c r="AW79" s="58">
        <v>2.4380000000000002</v>
      </c>
      <c r="AX79" s="58">
        <v>7.86</v>
      </c>
      <c r="AY79" s="58">
        <v>4.01</v>
      </c>
      <c r="AZ79" s="58">
        <v>3.85</v>
      </c>
      <c r="BA79" s="58">
        <v>8.0210000000000008</v>
      </c>
      <c r="BB79" s="58">
        <v>5.39</v>
      </c>
      <c r="BC79" s="58">
        <v>2.6309999999999998</v>
      </c>
      <c r="BD79" s="58">
        <v>8.6280000000000001</v>
      </c>
      <c r="BE79" s="58">
        <v>4.3440000000000003</v>
      </c>
      <c r="BF79" s="58">
        <v>4.2839999999999998</v>
      </c>
      <c r="BG79" s="58">
        <v>8.4990000000000006</v>
      </c>
      <c r="BH79" s="58">
        <v>4.5049999999999999</v>
      </c>
      <c r="BI79" s="58">
        <v>3.9940000000000002</v>
      </c>
      <c r="BJ79" s="58">
        <v>239.09899999999999</v>
      </c>
      <c r="BK79" s="58">
        <v>121.259</v>
      </c>
      <c r="BL79" s="58">
        <v>117.84099999999999</v>
      </c>
      <c r="BM79" s="58">
        <v>171.70500000000001</v>
      </c>
      <c r="BN79" s="58">
        <v>98.058000000000007</v>
      </c>
      <c r="BO79" s="58">
        <v>73.647999999999996</v>
      </c>
      <c r="BP79" s="58">
        <v>67.394000000000005</v>
      </c>
      <c r="BQ79" s="58">
        <v>23.201000000000001</v>
      </c>
      <c r="BR79" s="58">
        <v>44.192999999999998</v>
      </c>
      <c r="BS79" s="58">
        <v>21.643000000000001</v>
      </c>
      <c r="BT79" s="58">
        <v>12.032999999999999</v>
      </c>
      <c r="BU79" s="58">
        <v>9.61</v>
      </c>
      <c r="BV79" s="58">
        <v>4.2240000000000002</v>
      </c>
      <c r="BW79" s="58">
        <v>1.6679999999999999</v>
      </c>
      <c r="BX79" s="58">
        <v>2.556</v>
      </c>
      <c r="BY79" s="58">
        <v>0.8</v>
      </c>
      <c r="BZ79" s="58">
        <v>0.59199999999999997</v>
      </c>
      <c r="CA79" s="58">
        <v>0.20799999999999999</v>
      </c>
      <c r="CB79" s="58">
        <v>0.41199999999999998</v>
      </c>
      <c r="CC79" s="58">
        <v>0.20399999999999999</v>
      </c>
      <c r="CD79" s="58">
        <v>0.20799999999999999</v>
      </c>
      <c r="CE79" s="58">
        <v>0.38800000000000001</v>
      </c>
      <c r="CF79" s="58">
        <v>0.38800000000000001</v>
      </c>
      <c r="CG79" s="58">
        <v>0</v>
      </c>
      <c r="CH79" s="58">
        <v>3.423</v>
      </c>
      <c r="CI79" s="58">
        <v>1.0760000000000001</v>
      </c>
      <c r="CJ79" s="58">
        <v>2.3479999999999999</v>
      </c>
      <c r="CK79" s="58">
        <v>19.495000000000001</v>
      </c>
      <c r="CL79" s="58">
        <v>11.263999999999999</v>
      </c>
      <c r="CM79" s="58">
        <v>8.2309999999999999</v>
      </c>
      <c r="CN79" s="58">
        <v>6.4409999999999998</v>
      </c>
      <c r="CO79" s="58">
        <v>4.7880000000000003</v>
      </c>
      <c r="CP79" s="58">
        <v>1.653</v>
      </c>
      <c r="CQ79" s="58">
        <v>13.054</v>
      </c>
      <c r="CR79" s="58">
        <v>6.476</v>
      </c>
      <c r="CS79" s="58">
        <v>6.5780000000000003</v>
      </c>
      <c r="CT79" s="58">
        <v>7.2409999999999997</v>
      </c>
      <c r="CU79" s="58">
        <v>5.38</v>
      </c>
      <c r="CV79" s="58">
        <v>1.861</v>
      </c>
      <c r="CW79" s="58">
        <v>14.401999999999999</v>
      </c>
      <c r="CX79" s="58">
        <v>6.6529999999999996</v>
      </c>
      <c r="CY79" s="58">
        <v>7.7480000000000002</v>
      </c>
      <c r="CZ79" s="58">
        <v>13.465999999999999</v>
      </c>
      <c r="DA79" s="58">
        <v>6.68</v>
      </c>
      <c r="DB79" s="58">
        <v>6.7859999999999996</v>
      </c>
    </row>
    <row r="80" spans="1:106">
      <c r="A80" s="5">
        <v>43922</v>
      </c>
      <c r="B80" s="58">
        <v>10.218</v>
      </c>
      <c r="C80" s="58">
        <v>7.5460000000000003</v>
      </c>
      <c r="D80" s="58">
        <v>2.6720000000000002</v>
      </c>
      <c r="E80" s="58">
        <v>29.137</v>
      </c>
      <c r="F80" s="58">
        <v>12.634</v>
      </c>
      <c r="G80" s="58">
        <v>16.503</v>
      </c>
      <c r="H80" s="58">
        <v>23.29</v>
      </c>
      <c r="I80" s="58">
        <v>15.347</v>
      </c>
      <c r="J80" s="58">
        <v>7.9429999999999996</v>
      </c>
      <c r="K80" s="58">
        <v>40.533000000000001</v>
      </c>
      <c r="L80" s="58">
        <v>15.978</v>
      </c>
      <c r="M80" s="58">
        <v>24.555</v>
      </c>
      <c r="N80" s="58">
        <v>42.293999999999997</v>
      </c>
      <c r="O80" s="58">
        <v>20.103000000000002</v>
      </c>
      <c r="P80" s="58">
        <v>22.190999999999999</v>
      </c>
      <c r="Q80" s="58">
        <v>132.441</v>
      </c>
      <c r="R80" s="58">
        <v>69.335999999999999</v>
      </c>
      <c r="S80" s="58">
        <v>63.104999999999997</v>
      </c>
      <c r="T80" s="58">
        <v>102.316</v>
      </c>
      <c r="U80" s="58">
        <v>57.756</v>
      </c>
      <c r="V80" s="58">
        <v>44.56</v>
      </c>
      <c r="W80" s="58">
        <v>30.125</v>
      </c>
      <c r="X80" s="58">
        <v>11.58</v>
      </c>
      <c r="Y80" s="58">
        <v>18.545000000000002</v>
      </c>
      <c r="Z80" s="58">
        <v>28.117999999999999</v>
      </c>
      <c r="AA80" s="58">
        <v>15.984</v>
      </c>
      <c r="AB80" s="58">
        <v>12.135</v>
      </c>
      <c r="AC80" s="58">
        <v>13.673</v>
      </c>
      <c r="AD80" s="58">
        <v>7.6890000000000001</v>
      </c>
      <c r="AE80" s="58">
        <v>5.984</v>
      </c>
      <c r="AF80" s="58">
        <v>8.4030000000000005</v>
      </c>
      <c r="AG80" s="58">
        <v>5.5949999999999998</v>
      </c>
      <c r="AH80" s="58">
        <v>2.8079999999999998</v>
      </c>
      <c r="AI80" s="58">
        <v>6.8330000000000002</v>
      </c>
      <c r="AJ80" s="58">
        <v>4.7910000000000004</v>
      </c>
      <c r="AK80" s="58">
        <v>2.0430000000000001</v>
      </c>
      <c r="AL80" s="58">
        <v>1.569</v>
      </c>
      <c r="AM80" s="58">
        <v>0.80400000000000005</v>
      </c>
      <c r="AN80" s="58">
        <v>0.76500000000000001</v>
      </c>
      <c r="AO80" s="58">
        <v>5.2709999999999999</v>
      </c>
      <c r="AP80" s="58">
        <v>2.0939999999999999</v>
      </c>
      <c r="AQ80" s="58">
        <v>3.177</v>
      </c>
      <c r="AR80" s="58">
        <v>17.552</v>
      </c>
      <c r="AS80" s="58">
        <v>9.9749999999999996</v>
      </c>
      <c r="AT80" s="58">
        <v>7.577</v>
      </c>
      <c r="AU80" s="58">
        <v>9.9160000000000004</v>
      </c>
      <c r="AV80" s="58">
        <v>6.0469999999999997</v>
      </c>
      <c r="AW80" s="58">
        <v>3.8690000000000002</v>
      </c>
      <c r="AX80" s="58">
        <v>7.6360000000000001</v>
      </c>
      <c r="AY80" s="58">
        <v>3.9279999999999999</v>
      </c>
      <c r="AZ80" s="58">
        <v>3.7080000000000002</v>
      </c>
      <c r="BA80" s="58">
        <v>17.004999999999999</v>
      </c>
      <c r="BB80" s="58">
        <v>10.904999999999999</v>
      </c>
      <c r="BC80" s="58">
        <v>6.1</v>
      </c>
      <c r="BD80" s="58">
        <v>11.114000000000001</v>
      </c>
      <c r="BE80" s="58">
        <v>5.0789999999999997</v>
      </c>
      <c r="BF80" s="58">
        <v>6.0350000000000001</v>
      </c>
      <c r="BG80" s="58">
        <v>14.468999999999999</v>
      </c>
      <c r="BH80" s="58">
        <v>8.7189999999999994</v>
      </c>
      <c r="BI80" s="58">
        <v>5.75</v>
      </c>
      <c r="BJ80" s="58">
        <v>231.209</v>
      </c>
      <c r="BK80" s="58">
        <v>117.842</v>
      </c>
      <c r="BL80" s="58">
        <v>113.367</v>
      </c>
      <c r="BM80" s="58">
        <v>171.524</v>
      </c>
      <c r="BN80" s="58">
        <v>97.852000000000004</v>
      </c>
      <c r="BO80" s="58">
        <v>73.671999999999997</v>
      </c>
      <c r="BP80" s="58">
        <v>59.685000000000002</v>
      </c>
      <c r="BQ80" s="58">
        <v>19.989999999999998</v>
      </c>
      <c r="BR80" s="58">
        <v>39.695</v>
      </c>
      <c r="BS80" s="58">
        <v>35.966000000000001</v>
      </c>
      <c r="BT80" s="58">
        <v>17.8</v>
      </c>
      <c r="BU80" s="58">
        <v>18.167000000000002</v>
      </c>
      <c r="BV80" s="58">
        <v>21.977</v>
      </c>
      <c r="BW80" s="58">
        <v>10.51</v>
      </c>
      <c r="BX80" s="58">
        <v>11.465999999999999</v>
      </c>
      <c r="BY80" s="58">
        <v>8.0630000000000006</v>
      </c>
      <c r="BZ80" s="58">
        <v>5.6150000000000002</v>
      </c>
      <c r="CA80" s="58">
        <v>2.448</v>
      </c>
      <c r="CB80" s="58">
        <v>6.3150000000000004</v>
      </c>
      <c r="CC80" s="58">
        <v>4.407</v>
      </c>
      <c r="CD80" s="58">
        <v>1.9079999999999999</v>
      </c>
      <c r="CE80" s="58">
        <v>1.748</v>
      </c>
      <c r="CF80" s="58">
        <v>1.208</v>
      </c>
      <c r="CG80" s="58">
        <v>0.54</v>
      </c>
      <c r="CH80" s="58">
        <v>13.914</v>
      </c>
      <c r="CI80" s="58">
        <v>4.8949999999999996</v>
      </c>
      <c r="CJ80" s="58">
        <v>9.0190000000000001</v>
      </c>
      <c r="CK80" s="58">
        <v>20.515999999999998</v>
      </c>
      <c r="CL80" s="58">
        <v>10.273</v>
      </c>
      <c r="CM80" s="58">
        <v>10.242000000000001</v>
      </c>
      <c r="CN80" s="58">
        <v>5.3520000000000003</v>
      </c>
      <c r="CO80" s="58">
        <v>4.4370000000000003</v>
      </c>
      <c r="CP80" s="58">
        <v>0.91500000000000004</v>
      </c>
      <c r="CQ80" s="58">
        <v>15.164</v>
      </c>
      <c r="CR80" s="58">
        <v>5.8360000000000003</v>
      </c>
      <c r="CS80" s="58">
        <v>9.3279999999999994</v>
      </c>
      <c r="CT80" s="58">
        <v>12.704000000000001</v>
      </c>
      <c r="CU80" s="58">
        <v>9.3420000000000005</v>
      </c>
      <c r="CV80" s="58">
        <v>3.3620000000000001</v>
      </c>
      <c r="CW80" s="58">
        <v>23.262</v>
      </c>
      <c r="CX80" s="58">
        <v>8.4580000000000002</v>
      </c>
      <c r="CY80" s="58">
        <v>14.804</v>
      </c>
      <c r="CZ80" s="58">
        <v>21.478999999999999</v>
      </c>
      <c r="DA80" s="58">
        <v>10.243</v>
      </c>
      <c r="DB80" s="58">
        <v>11.234999999999999</v>
      </c>
    </row>
    <row r="81" spans="1:106">
      <c r="A81" s="5">
        <v>43952</v>
      </c>
      <c r="B81" s="58">
        <v>10.35</v>
      </c>
      <c r="C81" s="58">
        <v>7.8550000000000004</v>
      </c>
      <c r="D81" s="58">
        <v>2.496</v>
      </c>
      <c r="E81" s="58">
        <v>24.815999999999999</v>
      </c>
      <c r="F81" s="58">
        <v>10.045999999999999</v>
      </c>
      <c r="G81" s="58">
        <v>14.77</v>
      </c>
      <c r="H81" s="58">
        <v>22.952000000000002</v>
      </c>
      <c r="I81" s="58">
        <v>15.641</v>
      </c>
      <c r="J81" s="58">
        <v>7.3109999999999999</v>
      </c>
      <c r="K81" s="58">
        <v>34.630000000000003</v>
      </c>
      <c r="L81" s="58">
        <v>13.802</v>
      </c>
      <c r="M81" s="58">
        <v>20.829000000000001</v>
      </c>
      <c r="N81" s="58">
        <v>36.716000000000001</v>
      </c>
      <c r="O81" s="58">
        <v>17.292000000000002</v>
      </c>
      <c r="P81" s="58">
        <v>19.422999999999998</v>
      </c>
      <c r="Q81" s="58">
        <v>130.315</v>
      </c>
      <c r="R81" s="58">
        <v>67.986999999999995</v>
      </c>
      <c r="S81" s="58">
        <v>62.329000000000001</v>
      </c>
      <c r="T81" s="58">
        <v>98.765000000000001</v>
      </c>
      <c r="U81" s="58">
        <v>55.652000000000001</v>
      </c>
      <c r="V81" s="58">
        <v>43.113</v>
      </c>
      <c r="W81" s="58">
        <v>31.55</v>
      </c>
      <c r="X81" s="58">
        <v>12.334</v>
      </c>
      <c r="Y81" s="58">
        <v>19.216000000000001</v>
      </c>
      <c r="Z81" s="58">
        <v>24.201000000000001</v>
      </c>
      <c r="AA81" s="58">
        <v>14.81</v>
      </c>
      <c r="AB81" s="58">
        <v>9.39</v>
      </c>
      <c r="AC81" s="58">
        <v>11.234</v>
      </c>
      <c r="AD81" s="58">
        <v>6.8719999999999999</v>
      </c>
      <c r="AE81" s="58">
        <v>4.3620000000000001</v>
      </c>
      <c r="AF81" s="58">
        <v>7.5830000000000002</v>
      </c>
      <c r="AG81" s="58">
        <v>4.9980000000000002</v>
      </c>
      <c r="AH81" s="58">
        <v>2.585</v>
      </c>
      <c r="AI81" s="58">
        <v>5.8339999999999996</v>
      </c>
      <c r="AJ81" s="58">
        <v>3.7810000000000001</v>
      </c>
      <c r="AK81" s="58">
        <v>2.0529999999999999</v>
      </c>
      <c r="AL81" s="58">
        <v>1.7490000000000001</v>
      </c>
      <c r="AM81" s="58">
        <v>1.2170000000000001</v>
      </c>
      <c r="AN81" s="58">
        <v>0.53300000000000003</v>
      </c>
      <c r="AO81" s="58">
        <v>3.6509999999999998</v>
      </c>
      <c r="AP81" s="58">
        <v>1.8740000000000001</v>
      </c>
      <c r="AQ81" s="58">
        <v>1.776</v>
      </c>
      <c r="AR81" s="58">
        <v>16.305</v>
      </c>
      <c r="AS81" s="58">
        <v>9.6549999999999994</v>
      </c>
      <c r="AT81" s="58">
        <v>6.6509999999999998</v>
      </c>
      <c r="AU81" s="58">
        <v>8.1470000000000002</v>
      </c>
      <c r="AV81" s="58">
        <v>5.4580000000000002</v>
      </c>
      <c r="AW81" s="58">
        <v>2.69</v>
      </c>
      <c r="AX81" s="58">
        <v>8.1579999999999995</v>
      </c>
      <c r="AY81" s="58">
        <v>4.1970000000000001</v>
      </c>
      <c r="AZ81" s="58">
        <v>3.9609999999999999</v>
      </c>
      <c r="BA81" s="58">
        <v>14.12</v>
      </c>
      <c r="BB81" s="58">
        <v>9.6340000000000003</v>
      </c>
      <c r="BC81" s="58">
        <v>4.4859999999999998</v>
      </c>
      <c r="BD81" s="58">
        <v>10.081</v>
      </c>
      <c r="BE81" s="58">
        <v>5.1769999999999996</v>
      </c>
      <c r="BF81" s="58">
        <v>4.9039999999999999</v>
      </c>
      <c r="BG81" s="58">
        <v>13.992000000000001</v>
      </c>
      <c r="BH81" s="58">
        <v>7.9779999999999998</v>
      </c>
      <c r="BI81" s="58">
        <v>6.0140000000000002</v>
      </c>
      <c r="BJ81" s="58">
        <v>228.64</v>
      </c>
      <c r="BK81" s="58">
        <v>117.238</v>
      </c>
      <c r="BL81" s="58">
        <v>111.402</v>
      </c>
      <c r="BM81" s="58">
        <v>171.02</v>
      </c>
      <c r="BN81" s="58">
        <v>98.628</v>
      </c>
      <c r="BO81" s="58">
        <v>72.391999999999996</v>
      </c>
      <c r="BP81" s="58">
        <v>57.62</v>
      </c>
      <c r="BQ81" s="58">
        <v>18.61</v>
      </c>
      <c r="BR81" s="58">
        <v>39.01</v>
      </c>
      <c r="BS81" s="58">
        <v>28.370999999999999</v>
      </c>
      <c r="BT81" s="58">
        <v>17.013999999999999</v>
      </c>
      <c r="BU81" s="58">
        <v>11.358000000000001</v>
      </c>
      <c r="BV81" s="58">
        <v>15.791</v>
      </c>
      <c r="BW81" s="58">
        <v>8.4890000000000008</v>
      </c>
      <c r="BX81" s="58">
        <v>7.3010000000000002</v>
      </c>
      <c r="BY81" s="58">
        <v>7.71</v>
      </c>
      <c r="BZ81" s="58">
        <v>5.4550000000000001</v>
      </c>
      <c r="CA81" s="58">
        <v>2.2549999999999999</v>
      </c>
      <c r="CB81" s="58">
        <v>5.4630000000000001</v>
      </c>
      <c r="CC81" s="58">
        <v>3.7629999999999999</v>
      </c>
      <c r="CD81" s="58">
        <v>1.7</v>
      </c>
      <c r="CE81" s="58">
        <v>2.246</v>
      </c>
      <c r="CF81" s="58">
        <v>1.6910000000000001</v>
      </c>
      <c r="CG81" s="58">
        <v>0.55500000000000005</v>
      </c>
      <c r="CH81" s="58">
        <v>8.0809999999999995</v>
      </c>
      <c r="CI81" s="58">
        <v>3.0350000000000001</v>
      </c>
      <c r="CJ81" s="58">
        <v>5.0460000000000003</v>
      </c>
      <c r="CK81" s="58">
        <v>16.899000000000001</v>
      </c>
      <c r="CL81" s="58">
        <v>11.51</v>
      </c>
      <c r="CM81" s="58">
        <v>5.3890000000000002</v>
      </c>
      <c r="CN81" s="58">
        <v>9.19</v>
      </c>
      <c r="CO81" s="58">
        <v>7.577</v>
      </c>
      <c r="CP81" s="58">
        <v>1.6140000000000001</v>
      </c>
      <c r="CQ81" s="58">
        <v>7.7080000000000002</v>
      </c>
      <c r="CR81" s="58">
        <v>3.9329999999999998</v>
      </c>
      <c r="CS81" s="58">
        <v>3.7749999999999999</v>
      </c>
      <c r="CT81" s="58">
        <v>15.481999999999999</v>
      </c>
      <c r="CU81" s="58">
        <v>11.797000000000001</v>
      </c>
      <c r="CV81" s="58">
        <v>3.6850000000000001</v>
      </c>
      <c r="CW81" s="58">
        <v>12.888999999999999</v>
      </c>
      <c r="CX81" s="58">
        <v>5.2160000000000002</v>
      </c>
      <c r="CY81" s="58">
        <v>7.673</v>
      </c>
      <c r="CZ81" s="58">
        <v>13.170999999999999</v>
      </c>
      <c r="DA81" s="58">
        <v>7.6970000000000001</v>
      </c>
      <c r="DB81" s="58">
        <v>5.4749999999999996</v>
      </c>
    </row>
    <row r="82" spans="1:106">
      <c r="A82" s="5">
        <v>43983</v>
      </c>
      <c r="B82" s="58">
        <v>10.308999999999999</v>
      </c>
      <c r="C82" s="58">
        <v>7.7610000000000001</v>
      </c>
      <c r="D82" s="58">
        <v>2.5489999999999999</v>
      </c>
      <c r="E82" s="58">
        <v>25.234000000000002</v>
      </c>
      <c r="F82" s="58">
        <v>11.545</v>
      </c>
      <c r="G82" s="58">
        <v>13.689</v>
      </c>
      <c r="H82" s="58">
        <v>18.78</v>
      </c>
      <c r="I82" s="58">
        <v>12.61</v>
      </c>
      <c r="J82" s="58">
        <v>6.17</v>
      </c>
      <c r="K82" s="58">
        <v>33.914999999999999</v>
      </c>
      <c r="L82" s="58">
        <v>14.856999999999999</v>
      </c>
      <c r="M82" s="58">
        <v>19.058</v>
      </c>
      <c r="N82" s="58">
        <v>33.225000000000001</v>
      </c>
      <c r="O82" s="58">
        <v>15.942</v>
      </c>
      <c r="P82" s="58">
        <v>17.283000000000001</v>
      </c>
      <c r="Q82" s="58">
        <v>128.91499999999999</v>
      </c>
      <c r="R82" s="58">
        <v>67.203999999999994</v>
      </c>
      <c r="S82" s="58">
        <v>61.710999999999999</v>
      </c>
      <c r="T82" s="58">
        <v>96.805999999999997</v>
      </c>
      <c r="U82" s="58">
        <v>54.59</v>
      </c>
      <c r="V82" s="58">
        <v>42.216000000000001</v>
      </c>
      <c r="W82" s="58">
        <v>32.109000000000002</v>
      </c>
      <c r="X82" s="58">
        <v>12.614000000000001</v>
      </c>
      <c r="Y82" s="58">
        <v>19.495000000000001</v>
      </c>
      <c r="Z82" s="58">
        <v>22.526</v>
      </c>
      <c r="AA82" s="58">
        <v>14.93</v>
      </c>
      <c r="AB82" s="58">
        <v>7.5960000000000001</v>
      </c>
      <c r="AC82" s="58">
        <v>7.7939999999999996</v>
      </c>
      <c r="AD82" s="58">
        <v>5.5449999999999999</v>
      </c>
      <c r="AE82" s="58">
        <v>2.2480000000000002</v>
      </c>
      <c r="AF82" s="58">
        <v>5.0750000000000002</v>
      </c>
      <c r="AG82" s="58">
        <v>3.9830000000000001</v>
      </c>
      <c r="AH82" s="58">
        <v>1.093</v>
      </c>
      <c r="AI82" s="58">
        <v>4.6479999999999997</v>
      </c>
      <c r="AJ82" s="58">
        <v>3.625</v>
      </c>
      <c r="AK82" s="58">
        <v>1.0229999999999999</v>
      </c>
      <c r="AL82" s="58">
        <v>0.42699999999999999</v>
      </c>
      <c r="AM82" s="58">
        <v>0.35799999999999998</v>
      </c>
      <c r="AN82" s="58">
        <v>7.0000000000000007E-2</v>
      </c>
      <c r="AO82" s="58">
        <v>2.718</v>
      </c>
      <c r="AP82" s="58">
        <v>1.5620000000000001</v>
      </c>
      <c r="AQ82" s="58">
        <v>1.1559999999999999</v>
      </c>
      <c r="AR82" s="58">
        <v>17.456</v>
      </c>
      <c r="AS82" s="58">
        <v>10.952</v>
      </c>
      <c r="AT82" s="58">
        <v>6.5039999999999996</v>
      </c>
      <c r="AU82" s="58">
        <v>8.4779999999999998</v>
      </c>
      <c r="AV82" s="58">
        <v>6.2549999999999999</v>
      </c>
      <c r="AW82" s="58">
        <v>2.2229999999999999</v>
      </c>
      <c r="AX82" s="58">
        <v>8.9779999999999998</v>
      </c>
      <c r="AY82" s="58">
        <v>4.6970000000000001</v>
      </c>
      <c r="AZ82" s="58">
        <v>4.2809999999999997</v>
      </c>
      <c r="BA82" s="58">
        <v>11.984</v>
      </c>
      <c r="BB82" s="58">
        <v>9.3350000000000009</v>
      </c>
      <c r="BC82" s="58">
        <v>2.649</v>
      </c>
      <c r="BD82" s="58">
        <v>10.542</v>
      </c>
      <c r="BE82" s="58">
        <v>5.5949999999999998</v>
      </c>
      <c r="BF82" s="58">
        <v>4.9470000000000001</v>
      </c>
      <c r="BG82" s="58">
        <v>13.625999999999999</v>
      </c>
      <c r="BH82" s="58">
        <v>8.3219999999999992</v>
      </c>
      <c r="BI82" s="58">
        <v>5.3040000000000003</v>
      </c>
      <c r="BJ82" s="58">
        <v>234.57400000000001</v>
      </c>
      <c r="BK82" s="58">
        <v>118.44199999999999</v>
      </c>
      <c r="BL82" s="58">
        <v>116.131</v>
      </c>
      <c r="BM82" s="58">
        <v>171.96799999999999</v>
      </c>
      <c r="BN82" s="58">
        <v>98.540999999999997</v>
      </c>
      <c r="BO82" s="58">
        <v>73.426000000000002</v>
      </c>
      <c r="BP82" s="58">
        <v>62.606000000000002</v>
      </c>
      <c r="BQ82" s="58">
        <v>19.901</v>
      </c>
      <c r="BR82" s="58">
        <v>42.704999999999998</v>
      </c>
      <c r="BS82" s="58">
        <v>27.440999999999999</v>
      </c>
      <c r="BT82" s="58">
        <v>16.035</v>
      </c>
      <c r="BU82" s="58">
        <v>11.406000000000001</v>
      </c>
      <c r="BV82" s="58">
        <v>10.090999999999999</v>
      </c>
      <c r="BW82" s="58">
        <v>4.9989999999999997</v>
      </c>
      <c r="BX82" s="58">
        <v>5.0919999999999996</v>
      </c>
      <c r="BY82" s="58">
        <v>4.1559999999999997</v>
      </c>
      <c r="BZ82" s="58">
        <v>3.4510000000000001</v>
      </c>
      <c r="CA82" s="58">
        <v>0.70499999999999996</v>
      </c>
      <c r="CB82" s="58">
        <v>3.6960000000000002</v>
      </c>
      <c r="CC82" s="58">
        <v>2.9910000000000001</v>
      </c>
      <c r="CD82" s="58">
        <v>0.70499999999999996</v>
      </c>
      <c r="CE82" s="58">
        <v>0.45900000000000002</v>
      </c>
      <c r="CF82" s="58">
        <v>0.45900000000000002</v>
      </c>
      <c r="CG82" s="58">
        <v>0</v>
      </c>
      <c r="CH82" s="58">
        <v>5.9349999999999996</v>
      </c>
      <c r="CI82" s="58">
        <v>1.5489999999999999</v>
      </c>
      <c r="CJ82" s="58">
        <v>4.3860000000000001</v>
      </c>
      <c r="CK82" s="58">
        <v>21.119</v>
      </c>
      <c r="CL82" s="58">
        <v>12.864000000000001</v>
      </c>
      <c r="CM82" s="58">
        <v>8.2550000000000008</v>
      </c>
      <c r="CN82" s="58">
        <v>8.34</v>
      </c>
      <c r="CO82" s="58">
        <v>7.4279999999999999</v>
      </c>
      <c r="CP82" s="58">
        <v>0.91200000000000003</v>
      </c>
      <c r="CQ82" s="58">
        <v>12.779</v>
      </c>
      <c r="CR82" s="58">
        <v>5.4359999999999999</v>
      </c>
      <c r="CS82" s="58">
        <v>7.343</v>
      </c>
      <c r="CT82" s="58">
        <v>11.997999999999999</v>
      </c>
      <c r="CU82" s="58">
        <v>10.381</v>
      </c>
      <c r="CV82" s="58">
        <v>1.617</v>
      </c>
      <c r="CW82" s="58">
        <v>15.443</v>
      </c>
      <c r="CX82" s="58">
        <v>5.6539999999999999</v>
      </c>
      <c r="CY82" s="58">
        <v>9.7889999999999997</v>
      </c>
      <c r="CZ82" s="58">
        <v>16.475000000000001</v>
      </c>
      <c r="DA82" s="58">
        <v>8.4269999999999996</v>
      </c>
      <c r="DB82" s="58">
        <v>8.048</v>
      </c>
    </row>
    <row r="83" spans="1:106">
      <c r="A83" s="5">
        <v>44013</v>
      </c>
      <c r="B83" s="58">
        <v>10.914999999999999</v>
      </c>
      <c r="C83" s="58">
        <v>6.7729999999999997</v>
      </c>
      <c r="D83" s="58">
        <v>4.1420000000000003</v>
      </c>
      <c r="E83" s="58">
        <v>26.57</v>
      </c>
      <c r="F83" s="58">
        <v>10.784000000000001</v>
      </c>
      <c r="G83" s="58">
        <v>15.786</v>
      </c>
      <c r="H83" s="58">
        <v>18.677</v>
      </c>
      <c r="I83" s="58">
        <v>11.863</v>
      </c>
      <c r="J83" s="58">
        <v>6.8140000000000001</v>
      </c>
      <c r="K83" s="58">
        <v>32.747999999999998</v>
      </c>
      <c r="L83" s="58">
        <v>13.391999999999999</v>
      </c>
      <c r="M83" s="58">
        <v>19.356000000000002</v>
      </c>
      <c r="N83" s="58">
        <v>33.664999999999999</v>
      </c>
      <c r="O83" s="58">
        <v>15.093</v>
      </c>
      <c r="P83" s="58">
        <v>18.571999999999999</v>
      </c>
      <c r="Q83" s="58">
        <v>126.458</v>
      </c>
      <c r="R83" s="58">
        <v>65.198999999999998</v>
      </c>
      <c r="S83" s="58">
        <v>61.259</v>
      </c>
      <c r="T83" s="58">
        <v>98.135999999999996</v>
      </c>
      <c r="U83" s="58">
        <v>55.247999999999998</v>
      </c>
      <c r="V83" s="58">
        <v>42.887</v>
      </c>
      <c r="W83" s="58">
        <v>28.323</v>
      </c>
      <c r="X83" s="58">
        <v>9.9510000000000005</v>
      </c>
      <c r="Y83" s="58">
        <v>18.372</v>
      </c>
      <c r="Z83" s="58">
        <v>17.928999999999998</v>
      </c>
      <c r="AA83" s="58">
        <v>10.199999999999999</v>
      </c>
      <c r="AB83" s="58">
        <v>7.7279999999999998</v>
      </c>
      <c r="AC83" s="58">
        <v>4.9219999999999997</v>
      </c>
      <c r="AD83" s="58">
        <v>3.14</v>
      </c>
      <c r="AE83" s="58">
        <v>1.782</v>
      </c>
      <c r="AF83" s="58">
        <v>2.879</v>
      </c>
      <c r="AG83" s="58">
        <v>2.024</v>
      </c>
      <c r="AH83" s="58">
        <v>0.85499999999999998</v>
      </c>
      <c r="AI83" s="58">
        <v>1.83</v>
      </c>
      <c r="AJ83" s="58">
        <v>1.403</v>
      </c>
      <c r="AK83" s="58">
        <v>0.42699999999999999</v>
      </c>
      <c r="AL83" s="58">
        <v>1.05</v>
      </c>
      <c r="AM83" s="58">
        <v>0.622</v>
      </c>
      <c r="AN83" s="58">
        <v>0.42799999999999999</v>
      </c>
      <c r="AO83" s="58">
        <v>2.0430000000000001</v>
      </c>
      <c r="AP83" s="58">
        <v>1.115</v>
      </c>
      <c r="AQ83" s="58">
        <v>0.92700000000000005</v>
      </c>
      <c r="AR83" s="58">
        <v>15.157999999999999</v>
      </c>
      <c r="AS83" s="58">
        <v>8.6059999999999999</v>
      </c>
      <c r="AT83" s="58">
        <v>6.5519999999999996</v>
      </c>
      <c r="AU83" s="58">
        <v>7.6970000000000001</v>
      </c>
      <c r="AV83" s="58">
        <v>5.016</v>
      </c>
      <c r="AW83" s="58">
        <v>2.6819999999999999</v>
      </c>
      <c r="AX83" s="58">
        <v>7.46</v>
      </c>
      <c r="AY83" s="58">
        <v>3.59</v>
      </c>
      <c r="AZ83" s="58">
        <v>3.87</v>
      </c>
      <c r="BA83" s="58">
        <v>9.8849999999999998</v>
      </c>
      <c r="BB83" s="58">
        <v>6.4279999999999999</v>
      </c>
      <c r="BC83" s="58">
        <v>3.4569999999999999</v>
      </c>
      <c r="BD83" s="58">
        <v>8.0440000000000005</v>
      </c>
      <c r="BE83" s="58">
        <v>3.7719999999999998</v>
      </c>
      <c r="BF83" s="58">
        <v>4.2720000000000002</v>
      </c>
      <c r="BG83" s="58">
        <v>9.2899999999999991</v>
      </c>
      <c r="BH83" s="58">
        <v>4.9930000000000003</v>
      </c>
      <c r="BI83" s="58">
        <v>4.2969999999999997</v>
      </c>
      <c r="BJ83" s="58">
        <v>234.15700000000001</v>
      </c>
      <c r="BK83" s="58">
        <v>118.651</v>
      </c>
      <c r="BL83" s="58">
        <v>115.50700000000001</v>
      </c>
      <c r="BM83" s="58">
        <v>174.709</v>
      </c>
      <c r="BN83" s="58">
        <v>100.393</v>
      </c>
      <c r="BO83" s="58">
        <v>74.316000000000003</v>
      </c>
      <c r="BP83" s="58">
        <v>59.448</v>
      </c>
      <c r="BQ83" s="58">
        <v>18.257000000000001</v>
      </c>
      <c r="BR83" s="58">
        <v>41.191000000000003</v>
      </c>
      <c r="BS83" s="58">
        <v>28.643000000000001</v>
      </c>
      <c r="BT83" s="58">
        <v>17.106000000000002</v>
      </c>
      <c r="BU83" s="58">
        <v>11.537000000000001</v>
      </c>
      <c r="BV83" s="58">
        <v>10.021000000000001</v>
      </c>
      <c r="BW83" s="58">
        <v>6.5149999999999997</v>
      </c>
      <c r="BX83" s="58">
        <v>3.5059999999999998</v>
      </c>
      <c r="BY83" s="58">
        <v>5.3410000000000002</v>
      </c>
      <c r="BZ83" s="58">
        <v>3.59</v>
      </c>
      <c r="CA83" s="58">
        <v>1.7509999999999999</v>
      </c>
      <c r="CB83" s="58">
        <v>3.19</v>
      </c>
      <c r="CC83" s="58">
        <v>2.024</v>
      </c>
      <c r="CD83" s="58">
        <v>1.165</v>
      </c>
      <c r="CE83" s="58">
        <v>2.1509999999999998</v>
      </c>
      <c r="CF83" s="58">
        <v>1.5660000000000001</v>
      </c>
      <c r="CG83" s="58">
        <v>0.58499999999999996</v>
      </c>
      <c r="CH83" s="58">
        <v>4.68</v>
      </c>
      <c r="CI83" s="58">
        <v>2.9249999999999998</v>
      </c>
      <c r="CJ83" s="58">
        <v>1.756</v>
      </c>
      <c r="CK83" s="58">
        <v>21.308</v>
      </c>
      <c r="CL83" s="58">
        <v>12.673999999999999</v>
      </c>
      <c r="CM83" s="58">
        <v>8.6340000000000003</v>
      </c>
      <c r="CN83" s="58">
        <v>8.1929999999999996</v>
      </c>
      <c r="CO83" s="58">
        <v>6.8570000000000002</v>
      </c>
      <c r="CP83" s="58">
        <v>1.335</v>
      </c>
      <c r="CQ83" s="58">
        <v>13.115</v>
      </c>
      <c r="CR83" s="58">
        <v>5.8170000000000002</v>
      </c>
      <c r="CS83" s="58">
        <v>7.2990000000000004</v>
      </c>
      <c r="CT83" s="58">
        <v>12.738</v>
      </c>
      <c r="CU83" s="58">
        <v>9.6519999999999992</v>
      </c>
      <c r="CV83" s="58">
        <v>3.0859999999999999</v>
      </c>
      <c r="CW83" s="58">
        <v>15.904</v>
      </c>
      <c r="CX83" s="58">
        <v>7.4530000000000003</v>
      </c>
      <c r="CY83" s="58">
        <v>8.4510000000000005</v>
      </c>
      <c r="CZ83" s="58">
        <v>16.305</v>
      </c>
      <c r="DA83" s="58">
        <v>7.8410000000000002</v>
      </c>
      <c r="DB83" s="58">
        <v>8.4640000000000004</v>
      </c>
    </row>
    <row r="84" spans="1:106">
      <c r="A84" s="5">
        <v>44044</v>
      </c>
      <c r="B84" s="58">
        <v>10.083</v>
      </c>
      <c r="C84" s="58">
        <v>7.141</v>
      </c>
      <c r="D84" s="58">
        <v>2.9420000000000002</v>
      </c>
      <c r="E84" s="58">
        <v>29.7</v>
      </c>
      <c r="F84" s="58">
        <v>12.648</v>
      </c>
      <c r="G84" s="58">
        <v>17.052</v>
      </c>
      <c r="H84" s="58">
        <v>14.944000000000001</v>
      </c>
      <c r="I84" s="58">
        <v>9.9450000000000003</v>
      </c>
      <c r="J84" s="58">
        <v>4.9989999999999997</v>
      </c>
      <c r="K84" s="58">
        <v>33.804000000000002</v>
      </c>
      <c r="L84" s="58">
        <v>14.675000000000001</v>
      </c>
      <c r="M84" s="58">
        <v>19.129000000000001</v>
      </c>
      <c r="N84" s="58">
        <v>34.502000000000002</v>
      </c>
      <c r="O84" s="58">
        <v>15.401</v>
      </c>
      <c r="P84" s="58">
        <v>19.100999999999999</v>
      </c>
      <c r="Q84" s="58">
        <v>131.58600000000001</v>
      </c>
      <c r="R84" s="58">
        <v>67.317999999999998</v>
      </c>
      <c r="S84" s="58">
        <v>64.268000000000001</v>
      </c>
      <c r="T84" s="58">
        <v>98.850999999999999</v>
      </c>
      <c r="U84" s="58">
        <v>55.523000000000003</v>
      </c>
      <c r="V84" s="58">
        <v>43.328000000000003</v>
      </c>
      <c r="W84" s="58">
        <v>32.734000000000002</v>
      </c>
      <c r="X84" s="58">
        <v>11.794</v>
      </c>
      <c r="Y84" s="58">
        <v>20.94</v>
      </c>
      <c r="Z84" s="58">
        <v>18.335999999999999</v>
      </c>
      <c r="AA84" s="58">
        <v>10.500999999999999</v>
      </c>
      <c r="AB84" s="58">
        <v>7.835</v>
      </c>
      <c r="AC84" s="58">
        <v>3.3410000000000002</v>
      </c>
      <c r="AD84" s="58">
        <v>2.4569999999999999</v>
      </c>
      <c r="AE84" s="58">
        <v>0.88500000000000001</v>
      </c>
      <c r="AF84" s="58">
        <v>1.9390000000000001</v>
      </c>
      <c r="AG84" s="58">
        <v>1.492</v>
      </c>
      <c r="AH84" s="58">
        <v>0.44700000000000001</v>
      </c>
      <c r="AI84" s="58">
        <v>1.5189999999999999</v>
      </c>
      <c r="AJ84" s="58">
        <v>1.1839999999999999</v>
      </c>
      <c r="AK84" s="58">
        <v>0.33500000000000002</v>
      </c>
      <c r="AL84" s="58">
        <v>0.42</v>
      </c>
      <c r="AM84" s="58">
        <v>0.308</v>
      </c>
      <c r="AN84" s="58">
        <v>0.112</v>
      </c>
      <c r="AO84" s="58">
        <v>1.4019999999999999</v>
      </c>
      <c r="AP84" s="58">
        <v>0.96399999999999997</v>
      </c>
      <c r="AQ84" s="58">
        <v>0.438</v>
      </c>
      <c r="AR84" s="58">
        <v>16.196999999999999</v>
      </c>
      <c r="AS84" s="58">
        <v>9.0069999999999997</v>
      </c>
      <c r="AT84" s="58">
        <v>7.1909999999999998</v>
      </c>
      <c r="AU84" s="58">
        <v>7.1929999999999996</v>
      </c>
      <c r="AV84" s="58">
        <v>4.7069999999999999</v>
      </c>
      <c r="AW84" s="58">
        <v>2.4860000000000002</v>
      </c>
      <c r="AX84" s="58">
        <v>9.0050000000000008</v>
      </c>
      <c r="AY84" s="58">
        <v>4.3</v>
      </c>
      <c r="AZ84" s="58">
        <v>4.7050000000000001</v>
      </c>
      <c r="BA84" s="58">
        <v>8.5559999999999992</v>
      </c>
      <c r="BB84" s="58">
        <v>5.81</v>
      </c>
      <c r="BC84" s="58">
        <v>2.746</v>
      </c>
      <c r="BD84" s="58">
        <v>9.7799999999999994</v>
      </c>
      <c r="BE84" s="58">
        <v>4.6909999999999998</v>
      </c>
      <c r="BF84" s="58">
        <v>5.0890000000000004</v>
      </c>
      <c r="BG84" s="58">
        <v>10.523999999999999</v>
      </c>
      <c r="BH84" s="58">
        <v>5.484</v>
      </c>
      <c r="BI84" s="58">
        <v>5.04</v>
      </c>
      <c r="BJ84" s="58">
        <v>237.63800000000001</v>
      </c>
      <c r="BK84" s="58">
        <v>118.092</v>
      </c>
      <c r="BL84" s="58">
        <v>119.54600000000001</v>
      </c>
      <c r="BM84" s="58">
        <v>174.90100000000001</v>
      </c>
      <c r="BN84" s="58">
        <v>98.242999999999995</v>
      </c>
      <c r="BO84" s="58">
        <v>76.659000000000006</v>
      </c>
      <c r="BP84" s="58">
        <v>62.735999999999997</v>
      </c>
      <c r="BQ84" s="58">
        <v>19.849</v>
      </c>
      <c r="BR84" s="58">
        <v>42.887</v>
      </c>
      <c r="BS84" s="58">
        <v>21.84</v>
      </c>
      <c r="BT84" s="58">
        <v>12.736000000000001</v>
      </c>
      <c r="BU84" s="58">
        <v>9.1039999999999992</v>
      </c>
      <c r="BV84" s="58">
        <v>5.7249999999999996</v>
      </c>
      <c r="BW84" s="58">
        <v>3.5590000000000002</v>
      </c>
      <c r="BX84" s="58">
        <v>2.1659999999999999</v>
      </c>
      <c r="BY84" s="58">
        <v>1.7509999999999999</v>
      </c>
      <c r="BZ84" s="58">
        <v>1.7509999999999999</v>
      </c>
      <c r="CA84" s="58">
        <v>0</v>
      </c>
      <c r="CB84" s="58">
        <v>1.496</v>
      </c>
      <c r="CC84" s="58">
        <v>1.496</v>
      </c>
      <c r="CD84" s="58">
        <v>0</v>
      </c>
      <c r="CE84" s="58">
        <v>0.255</v>
      </c>
      <c r="CF84" s="58">
        <v>0.255</v>
      </c>
      <c r="CG84" s="58">
        <v>0</v>
      </c>
      <c r="CH84" s="58">
        <v>3.9729999999999999</v>
      </c>
      <c r="CI84" s="58">
        <v>1.8080000000000001</v>
      </c>
      <c r="CJ84" s="58">
        <v>2.1659999999999999</v>
      </c>
      <c r="CK84" s="58">
        <v>19.111000000000001</v>
      </c>
      <c r="CL84" s="58">
        <v>10.521000000000001</v>
      </c>
      <c r="CM84" s="58">
        <v>8.59</v>
      </c>
      <c r="CN84" s="58">
        <v>6.61</v>
      </c>
      <c r="CO84" s="58">
        <v>4.6769999999999996</v>
      </c>
      <c r="CP84" s="58">
        <v>1.9330000000000001</v>
      </c>
      <c r="CQ84" s="58">
        <v>12.500999999999999</v>
      </c>
      <c r="CR84" s="58">
        <v>5.8440000000000003</v>
      </c>
      <c r="CS84" s="58">
        <v>6.657</v>
      </c>
      <c r="CT84" s="58">
        <v>7.9550000000000001</v>
      </c>
      <c r="CU84" s="58">
        <v>6.0220000000000002</v>
      </c>
      <c r="CV84" s="58">
        <v>1.9330000000000001</v>
      </c>
      <c r="CW84" s="58">
        <v>13.885</v>
      </c>
      <c r="CX84" s="58">
        <v>6.7140000000000004</v>
      </c>
      <c r="CY84" s="58">
        <v>7.1710000000000003</v>
      </c>
      <c r="CZ84" s="58">
        <v>13.997999999999999</v>
      </c>
      <c r="DA84" s="58">
        <v>7.34</v>
      </c>
      <c r="DB84" s="58">
        <v>6.657</v>
      </c>
    </row>
    <row r="85" spans="1:106">
      <c r="A85" s="5">
        <v>44075</v>
      </c>
      <c r="B85" s="58">
        <v>10.336</v>
      </c>
      <c r="C85" s="58">
        <v>7.968</v>
      </c>
      <c r="D85" s="58">
        <v>2.3679999999999999</v>
      </c>
      <c r="E85" s="58">
        <v>25.963999999999999</v>
      </c>
      <c r="F85" s="58">
        <v>11.552</v>
      </c>
      <c r="G85" s="58">
        <v>14.412000000000001</v>
      </c>
      <c r="H85" s="58">
        <v>14.284000000000001</v>
      </c>
      <c r="I85" s="58">
        <v>10.584</v>
      </c>
      <c r="J85" s="58">
        <v>3.6989999999999998</v>
      </c>
      <c r="K85" s="58">
        <v>29.335000000000001</v>
      </c>
      <c r="L85" s="58">
        <v>12.956</v>
      </c>
      <c r="M85" s="58">
        <v>16.379000000000001</v>
      </c>
      <c r="N85" s="58">
        <v>29.672000000000001</v>
      </c>
      <c r="O85" s="58">
        <v>14.11</v>
      </c>
      <c r="P85" s="58">
        <v>15.561999999999999</v>
      </c>
      <c r="Q85" s="58">
        <v>126.608</v>
      </c>
      <c r="R85" s="58">
        <v>65.34</v>
      </c>
      <c r="S85" s="58">
        <v>61.268999999999998</v>
      </c>
      <c r="T85" s="58">
        <v>96.218999999999994</v>
      </c>
      <c r="U85" s="58">
        <v>54.61</v>
      </c>
      <c r="V85" s="58">
        <v>41.607999999999997</v>
      </c>
      <c r="W85" s="58">
        <v>30.39</v>
      </c>
      <c r="X85" s="58">
        <v>10.728999999999999</v>
      </c>
      <c r="Y85" s="58">
        <v>19.66</v>
      </c>
      <c r="Z85" s="58">
        <v>14.815</v>
      </c>
      <c r="AA85" s="58">
        <v>8.4350000000000005</v>
      </c>
      <c r="AB85" s="58">
        <v>6.3810000000000002</v>
      </c>
      <c r="AC85" s="58">
        <v>2.407</v>
      </c>
      <c r="AD85" s="58">
        <v>1.2969999999999999</v>
      </c>
      <c r="AE85" s="58">
        <v>1.109</v>
      </c>
      <c r="AF85" s="58">
        <v>1.2250000000000001</v>
      </c>
      <c r="AG85" s="58">
        <v>0.78600000000000003</v>
      </c>
      <c r="AH85" s="58">
        <v>0.439</v>
      </c>
      <c r="AI85" s="58">
        <v>0.68100000000000005</v>
      </c>
      <c r="AJ85" s="58">
        <v>0.32600000000000001</v>
      </c>
      <c r="AK85" s="58">
        <v>0.35499999999999998</v>
      </c>
      <c r="AL85" s="58">
        <v>0.54400000000000004</v>
      </c>
      <c r="AM85" s="58">
        <v>0.46</v>
      </c>
      <c r="AN85" s="58">
        <v>8.4000000000000005E-2</v>
      </c>
      <c r="AO85" s="58">
        <v>1.1819999999999999</v>
      </c>
      <c r="AP85" s="58">
        <v>0.51200000000000001</v>
      </c>
      <c r="AQ85" s="58">
        <v>0.67</v>
      </c>
      <c r="AR85" s="58">
        <v>13.778</v>
      </c>
      <c r="AS85" s="58">
        <v>7.9450000000000003</v>
      </c>
      <c r="AT85" s="58">
        <v>5.8330000000000002</v>
      </c>
      <c r="AU85" s="58">
        <v>6.51</v>
      </c>
      <c r="AV85" s="58">
        <v>4.3780000000000001</v>
      </c>
      <c r="AW85" s="58">
        <v>2.1320000000000001</v>
      </c>
      <c r="AX85" s="58">
        <v>7.2679999999999998</v>
      </c>
      <c r="AY85" s="58">
        <v>3.5670000000000002</v>
      </c>
      <c r="AZ85" s="58">
        <v>3.7010000000000001</v>
      </c>
      <c r="BA85" s="58">
        <v>7.133</v>
      </c>
      <c r="BB85" s="58">
        <v>4.7190000000000003</v>
      </c>
      <c r="BC85" s="58">
        <v>2.4129999999999998</v>
      </c>
      <c r="BD85" s="58">
        <v>7.6829999999999998</v>
      </c>
      <c r="BE85" s="58">
        <v>3.7149999999999999</v>
      </c>
      <c r="BF85" s="58">
        <v>3.9670000000000001</v>
      </c>
      <c r="BG85" s="58">
        <v>7.9489999999999998</v>
      </c>
      <c r="BH85" s="58">
        <v>3.8929999999999998</v>
      </c>
      <c r="BI85" s="58">
        <v>4.056</v>
      </c>
      <c r="BJ85" s="58">
        <v>238.267</v>
      </c>
      <c r="BK85" s="58">
        <v>119.736</v>
      </c>
      <c r="BL85" s="58">
        <v>118.53100000000001</v>
      </c>
      <c r="BM85" s="58">
        <v>168.69</v>
      </c>
      <c r="BN85" s="58">
        <v>95.986999999999995</v>
      </c>
      <c r="BO85" s="58">
        <v>72.703000000000003</v>
      </c>
      <c r="BP85" s="58">
        <v>69.575999999999993</v>
      </c>
      <c r="BQ85" s="58">
        <v>23.748999999999999</v>
      </c>
      <c r="BR85" s="58">
        <v>45.828000000000003</v>
      </c>
      <c r="BS85" s="58">
        <v>23.263000000000002</v>
      </c>
      <c r="BT85" s="58">
        <v>13.214</v>
      </c>
      <c r="BU85" s="58">
        <v>10.048999999999999</v>
      </c>
      <c r="BV85" s="58">
        <v>5.327</v>
      </c>
      <c r="BW85" s="58">
        <v>3.8839999999999999</v>
      </c>
      <c r="BX85" s="58">
        <v>1.4430000000000001</v>
      </c>
      <c r="BY85" s="58">
        <v>1.95</v>
      </c>
      <c r="BZ85" s="58">
        <v>1.421</v>
      </c>
      <c r="CA85" s="58">
        <v>0.52900000000000003</v>
      </c>
      <c r="CB85" s="58">
        <v>1.5680000000000001</v>
      </c>
      <c r="CC85" s="58">
        <v>1.194</v>
      </c>
      <c r="CD85" s="58">
        <v>0.374</v>
      </c>
      <c r="CE85" s="58">
        <v>0.38200000000000001</v>
      </c>
      <c r="CF85" s="58">
        <v>0.22800000000000001</v>
      </c>
      <c r="CG85" s="58">
        <v>0.154</v>
      </c>
      <c r="CH85" s="58">
        <v>3.3769999999999998</v>
      </c>
      <c r="CI85" s="58">
        <v>2.4630000000000001</v>
      </c>
      <c r="CJ85" s="58">
        <v>0.91500000000000004</v>
      </c>
      <c r="CK85" s="58">
        <v>20.385000000000002</v>
      </c>
      <c r="CL85" s="58">
        <v>11.433</v>
      </c>
      <c r="CM85" s="58">
        <v>8.952</v>
      </c>
      <c r="CN85" s="58">
        <v>6.7549999999999999</v>
      </c>
      <c r="CO85" s="58">
        <v>4.9829999999999997</v>
      </c>
      <c r="CP85" s="58">
        <v>1.772</v>
      </c>
      <c r="CQ85" s="58">
        <v>13.63</v>
      </c>
      <c r="CR85" s="58">
        <v>6.45</v>
      </c>
      <c r="CS85" s="58">
        <v>7.18</v>
      </c>
      <c r="CT85" s="58">
        <v>8.0640000000000001</v>
      </c>
      <c r="CU85" s="58">
        <v>5.7629999999999999</v>
      </c>
      <c r="CV85" s="58">
        <v>2.2999999999999998</v>
      </c>
      <c r="CW85" s="58">
        <v>15.2</v>
      </c>
      <c r="CX85" s="58">
        <v>7.4509999999999996</v>
      </c>
      <c r="CY85" s="58">
        <v>7.7489999999999997</v>
      </c>
      <c r="CZ85" s="58">
        <v>15.198</v>
      </c>
      <c r="DA85" s="58">
        <v>7.6429999999999998</v>
      </c>
      <c r="DB85" s="58">
        <v>7.5540000000000003</v>
      </c>
    </row>
    <row r="86" spans="1:106">
      <c r="A86" s="5">
        <v>44105</v>
      </c>
      <c r="B86" s="58">
        <v>10.57</v>
      </c>
      <c r="C86" s="58">
        <v>7.3929999999999998</v>
      </c>
      <c r="D86" s="58">
        <v>3.177</v>
      </c>
      <c r="E86" s="58">
        <v>25.789000000000001</v>
      </c>
      <c r="F86" s="58">
        <v>11.646000000000001</v>
      </c>
      <c r="G86" s="58">
        <v>14.143000000000001</v>
      </c>
      <c r="H86" s="58">
        <v>13.345000000000001</v>
      </c>
      <c r="I86" s="58">
        <v>9.02</v>
      </c>
      <c r="J86" s="58">
        <v>4.3250000000000002</v>
      </c>
      <c r="K86" s="58">
        <v>28.661999999999999</v>
      </c>
      <c r="L86" s="58">
        <v>13.035</v>
      </c>
      <c r="M86" s="58">
        <v>15.628</v>
      </c>
      <c r="N86" s="58">
        <v>28.74</v>
      </c>
      <c r="O86" s="58">
        <v>13.430999999999999</v>
      </c>
      <c r="P86" s="58">
        <v>15.308999999999999</v>
      </c>
      <c r="Q86" s="58">
        <v>131.08799999999999</v>
      </c>
      <c r="R86" s="58">
        <v>67.92</v>
      </c>
      <c r="S86" s="58">
        <v>63.168999999999997</v>
      </c>
      <c r="T86" s="58">
        <v>97.14</v>
      </c>
      <c r="U86" s="58">
        <v>55.186999999999998</v>
      </c>
      <c r="V86" s="58">
        <v>41.953000000000003</v>
      </c>
      <c r="W86" s="58">
        <v>33.948</v>
      </c>
      <c r="X86" s="58">
        <v>12.733000000000001</v>
      </c>
      <c r="Y86" s="58">
        <v>21.215</v>
      </c>
      <c r="Z86" s="58">
        <v>18.937999999999999</v>
      </c>
      <c r="AA86" s="58">
        <v>10.26</v>
      </c>
      <c r="AB86" s="58">
        <v>8.6780000000000008</v>
      </c>
      <c r="AC86" s="58">
        <v>3.4769999999999999</v>
      </c>
      <c r="AD86" s="58">
        <v>1.9419999999999999</v>
      </c>
      <c r="AE86" s="58">
        <v>1.534</v>
      </c>
      <c r="AF86" s="58">
        <v>2.3879999999999999</v>
      </c>
      <c r="AG86" s="58">
        <v>1.405</v>
      </c>
      <c r="AH86" s="58">
        <v>0.98199999999999998</v>
      </c>
      <c r="AI86" s="58">
        <v>1.526</v>
      </c>
      <c r="AJ86" s="58">
        <v>0.68600000000000005</v>
      </c>
      <c r="AK86" s="58">
        <v>0.84</v>
      </c>
      <c r="AL86" s="58">
        <v>0.86099999999999999</v>
      </c>
      <c r="AM86" s="58">
        <v>0.71899999999999997</v>
      </c>
      <c r="AN86" s="58">
        <v>0.14199999999999999</v>
      </c>
      <c r="AO86" s="58">
        <v>1.089</v>
      </c>
      <c r="AP86" s="58">
        <v>0.53700000000000003</v>
      </c>
      <c r="AQ86" s="58">
        <v>0.55200000000000005</v>
      </c>
      <c r="AR86" s="58">
        <v>16.86</v>
      </c>
      <c r="AS86" s="58">
        <v>9.0619999999999994</v>
      </c>
      <c r="AT86" s="58">
        <v>7.798</v>
      </c>
      <c r="AU86" s="58">
        <v>7.5990000000000002</v>
      </c>
      <c r="AV86" s="58">
        <v>5.0279999999999996</v>
      </c>
      <c r="AW86" s="58">
        <v>2.5710000000000002</v>
      </c>
      <c r="AX86" s="58">
        <v>9.2609999999999992</v>
      </c>
      <c r="AY86" s="58">
        <v>4.0339999999999998</v>
      </c>
      <c r="AZ86" s="58">
        <v>5.2270000000000003</v>
      </c>
      <c r="BA86" s="58">
        <v>8.9600000000000009</v>
      </c>
      <c r="BB86" s="58">
        <v>5.9359999999999999</v>
      </c>
      <c r="BC86" s="58">
        <v>3.024</v>
      </c>
      <c r="BD86" s="58">
        <v>9.9789999999999992</v>
      </c>
      <c r="BE86" s="58">
        <v>4.3239999999999998</v>
      </c>
      <c r="BF86" s="58">
        <v>5.6550000000000002</v>
      </c>
      <c r="BG86" s="58">
        <v>10.788</v>
      </c>
      <c r="BH86" s="58">
        <v>4.72</v>
      </c>
      <c r="BI86" s="58">
        <v>6.0670000000000002</v>
      </c>
      <c r="BJ86" s="58">
        <v>244.517</v>
      </c>
      <c r="BK86" s="58">
        <v>122.197</v>
      </c>
      <c r="BL86" s="58">
        <v>122.32</v>
      </c>
      <c r="BM86" s="58">
        <v>176.25800000000001</v>
      </c>
      <c r="BN86" s="58">
        <v>99.947000000000003</v>
      </c>
      <c r="BO86" s="58">
        <v>76.311000000000007</v>
      </c>
      <c r="BP86" s="58">
        <v>68.259</v>
      </c>
      <c r="BQ86" s="58">
        <v>22.25</v>
      </c>
      <c r="BR86" s="58">
        <v>46.009</v>
      </c>
      <c r="BS86" s="58">
        <v>26.140999999999998</v>
      </c>
      <c r="BT86" s="58">
        <v>14.148999999999999</v>
      </c>
      <c r="BU86" s="58">
        <v>11.993</v>
      </c>
      <c r="BV86" s="58">
        <v>6.8659999999999997</v>
      </c>
      <c r="BW86" s="58">
        <v>3.6059999999999999</v>
      </c>
      <c r="BX86" s="58">
        <v>3.26</v>
      </c>
      <c r="BY86" s="58">
        <v>2.7120000000000002</v>
      </c>
      <c r="BZ86" s="58">
        <v>1.377</v>
      </c>
      <c r="CA86" s="58">
        <v>1.3360000000000001</v>
      </c>
      <c r="CB86" s="58">
        <v>2.351</v>
      </c>
      <c r="CC86" s="58">
        <v>1.173</v>
      </c>
      <c r="CD86" s="58">
        <v>1.177</v>
      </c>
      <c r="CE86" s="58">
        <v>0.36099999999999999</v>
      </c>
      <c r="CF86" s="58">
        <v>0.20300000000000001</v>
      </c>
      <c r="CG86" s="58">
        <v>0.158</v>
      </c>
      <c r="CH86" s="58">
        <v>4.1539999999999999</v>
      </c>
      <c r="CI86" s="58">
        <v>2.2290000000000001</v>
      </c>
      <c r="CJ86" s="58">
        <v>1.9239999999999999</v>
      </c>
      <c r="CK86" s="58">
        <v>22.617000000000001</v>
      </c>
      <c r="CL86" s="58">
        <v>12.531000000000001</v>
      </c>
      <c r="CM86" s="58">
        <v>10.086</v>
      </c>
      <c r="CN86" s="58">
        <v>6.2539999999999996</v>
      </c>
      <c r="CO86" s="58">
        <v>4.4409999999999998</v>
      </c>
      <c r="CP86" s="58">
        <v>1.8120000000000001</v>
      </c>
      <c r="CQ86" s="58">
        <v>16.363</v>
      </c>
      <c r="CR86" s="58">
        <v>8.09</v>
      </c>
      <c r="CS86" s="58">
        <v>8.2739999999999991</v>
      </c>
      <c r="CT86" s="58">
        <v>7.048</v>
      </c>
      <c r="CU86" s="58">
        <v>4.8959999999999999</v>
      </c>
      <c r="CV86" s="58">
        <v>2.1520000000000001</v>
      </c>
      <c r="CW86" s="58">
        <v>19.093</v>
      </c>
      <c r="CX86" s="58">
        <v>9.2530000000000001</v>
      </c>
      <c r="CY86" s="58">
        <v>9.84</v>
      </c>
      <c r="CZ86" s="58">
        <v>18.713999999999999</v>
      </c>
      <c r="DA86" s="58">
        <v>9.2629999999999999</v>
      </c>
      <c r="DB86" s="58">
        <v>9.4510000000000005</v>
      </c>
    </row>
    <row r="87" spans="1:106">
      <c r="A87" s="5">
        <v>44136</v>
      </c>
      <c r="B87" s="58">
        <v>12.167</v>
      </c>
      <c r="C87" s="58">
        <v>8.3529999999999998</v>
      </c>
      <c r="D87" s="58">
        <v>3.8140000000000001</v>
      </c>
      <c r="E87" s="58">
        <v>26.094999999999999</v>
      </c>
      <c r="F87" s="58">
        <v>11.926</v>
      </c>
      <c r="G87" s="58">
        <v>14.169</v>
      </c>
      <c r="H87" s="58">
        <v>14.351000000000001</v>
      </c>
      <c r="I87" s="58">
        <v>9.9960000000000004</v>
      </c>
      <c r="J87" s="58">
        <v>4.3550000000000004</v>
      </c>
      <c r="K87" s="58">
        <v>28.725000000000001</v>
      </c>
      <c r="L87" s="58">
        <v>12.994</v>
      </c>
      <c r="M87" s="58">
        <v>15.731</v>
      </c>
      <c r="N87" s="58">
        <v>28.632999999999999</v>
      </c>
      <c r="O87" s="58">
        <v>13.593999999999999</v>
      </c>
      <c r="P87" s="58">
        <v>15.039</v>
      </c>
      <c r="Q87" s="58">
        <v>129.614</v>
      </c>
      <c r="R87" s="58">
        <v>68.641000000000005</v>
      </c>
      <c r="S87" s="58">
        <v>60.972999999999999</v>
      </c>
      <c r="T87" s="58">
        <v>99.545000000000002</v>
      </c>
      <c r="U87" s="58">
        <v>58.393999999999998</v>
      </c>
      <c r="V87" s="58">
        <v>41.151000000000003</v>
      </c>
      <c r="W87" s="58">
        <v>30.068999999999999</v>
      </c>
      <c r="X87" s="58">
        <v>10.247</v>
      </c>
      <c r="Y87" s="58">
        <v>19.823</v>
      </c>
      <c r="Z87" s="58">
        <v>13.311</v>
      </c>
      <c r="AA87" s="58">
        <v>6.202</v>
      </c>
      <c r="AB87" s="58">
        <v>7.109</v>
      </c>
      <c r="AC87" s="58">
        <v>2.1659999999999999</v>
      </c>
      <c r="AD87" s="58">
        <v>0.90400000000000003</v>
      </c>
      <c r="AE87" s="58">
        <v>1.262</v>
      </c>
      <c r="AF87" s="58">
        <v>0.998</v>
      </c>
      <c r="AG87" s="58">
        <v>0.64</v>
      </c>
      <c r="AH87" s="58">
        <v>0.35699999999999998</v>
      </c>
      <c r="AI87" s="58">
        <v>0.48199999999999998</v>
      </c>
      <c r="AJ87" s="58">
        <v>0.192</v>
      </c>
      <c r="AK87" s="58">
        <v>0.28999999999999998</v>
      </c>
      <c r="AL87" s="58">
        <v>0.51500000000000001</v>
      </c>
      <c r="AM87" s="58">
        <v>0.44800000000000001</v>
      </c>
      <c r="AN87" s="58">
        <v>6.7000000000000004E-2</v>
      </c>
      <c r="AO87" s="58">
        <v>1.1679999999999999</v>
      </c>
      <c r="AP87" s="58">
        <v>0.26400000000000001</v>
      </c>
      <c r="AQ87" s="58">
        <v>0.90500000000000003</v>
      </c>
      <c r="AR87" s="58">
        <v>12.351000000000001</v>
      </c>
      <c r="AS87" s="58">
        <v>5.8849999999999998</v>
      </c>
      <c r="AT87" s="58">
        <v>6.4660000000000002</v>
      </c>
      <c r="AU87" s="58">
        <v>4.633</v>
      </c>
      <c r="AV87" s="58">
        <v>3.2559999999999998</v>
      </c>
      <c r="AW87" s="58">
        <v>1.377</v>
      </c>
      <c r="AX87" s="58">
        <v>7.718</v>
      </c>
      <c r="AY87" s="58">
        <v>2.629</v>
      </c>
      <c r="AZ87" s="58">
        <v>5.0890000000000004</v>
      </c>
      <c r="BA87" s="58">
        <v>5.1210000000000004</v>
      </c>
      <c r="BB87" s="58">
        <v>3.573</v>
      </c>
      <c r="BC87" s="58">
        <v>1.5469999999999999</v>
      </c>
      <c r="BD87" s="58">
        <v>8.19</v>
      </c>
      <c r="BE87" s="58">
        <v>2.629</v>
      </c>
      <c r="BF87" s="58">
        <v>5.5609999999999999</v>
      </c>
      <c r="BG87" s="58">
        <v>8.1999999999999993</v>
      </c>
      <c r="BH87" s="58">
        <v>2.82</v>
      </c>
      <c r="BI87" s="58">
        <v>5.3789999999999996</v>
      </c>
      <c r="BJ87" s="58">
        <v>243.869</v>
      </c>
      <c r="BK87" s="58">
        <v>122.23399999999999</v>
      </c>
      <c r="BL87" s="58">
        <v>121.63500000000001</v>
      </c>
      <c r="BM87" s="58">
        <v>177.12200000000001</v>
      </c>
      <c r="BN87" s="58">
        <v>100.249</v>
      </c>
      <c r="BO87" s="58">
        <v>76.873000000000005</v>
      </c>
      <c r="BP87" s="58">
        <v>66.745999999999995</v>
      </c>
      <c r="BQ87" s="58">
        <v>21.984999999999999</v>
      </c>
      <c r="BR87" s="58">
        <v>44.761000000000003</v>
      </c>
      <c r="BS87" s="58">
        <v>21.715</v>
      </c>
      <c r="BT87" s="58">
        <v>11.398999999999999</v>
      </c>
      <c r="BU87" s="58">
        <v>10.315</v>
      </c>
      <c r="BV87" s="58">
        <v>5.3819999999999997</v>
      </c>
      <c r="BW87" s="58">
        <v>3.22</v>
      </c>
      <c r="BX87" s="58">
        <v>2.1619999999999999</v>
      </c>
      <c r="BY87" s="58">
        <v>2.3940000000000001</v>
      </c>
      <c r="BZ87" s="58">
        <v>1.764</v>
      </c>
      <c r="CA87" s="58">
        <v>0.63</v>
      </c>
      <c r="CB87" s="58">
        <v>1.875</v>
      </c>
      <c r="CC87" s="58">
        <v>1.4370000000000001</v>
      </c>
      <c r="CD87" s="58">
        <v>0.438</v>
      </c>
      <c r="CE87" s="58">
        <v>0.51900000000000002</v>
      </c>
      <c r="CF87" s="58">
        <v>0.32700000000000001</v>
      </c>
      <c r="CG87" s="58">
        <v>0.192</v>
      </c>
      <c r="CH87" s="58">
        <v>2.988</v>
      </c>
      <c r="CI87" s="58">
        <v>1.456</v>
      </c>
      <c r="CJ87" s="58">
        <v>1.532</v>
      </c>
      <c r="CK87" s="58">
        <v>17.655000000000001</v>
      </c>
      <c r="CL87" s="58">
        <v>9.2289999999999992</v>
      </c>
      <c r="CM87" s="58">
        <v>8.4260000000000002</v>
      </c>
      <c r="CN87" s="58">
        <v>4.5730000000000004</v>
      </c>
      <c r="CO87" s="58">
        <v>3.6469999999999998</v>
      </c>
      <c r="CP87" s="58">
        <v>0.92700000000000005</v>
      </c>
      <c r="CQ87" s="58">
        <v>13.081</v>
      </c>
      <c r="CR87" s="58">
        <v>5.5819999999999999</v>
      </c>
      <c r="CS87" s="58">
        <v>7.4989999999999997</v>
      </c>
      <c r="CT87" s="58">
        <v>6.6710000000000003</v>
      </c>
      <c r="CU87" s="58">
        <v>5.1139999999999999</v>
      </c>
      <c r="CV87" s="58">
        <v>1.5569999999999999</v>
      </c>
      <c r="CW87" s="58">
        <v>15.042999999999999</v>
      </c>
      <c r="CX87" s="58">
        <v>6.2850000000000001</v>
      </c>
      <c r="CY87" s="58">
        <v>8.7590000000000003</v>
      </c>
      <c r="CZ87" s="58">
        <v>14.957000000000001</v>
      </c>
      <c r="DA87" s="58">
        <v>7.02</v>
      </c>
      <c r="DB87" s="58">
        <v>7.9370000000000003</v>
      </c>
    </row>
    <row r="88" spans="1:106">
      <c r="A88" s="5">
        <v>44166</v>
      </c>
      <c r="B88" s="58">
        <v>11.87</v>
      </c>
      <c r="C88" s="58">
        <v>7.8710000000000004</v>
      </c>
      <c r="D88" s="58">
        <v>3.9980000000000002</v>
      </c>
      <c r="E88" s="58">
        <v>25.942</v>
      </c>
      <c r="F88" s="58">
        <v>12.377000000000001</v>
      </c>
      <c r="G88" s="58">
        <v>13.565</v>
      </c>
      <c r="H88" s="58">
        <v>14.446</v>
      </c>
      <c r="I88" s="58">
        <v>9.0030000000000001</v>
      </c>
      <c r="J88" s="58">
        <v>5.4429999999999996</v>
      </c>
      <c r="K88" s="58">
        <v>28.135000000000002</v>
      </c>
      <c r="L88" s="58">
        <v>13.489000000000001</v>
      </c>
      <c r="M88" s="58">
        <v>14.646000000000001</v>
      </c>
      <c r="N88" s="58">
        <v>27.692</v>
      </c>
      <c r="O88" s="58">
        <v>13.09</v>
      </c>
      <c r="P88" s="58">
        <v>14.602</v>
      </c>
      <c r="Q88" s="58">
        <v>131.47300000000001</v>
      </c>
      <c r="R88" s="58">
        <v>69.808999999999997</v>
      </c>
      <c r="S88" s="58">
        <v>61.664999999999999</v>
      </c>
      <c r="T88" s="58">
        <v>99.350999999999999</v>
      </c>
      <c r="U88" s="58">
        <v>57.918999999999997</v>
      </c>
      <c r="V88" s="58">
        <v>41.433</v>
      </c>
      <c r="W88" s="58">
        <v>32.122</v>
      </c>
      <c r="X88" s="58">
        <v>11.89</v>
      </c>
      <c r="Y88" s="58">
        <v>20.231999999999999</v>
      </c>
      <c r="Z88" s="58">
        <v>15.805999999999999</v>
      </c>
      <c r="AA88" s="58">
        <v>9.3160000000000007</v>
      </c>
      <c r="AB88" s="58">
        <v>6.49</v>
      </c>
      <c r="AC88" s="58">
        <v>1.6879999999999999</v>
      </c>
      <c r="AD88" s="58">
        <v>1.08</v>
      </c>
      <c r="AE88" s="58">
        <v>0.60799999999999998</v>
      </c>
      <c r="AF88" s="58">
        <v>0.74199999999999999</v>
      </c>
      <c r="AG88" s="58">
        <v>0.55300000000000005</v>
      </c>
      <c r="AH88" s="58">
        <v>0.19</v>
      </c>
      <c r="AI88" s="58">
        <v>0.26100000000000001</v>
      </c>
      <c r="AJ88" s="58">
        <v>0.191</v>
      </c>
      <c r="AK88" s="58">
        <v>7.0000000000000007E-2</v>
      </c>
      <c r="AL88" s="58">
        <v>0.48099999999999998</v>
      </c>
      <c r="AM88" s="58">
        <v>0.36199999999999999</v>
      </c>
      <c r="AN88" s="58">
        <v>0.11899999999999999</v>
      </c>
      <c r="AO88" s="58">
        <v>0.94599999999999995</v>
      </c>
      <c r="AP88" s="58">
        <v>0.52700000000000002</v>
      </c>
      <c r="AQ88" s="58">
        <v>0.41799999999999998</v>
      </c>
      <c r="AR88" s="58">
        <v>14.94</v>
      </c>
      <c r="AS88" s="58">
        <v>8.7029999999999994</v>
      </c>
      <c r="AT88" s="58">
        <v>6.2370000000000001</v>
      </c>
      <c r="AU88" s="58">
        <v>5.8929999999999998</v>
      </c>
      <c r="AV88" s="58">
        <v>4.306</v>
      </c>
      <c r="AW88" s="58">
        <v>1.587</v>
      </c>
      <c r="AX88" s="58">
        <v>9.0470000000000006</v>
      </c>
      <c r="AY88" s="58">
        <v>4.3970000000000002</v>
      </c>
      <c r="AZ88" s="58">
        <v>4.6500000000000004</v>
      </c>
      <c r="BA88" s="58">
        <v>6.3620000000000001</v>
      </c>
      <c r="BB88" s="58">
        <v>4.6559999999999997</v>
      </c>
      <c r="BC88" s="58">
        <v>1.706</v>
      </c>
      <c r="BD88" s="58">
        <v>9.4440000000000008</v>
      </c>
      <c r="BE88" s="58">
        <v>4.66</v>
      </c>
      <c r="BF88" s="58">
        <v>4.7839999999999998</v>
      </c>
      <c r="BG88" s="58">
        <v>9.3089999999999993</v>
      </c>
      <c r="BH88" s="58">
        <v>4.5880000000000001</v>
      </c>
      <c r="BI88" s="58">
        <v>4.7210000000000001</v>
      </c>
      <c r="BJ88" s="58">
        <v>241.60300000000001</v>
      </c>
      <c r="BK88" s="58">
        <v>119.724</v>
      </c>
      <c r="BL88" s="58">
        <v>121.879</v>
      </c>
      <c r="BM88" s="58">
        <v>180.04599999999999</v>
      </c>
      <c r="BN88" s="58">
        <v>101.627</v>
      </c>
      <c r="BO88" s="58">
        <v>78.418999999999997</v>
      </c>
      <c r="BP88" s="58">
        <v>61.555999999999997</v>
      </c>
      <c r="BQ88" s="58">
        <v>18.097000000000001</v>
      </c>
      <c r="BR88" s="58">
        <v>43.46</v>
      </c>
      <c r="BS88" s="58">
        <v>23.666</v>
      </c>
      <c r="BT88" s="58">
        <v>12.679</v>
      </c>
      <c r="BU88" s="58">
        <v>10.988</v>
      </c>
      <c r="BV88" s="58">
        <v>5.8819999999999997</v>
      </c>
      <c r="BW88" s="58">
        <v>3.6480000000000001</v>
      </c>
      <c r="BX88" s="58">
        <v>2.234</v>
      </c>
      <c r="BY88" s="58">
        <v>2.6880000000000002</v>
      </c>
      <c r="BZ88" s="58">
        <v>2.141</v>
      </c>
      <c r="CA88" s="58">
        <v>0.54700000000000004</v>
      </c>
      <c r="CB88" s="58">
        <v>1.3</v>
      </c>
      <c r="CC88" s="58">
        <v>1.1240000000000001</v>
      </c>
      <c r="CD88" s="58">
        <v>0.17599999999999999</v>
      </c>
      <c r="CE88" s="58">
        <v>1.3879999999999999</v>
      </c>
      <c r="CF88" s="58">
        <v>1.0169999999999999</v>
      </c>
      <c r="CG88" s="58">
        <v>0.371</v>
      </c>
      <c r="CH88" s="58">
        <v>3.194</v>
      </c>
      <c r="CI88" s="58">
        <v>1.5069999999999999</v>
      </c>
      <c r="CJ88" s="58">
        <v>1.6870000000000001</v>
      </c>
      <c r="CK88" s="58">
        <v>19.881</v>
      </c>
      <c r="CL88" s="58">
        <v>10.792999999999999</v>
      </c>
      <c r="CM88" s="58">
        <v>9.0879999999999992</v>
      </c>
      <c r="CN88" s="58">
        <v>5.4569999999999999</v>
      </c>
      <c r="CO88" s="58">
        <v>4.3470000000000004</v>
      </c>
      <c r="CP88" s="58">
        <v>1.1100000000000001</v>
      </c>
      <c r="CQ88" s="58">
        <v>14.423999999999999</v>
      </c>
      <c r="CR88" s="58">
        <v>6.4459999999999997</v>
      </c>
      <c r="CS88" s="58">
        <v>7.9779999999999998</v>
      </c>
      <c r="CT88" s="58">
        <v>7.7149999999999999</v>
      </c>
      <c r="CU88" s="58">
        <v>6.0579999999999998</v>
      </c>
      <c r="CV88" s="58">
        <v>1.657</v>
      </c>
      <c r="CW88" s="58">
        <v>15.952</v>
      </c>
      <c r="CX88" s="58">
        <v>6.6210000000000004</v>
      </c>
      <c r="CY88" s="58">
        <v>9.3309999999999995</v>
      </c>
      <c r="CZ88" s="58">
        <v>15.724</v>
      </c>
      <c r="DA88" s="58">
        <v>7.57</v>
      </c>
      <c r="DB88" s="58">
        <v>8.1539999999999999</v>
      </c>
    </row>
    <row r="89" spans="1:106">
      <c r="A89" s="5">
        <v>44197</v>
      </c>
      <c r="B89" s="58">
        <v>11.795</v>
      </c>
      <c r="C89" s="58">
        <v>7.73</v>
      </c>
      <c r="D89" s="58">
        <v>4.0650000000000004</v>
      </c>
      <c r="E89" s="58">
        <v>21.914000000000001</v>
      </c>
      <c r="F89" s="58">
        <v>9.9109999999999996</v>
      </c>
      <c r="G89" s="58">
        <v>12.002000000000001</v>
      </c>
      <c r="H89" s="58">
        <v>13.805</v>
      </c>
      <c r="I89" s="58">
        <v>9.2449999999999992</v>
      </c>
      <c r="J89" s="58">
        <v>4.5599999999999996</v>
      </c>
      <c r="K89" s="58">
        <v>23.687999999999999</v>
      </c>
      <c r="L89" s="58">
        <v>10.632999999999999</v>
      </c>
      <c r="M89" s="58">
        <v>13.054</v>
      </c>
      <c r="N89" s="58">
        <v>23.841000000000001</v>
      </c>
      <c r="O89" s="58">
        <v>10.851000000000001</v>
      </c>
      <c r="P89" s="58">
        <v>12.99</v>
      </c>
      <c r="Q89" s="58">
        <v>129.97900000000001</v>
      </c>
      <c r="R89" s="58">
        <v>69.557000000000002</v>
      </c>
      <c r="S89" s="58">
        <v>60.421999999999997</v>
      </c>
      <c r="T89" s="58">
        <v>101.754</v>
      </c>
      <c r="U89" s="58">
        <v>58.591000000000001</v>
      </c>
      <c r="V89" s="58">
        <v>43.164000000000001</v>
      </c>
      <c r="W89" s="58">
        <v>28.224</v>
      </c>
      <c r="X89" s="58">
        <v>10.965999999999999</v>
      </c>
      <c r="Y89" s="58">
        <v>17.257999999999999</v>
      </c>
      <c r="Z89" s="58">
        <v>17.085000000000001</v>
      </c>
      <c r="AA89" s="58">
        <v>9.9309999999999992</v>
      </c>
      <c r="AB89" s="58">
        <v>7.1539999999999999</v>
      </c>
      <c r="AC89" s="58">
        <v>2.7759999999999998</v>
      </c>
      <c r="AD89" s="58">
        <v>1.716</v>
      </c>
      <c r="AE89" s="58">
        <v>1.06</v>
      </c>
      <c r="AF89" s="58">
        <v>1.5229999999999999</v>
      </c>
      <c r="AG89" s="58">
        <v>0.90900000000000003</v>
      </c>
      <c r="AH89" s="58">
        <v>0.61399999999999999</v>
      </c>
      <c r="AI89" s="58">
        <v>1.0740000000000001</v>
      </c>
      <c r="AJ89" s="58">
        <v>0.68300000000000005</v>
      </c>
      <c r="AK89" s="58">
        <v>0.39100000000000001</v>
      </c>
      <c r="AL89" s="58">
        <v>0.44900000000000001</v>
      </c>
      <c r="AM89" s="58">
        <v>0.22600000000000001</v>
      </c>
      <c r="AN89" s="58">
        <v>0.223</v>
      </c>
      <c r="AO89" s="58">
        <v>1.2529999999999999</v>
      </c>
      <c r="AP89" s="58">
        <v>0.80700000000000005</v>
      </c>
      <c r="AQ89" s="58">
        <v>0.44600000000000001</v>
      </c>
      <c r="AR89" s="58">
        <v>15.413</v>
      </c>
      <c r="AS89" s="58">
        <v>8.8849999999999998</v>
      </c>
      <c r="AT89" s="58">
        <v>6.5279999999999996</v>
      </c>
      <c r="AU89" s="58">
        <v>6.9829999999999997</v>
      </c>
      <c r="AV89" s="58">
        <v>4.702</v>
      </c>
      <c r="AW89" s="58">
        <v>2.2810000000000001</v>
      </c>
      <c r="AX89" s="58">
        <v>8.4290000000000003</v>
      </c>
      <c r="AY89" s="58">
        <v>4.1829999999999998</v>
      </c>
      <c r="AZ89" s="58">
        <v>4.2469999999999999</v>
      </c>
      <c r="BA89" s="58">
        <v>7.9269999999999996</v>
      </c>
      <c r="BB89" s="58">
        <v>5.2690000000000001</v>
      </c>
      <c r="BC89" s="58">
        <v>2.6579999999999999</v>
      </c>
      <c r="BD89" s="58">
        <v>9.1579999999999995</v>
      </c>
      <c r="BE89" s="58">
        <v>4.6619999999999999</v>
      </c>
      <c r="BF89" s="58">
        <v>4.4960000000000004</v>
      </c>
      <c r="BG89" s="58">
        <v>9.5039999999999996</v>
      </c>
      <c r="BH89" s="58">
        <v>4.8659999999999997</v>
      </c>
      <c r="BI89" s="58">
        <v>4.6369999999999996</v>
      </c>
      <c r="BJ89" s="58">
        <v>233.245</v>
      </c>
      <c r="BK89" s="58">
        <v>117.527</v>
      </c>
      <c r="BL89" s="58">
        <v>115.718</v>
      </c>
      <c r="BM89" s="58">
        <v>175.452</v>
      </c>
      <c r="BN89" s="58">
        <v>99.179000000000002</v>
      </c>
      <c r="BO89" s="58">
        <v>76.272999999999996</v>
      </c>
      <c r="BP89" s="58">
        <v>57.792999999999999</v>
      </c>
      <c r="BQ89" s="58">
        <v>18.347999999999999</v>
      </c>
      <c r="BR89" s="58">
        <v>39.445999999999998</v>
      </c>
      <c r="BS89" s="58">
        <v>24.515000000000001</v>
      </c>
      <c r="BT89" s="58">
        <v>14.324</v>
      </c>
      <c r="BU89" s="58">
        <v>10.191000000000001</v>
      </c>
      <c r="BV89" s="58">
        <v>7.39</v>
      </c>
      <c r="BW89" s="58">
        <v>5.0880000000000001</v>
      </c>
      <c r="BX89" s="58">
        <v>2.302</v>
      </c>
      <c r="BY89" s="58">
        <v>3.8889999999999998</v>
      </c>
      <c r="BZ89" s="58">
        <v>2.5720000000000001</v>
      </c>
      <c r="CA89" s="58">
        <v>1.3169999999999999</v>
      </c>
      <c r="CB89" s="58">
        <v>2.427</v>
      </c>
      <c r="CC89" s="58">
        <v>1.8129999999999999</v>
      </c>
      <c r="CD89" s="58">
        <v>0.61399999999999999</v>
      </c>
      <c r="CE89" s="58">
        <v>1.462</v>
      </c>
      <c r="CF89" s="58">
        <v>0.75900000000000001</v>
      </c>
      <c r="CG89" s="58">
        <v>0.70299999999999996</v>
      </c>
      <c r="CH89" s="58">
        <v>3.5009999999999999</v>
      </c>
      <c r="CI89" s="58">
        <v>2.516</v>
      </c>
      <c r="CJ89" s="58">
        <v>0.98599999999999999</v>
      </c>
      <c r="CK89" s="58">
        <v>19.414999999999999</v>
      </c>
      <c r="CL89" s="58">
        <v>11.196</v>
      </c>
      <c r="CM89" s="58">
        <v>8.218</v>
      </c>
      <c r="CN89" s="58">
        <v>6.1879999999999997</v>
      </c>
      <c r="CO89" s="58">
        <v>4.6740000000000004</v>
      </c>
      <c r="CP89" s="58">
        <v>1.514</v>
      </c>
      <c r="CQ89" s="58">
        <v>13.227</v>
      </c>
      <c r="CR89" s="58">
        <v>6.5229999999999997</v>
      </c>
      <c r="CS89" s="58">
        <v>6.7050000000000001</v>
      </c>
      <c r="CT89" s="58">
        <v>9.3409999999999993</v>
      </c>
      <c r="CU89" s="58">
        <v>6.71</v>
      </c>
      <c r="CV89" s="58">
        <v>2.6309999999999998</v>
      </c>
      <c r="CW89" s="58">
        <v>15.175000000000001</v>
      </c>
      <c r="CX89" s="58">
        <v>7.6150000000000002</v>
      </c>
      <c r="CY89" s="58">
        <v>7.56</v>
      </c>
      <c r="CZ89" s="58">
        <v>15.654</v>
      </c>
      <c r="DA89" s="58">
        <v>8.3350000000000009</v>
      </c>
      <c r="DB89" s="58">
        <v>7.319</v>
      </c>
    </row>
    <row r="90" spans="1:106">
      <c r="A90" s="5">
        <v>44228</v>
      </c>
      <c r="B90" s="58">
        <v>11.986000000000001</v>
      </c>
      <c r="C90" s="58">
        <v>7.9169999999999998</v>
      </c>
      <c r="D90" s="58">
        <v>4.069</v>
      </c>
      <c r="E90" s="58">
        <v>21.635000000000002</v>
      </c>
      <c r="F90" s="58">
        <v>9.8230000000000004</v>
      </c>
      <c r="G90" s="58">
        <v>11.811999999999999</v>
      </c>
      <c r="H90" s="58">
        <v>13.827999999999999</v>
      </c>
      <c r="I90" s="58">
        <v>9.2590000000000003</v>
      </c>
      <c r="J90" s="58">
        <v>4.569</v>
      </c>
      <c r="K90" s="58">
        <v>24.643999999999998</v>
      </c>
      <c r="L90" s="58">
        <v>11.56</v>
      </c>
      <c r="M90" s="58">
        <v>13.084</v>
      </c>
      <c r="N90" s="58">
        <v>23.033999999999999</v>
      </c>
      <c r="O90" s="58">
        <v>10.798999999999999</v>
      </c>
      <c r="P90" s="58">
        <v>12.234</v>
      </c>
      <c r="Q90" s="58">
        <v>131.63499999999999</v>
      </c>
      <c r="R90" s="58">
        <v>70.105000000000004</v>
      </c>
      <c r="S90" s="58">
        <v>61.53</v>
      </c>
      <c r="T90" s="58">
        <v>99.706000000000003</v>
      </c>
      <c r="U90" s="58">
        <v>57.387</v>
      </c>
      <c r="V90" s="58">
        <v>42.319000000000003</v>
      </c>
      <c r="W90" s="58">
        <v>31.928999999999998</v>
      </c>
      <c r="X90" s="58">
        <v>12.718</v>
      </c>
      <c r="Y90" s="58">
        <v>19.210999999999999</v>
      </c>
      <c r="Z90" s="58">
        <v>14.234</v>
      </c>
      <c r="AA90" s="58">
        <v>8.484</v>
      </c>
      <c r="AB90" s="58">
        <v>5.75</v>
      </c>
      <c r="AC90" s="58">
        <v>1.639</v>
      </c>
      <c r="AD90" s="58">
        <v>0.78200000000000003</v>
      </c>
      <c r="AE90" s="58">
        <v>0.85699999999999998</v>
      </c>
      <c r="AF90" s="58">
        <v>0.65800000000000003</v>
      </c>
      <c r="AG90" s="58">
        <v>0.47899999999999998</v>
      </c>
      <c r="AH90" s="58">
        <v>0.17899999999999999</v>
      </c>
      <c r="AI90" s="58">
        <v>0.44800000000000001</v>
      </c>
      <c r="AJ90" s="58">
        <v>0.26900000000000002</v>
      </c>
      <c r="AK90" s="58">
        <v>0.17899999999999999</v>
      </c>
      <c r="AL90" s="58">
        <v>0.21</v>
      </c>
      <c r="AM90" s="58">
        <v>0.21</v>
      </c>
      <c r="AN90" s="58">
        <v>0</v>
      </c>
      <c r="AO90" s="58">
        <v>0.98</v>
      </c>
      <c r="AP90" s="58">
        <v>0.30199999999999999</v>
      </c>
      <c r="AQ90" s="58">
        <v>0.67800000000000005</v>
      </c>
      <c r="AR90" s="58">
        <v>13.222</v>
      </c>
      <c r="AS90" s="58">
        <v>8.0120000000000005</v>
      </c>
      <c r="AT90" s="58">
        <v>5.21</v>
      </c>
      <c r="AU90" s="58">
        <v>6.9560000000000004</v>
      </c>
      <c r="AV90" s="58">
        <v>5.4939999999999998</v>
      </c>
      <c r="AW90" s="58">
        <v>1.4630000000000001</v>
      </c>
      <c r="AX90" s="58">
        <v>6.2649999999999997</v>
      </c>
      <c r="AY90" s="58">
        <v>2.5179999999999998</v>
      </c>
      <c r="AZ90" s="58">
        <v>3.7469999999999999</v>
      </c>
      <c r="BA90" s="58">
        <v>7.383</v>
      </c>
      <c r="BB90" s="58">
        <v>5.843</v>
      </c>
      <c r="BC90" s="58">
        <v>1.54</v>
      </c>
      <c r="BD90" s="58">
        <v>6.851</v>
      </c>
      <c r="BE90" s="58">
        <v>2.641</v>
      </c>
      <c r="BF90" s="58">
        <v>4.21</v>
      </c>
      <c r="BG90" s="58">
        <v>6.7130000000000001</v>
      </c>
      <c r="BH90" s="58">
        <v>2.7869999999999999</v>
      </c>
      <c r="BI90" s="58">
        <v>3.9260000000000002</v>
      </c>
      <c r="BJ90" s="58">
        <v>236.45400000000001</v>
      </c>
      <c r="BK90" s="58">
        <v>119.474</v>
      </c>
      <c r="BL90" s="58">
        <v>116.979</v>
      </c>
      <c r="BM90" s="58">
        <v>176.673</v>
      </c>
      <c r="BN90" s="58">
        <v>98.94</v>
      </c>
      <c r="BO90" s="58">
        <v>77.733000000000004</v>
      </c>
      <c r="BP90" s="58">
        <v>59.780999999999999</v>
      </c>
      <c r="BQ90" s="58">
        <v>20.533999999999999</v>
      </c>
      <c r="BR90" s="58">
        <v>39.246000000000002</v>
      </c>
      <c r="BS90" s="58">
        <v>19.806999999999999</v>
      </c>
      <c r="BT90" s="58">
        <v>11.395</v>
      </c>
      <c r="BU90" s="58">
        <v>8.4120000000000008</v>
      </c>
      <c r="BV90" s="58">
        <v>5.3120000000000003</v>
      </c>
      <c r="BW90" s="58">
        <v>2.4820000000000002</v>
      </c>
      <c r="BX90" s="58">
        <v>2.83</v>
      </c>
      <c r="BY90" s="58">
        <v>2.004</v>
      </c>
      <c r="BZ90" s="58">
        <v>1.244</v>
      </c>
      <c r="CA90" s="58">
        <v>0.76</v>
      </c>
      <c r="CB90" s="58">
        <v>1.23</v>
      </c>
      <c r="CC90" s="58">
        <v>0.64300000000000002</v>
      </c>
      <c r="CD90" s="58">
        <v>0.58699999999999997</v>
      </c>
      <c r="CE90" s="58">
        <v>0.77400000000000002</v>
      </c>
      <c r="CF90" s="58">
        <v>0.60199999999999998</v>
      </c>
      <c r="CG90" s="58">
        <v>0.17299999999999999</v>
      </c>
      <c r="CH90" s="58">
        <v>3.3079999999999998</v>
      </c>
      <c r="CI90" s="58">
        <v>1.238</v>
      </c>
      <c r="CJ90" s="58">
        <v>2.0699999999999998</v>
      </c>
      <c r="CK90" s="58">
        <v>16.298999999999999</v>
      </c>
      <c r="CL90" s="58">
        <v>9.9969999999999999</v>
      </c>
      <c r="CM90" s="58">
        <v>6.3019999999999996</v>
      </c>
      <c r="CN90" s="58">
        <v>6.1890000000000001</v>
      </c>
      <c r="CO90" s="58">
        <v>4.3419999999999996</v>
      </c>
      <c r="CP90" s="58">
        <v>1.847</v>
      </c>
      <c r="CQ90" s="58">
        <v>10.11</v>
      </c>
      <c r="CR90" s="58">
        <v>5.6550000000000002</v>
      </c>
      <c r="CS90" s="58">
        <v>4.4550000000000001</v>
      </c>
      <c r="CT90" s="58">
        <v>7.6870000000000003</v>
      </c>
      <c r="CU90" s="58">
        <v>5.226</v>
      </c>
      <c r="CV90" s="58">
        <v>2.46</v>
      </c>
      <c r="CW90" s="58">
        <v>12.12</v>
      </c>
      <c r="CX90" s="58">
        <v>6.1689999999999996</v>
      </c>
      <c r="CY90" s="58">
        <v>5.9509999999999996</v>
      </c>
      <c r="CZ90" s="58">
        <v>11.34</v>
      </c>
      <c r="DA90" s="58">
        <v>6.298</v>
      </c>
      <c r="DB90" s="58">
        <v>5.0419999999999998</v>
      </c>
    </row>
    <row r="91" spans="1:106">
      <c r="A91" s="5">
        <v>44256</v>
      </c>
      <c r="B91" s="58">
        <v>11.651</v>
      </c>
      <c r="C91" s="58">
        <v>7.8819999999999997</v>
      </c>
      <c r="D91" s="58">
        <v>3.7690000000000001</v>
      </c>
      <c r="E91" s="58">
        <v>24.434999999999999</v>
      </c>
      <c r="F91" s="58">
        <v>10.412000000000001</v>
      </c>
      <c r="G91" s="58">
        <v>14.022</v>
      </c>
      <c r="H91" s="58">
        <v>12.528</v>
      </c>
      <c r="I91" s="58">
        <v>8.7590000000000003</v>
      </c>
      <c r="J91" s="58">
        <v>3.7690000000000001</v>
      </c>
      <c r="K91" s="58">
        <v>26.655000000000001</v>
      </c>
      <c r="L91" s="58">
        <v>11.459</v>
      </c>
      <c r="M91" s="58">
        <v>15.196</v>
      </c>
      <c r="N91" s="58">
        <v>24.945</v>
      </c>
      <c r="O91" s="58">
        <v>10.922000000000001</v>
      </c>
      <c r="P91" s="58">
        <v>14.022</v>
      </c>
      <c r="Q91" s="58">
        <v>130.84700000000001</v>
      </c>
      <c r="R91" s="58">
        <v>68.593000000000004</v>
      </c>
      <c r="S91" s="58">
        <v>62.253999999999998</v>
      </c>
      <c r="T91" s="58">
        <v>99.635000000000005</v>
      </c>
      <c r="U91" s="58">
        <v>57.26</v>
      </c>
      <c r="V91" s="58">
        <v>42.375999999999998</v>
      </c>
      <c r="W91" s="58">
        <v>31.212</v>
      </c>
      <c r="X91" s="58">
        <v>11.333</v>
      </c>
      <c r="Y91" s="58">
        <v>19.878</v>
      </c>
      <c r="Z91" s="58">
        <v>13.896000000000001</v>
      </c>
      <c r="AA91" s="58">
        <v>8.1649999999999991</v>
      </c>
      <c r="AB91" s="58">
        <v>5.7309999999999999</v>
      </c>
      <c r="AC91" s="58">
        <v>2.488</v>
      </c>
      <c r="AD91" s="58">
        <v>1.3129999999999999</v>
      </c>
      <c r="AE91" s="58">
        <v>1.175</v>
      </c>
      <c r="AF91" s="58">
        <v>0.96099999999999997</v>
      </c>
      <c r="AG91" s="58">
        <v>0.71099999999999997</v>
      </c>
      <c r="AH91" s="58">
        <v>0.25</v>
      </c>
      <c r="AI91" s="58">
        <v>0.57499999999999996</v>
      </c>
      <c r="AJ91" s="58">
        <v>0.44600000000000001</v>
      </c>
      <c r="AK91" s="58">
        <v>0.13</v>
      </c>
      <c r="AL91" s="58">
        <v>0.38600000000000001</v>
      </c>
      <c r="AM91" s="58">
        <v>0.26500000000000001</v>
      </c>
      <c r="AN91" s="58">
        <v>0.121</v>
      </c>
      <c r="AO91" s="58">
        <v>1.5269999999999999</v>
      </c>
      <c r="AP91" s="58">
        <v>0.60199999999999998</v>
      </c>
      <c r="AQ91" s="58">
        <v>0.92500000000000004</v>
      </c>
      <c r="AR91" s="58">
        <v>12.518000000000001</v>
      </c>
      <c r="AS91" s="58">
        <v>7.4950000000000001</v>
      </c>
      <c r="AT91" s="58">
        <v>5.0229999999999997</v>
      </c>
      <c r="AU91" s="58">
        <v>5.9279999999999999</v>
      </c>
      <c r="AV91" s="58">
        <v>4.3109999999999999</v>
      </c>
      <c r="AW91" s="58">
        <v>1.6180000000000001</v>
      </c>
      <c r="AX91" s="58">
        <v>6.59</v>
      </c>
      <c r="AY91" s="58">
        <v>3.1850000000000001</v>
      </c>
      <c r="AZ91" s="58">
        <v>3.4049999999999998</v>
      </c>
      <c r="BA91" s="58">
        <v>6.5510000000000002</v>
      </c>
      <c r="BB91" s="58">
        <v>4.6829999999999998</v>
      </c>
      <c r="BC91" s="58">
        <v>1.8680000000000001</v>
      </c>
      <c r="BD91" s="58">
        <v>7.3449999999999998</v>
      </c>
      <c r="BE91" s="58">
        <v>3.4820000000000002</v>
      </c>
      <c r="BF91" s="58">
        <v>3.8639999999999999</v>
      </c>
      <c r="BG91" s="58">
        <v>7.1660000000000004</v>
      </c>
      <c r="BH91" s="58">
        <v>3.6309999999999998</v>
      </c>
      <c r="BI91" s="58">
        <v>3.5350000000000001</v>
      </c>
      <c r="BJ91" s="58">
        <v>234.05199999999999</v>
      </c>
      <c r="BK91" s="58">
        <v>118.98699999999999</v>
      </c>
      <c r="BL91" s="58">
        <v>115.066</v>
      </c>
      <c r="BM91" s="58">
        <v>172.29300000000001</v>
      </c>
      <c r="BN91" s="58">
        <v>96.262</v>
      </c>
      <c r="BO91" s="58">
        <v>76.031000000000006</v>
      </c>
      <c r="BP91" s="58">
        <v>61.759</v>
      </c>
      <c r="BQ91" s="58">
        <v>22.724</v>
      </c>
      <c r="BR91" s="58">
        <v>39.034999999999997</v>
      </c>
      <c r="BS91" s="58">
        <v>22.334</v>
      </c>
      <c r="BT91" s="58">
        <v>14.222</v>
      </c>
      <c r="BU91" s="58">
        <v>8.1120000000000001</v>
      </c>
      <c r="BV91" s="58">
        <v>5.7880000000000003</v>
      </c>
      <c r="BW91" s="58">
        <v>3.746</v>
      </c>
      <c r="BX91" s="58">
        <v>2.0419999999999998</v>
      </c>
      <c r="BY91" s="58">
        <v>3.0419999999999998</v>
      </c>
      <c r="BZ91" s="58">
        <v>2.032</v>
      </c>
      <c r="CA91" s="58">
        <v>1.0089999999999999</v>
      </c>
      <c r="CB91" s="58">
        <v>1.9870000000000001</v>
      </c>
      <c r="CC91" s="58">
        <v>1.1339999999999999</v>
      </c>
      <c r="CD91" s="58">
        <v>0.85299999999999998</v>
      </c>
      <c r="CE91" s="58">
        <v>1.0549999999999999</v>
      </c>
      <c r="CF91" s="58">
        <v>0.89900000000000002</v>
      </c>
      <c r="CG91" s="58">
        <v>0.156</v>
      </c>
      <c r="CH91" s="58">
        <v>2.746</v>
      </c>
      <c r="CI91" s="58">
        <v>1.7130000000000001</v>
      </c>
      <c r="CJ91" s="58">
        <v>1.0329999999999999</v>
      </c>
      <c r="CK91" s="58">
        <v>18.43</v>
      </c>
      <c r="CL91" s="58">
        <v>11.992000000000001</v>
      </c>
      <c r="CM91" s="58">
        <v>6.4379999999999997</v>
      </c>
      <c r="CN91" s="58">
        <v>8.4649999999999999</v>
      </c>
      <c r="CO91" s="58">
        <v>6.327</v>
      </c>
      <c r="CP91" s="58">
        <v>2.1379999999999999</v>
      </c>
      <c r="CQ91" s="58">
        <v>9.9659999999999993</v>
      </c>
      <c r="CR91" s="58">
        <v>5.665</v>
      </c>
      <c r="CS91" s="58">
        <v>4.3010000000000002</v>
      </c>
      <c r="CT91" s="58">
        <v>11.042</v>
      </c>
      <c r="CU91" s="58">
        <v>7.8949999999999996</v>
      </c>
      <c r="CV91" s="58">
        <v>3.1469999999999998</v>
      </c>
      <c r="CW91" s="58">
        <v>11.292</v>
      </c>
      <c r="CX91" s="58">
        <v>6.327</v>
      </c>
      <c r="CY91" s="58">
        <v>4.9649999999999999</v>
      </c>
      <c r="CZ91" s="58">
        <v>11.952</v>
      </c>
      <c r="DA91" s="58">
        <v>6.7990000000000004</v>
      </c>
      <c r="DB91" s="58">
        <v>5.1529999999999996</v>
      </c>
    </row>
    <row r="92" spans="1:106">
      <c r="A92" s="5">
        <v>44287</v>
      </c>
      <c r="B92" s="58">
        <v>10.425000000000001</v>
      </c>
      <c r="C92" s="58">
        <v>7.1310000000000002</v>
      </c>
      <c r="D92" s="58">
        <v>3.294</v>
      </c>
      <c r="E92" s="58">
        <v>22.04</v>
      </c>
      <c r="F92" s="58">
        <v>10.112</v>
      </c>
      <c r="G92" s="58">
        <v>11.928000000000001</v>
      </c>
      <c r="H92" s="58">
        <v>11.234</v>
      </c>
      <c r="I92" s="58">
        <v>7.5309999999999997</v>
      </c>
      <c r="J92" s="58">
        <v>3.7029999999999998</v>
      </c>
      <c r="K92" s="58">
        <v>24.47</v>
      </c>
      <c r="L92" s="58">
        <v>11.234</v>
      </c>
      <c r="M92" s="58">
        <v>13.236000000000001</v>
      </c>
      <c r="N92" s="58">
        <v>22.832999999999998</v>
      </c>
      <c r="O92" s="58">
        <v>10.494999999999999</v>
      </c>
      <c r="P92" s="58">
        <v>12.337</v>
      </c>
      <c r="Q92" s="58">
        <v>131.03399999999999</v>
      </c>
      <c r="R92" s="58">
        <v>69.201999999999998</v>
      </c>
      <c r="S92" s="58">
        <v>61.832000000000001</v>
      </c>
      <c r="T92" s="58">
        <v>101.027</v>
      </c>
      <c r="U92" s="58">
        <v>58.226999999999997</v>
      </c>
      <c r="V92" s="58">
        <v>42.798999999999999</v>
      </c>
      <c r="W92" s="58">
        <v>30.007999999999999</v>
      </c>
      <c r="X92" s="58">
        <v>10.975</v>
      </c>
      <c r="Y92" s="58">
        <v>19.033000000000001</v>
      </c>
      <c r="Z92" s="58">
        <v>13.353</v>
      </c>
      <c r="AA92" s="58">
        <v>7.7329999999999997</v>
      </c>
      <c r="AB92" s="58">
        <v>5.62</v>
      </c>
      <c r="AC92" s="58">
        <v>2.7919999999999998</v>
      </c>
      <c r="AD92" s="58">
        <v>1.292</v>
      </c>
      <c r="AE92" s="58">
        <v>1.5</v>
      </c>
      <c r="AF92" s="58">
        <v>1.1120000000000001</v>
      </c>
      <c r="AG92" s="58">
        <v>0.72</v>
      </c>
      <c r="AH92" s="58">
        <v>0.39300000000000002</v>
      </c>
      <c r="AI92" s="58">
        <v>0.89600000000000002</v>
      </c>
      <c r="AJ92" s="58">
        <v>0.57099999999999995</v>
      </c>
      <c r="AK92" s="58">
        <v>0.32500000000000001</v>
      </c>
      <c r="AL92" s="58">
        <v>0.216</v>
      </c>
      <c r="AM92" s="58">
        <v>0.14799999999999999</v>
      </c>
      <c r="AN92" s="58">
        <v>6.8000000000000005E-2</v>
      </c>
      <c r="AO92" s="58">
        <v>1.68</v>
      </c>
      <c r="AP92" s="58">
        <v>0.57299999999999995</v>
      </c>
      <c r="AQ92" s="58">
        <v>1.107</v>
      </c>
      <c r="AR92" s="58">
        <v>12.07</v>
      </c>
      <c r="AS92" s="58">
        <v>7.1660000000000004</v>
      </c>
      <c r="AT92" s="58">
        <v>4.9039999999999999</v>
      </c>
      <c r="AU92" s="58">
        <v>5.8680000000000003</v>
      </c>
      <c r="AV92" s="58">
        <v>4.1669999999999998</v>
      </c>
      <c r="AW92" s="58">
        <v>1.7010000000000001</v>
      </c>
      <c r="AX92" s="58">
        <v>6.202</v>
      </c>
      <c r="AY92" s="58">
        <v>2.9980000000000002</v>
      </c>
      <c r="AZ92" s="58">
        <v>3.2040000000000002</v>
      </c>
      <c r="BA92" s="58">
        <v>6.4649999999999999</v>
      </c>
      <c r="BB92" s="58">
        <v>4.4560000000000004</v>
      </c>
      <c r="BC92" s="58">
        <v>2.0099999999999998</v>
      </c>
      <c r="BD92" s="58">
        <v>6.8879999999999999</v>
      </c>
      <c r="BE92" s="58">
        <v>3.278</v>
      </c>
      <c r="BF92" s="58">
        <v>3.61</v>
      </c>
      <c r="BG92" s="58">
        <v>7.0990000000000002</v>
      </c>
      <c r="BH92" s="58">
        <v>3.57</v>
      </c>
      <c r="BI92" s="58">
        <v>3.5289999999999999</v>
      </c>
      <c r="BJ92" s="58">
        <v>236.07400000000001</v>
      </c>
      <c r="BK92" s="58">
        <v>120.521</v>
      </c>
      <c r="BL92" s="58">
        <v>115.553</v>
      </c>
      <c r="BM92" s="58">
        <v>171.34899999999999</v>
      </c>
      <c r="BN92" s="58">
        <v>96.751000000000005</v>
      </c>
      <c r="BO92" s="58">
        <v>74.597999999999999</v>
      </c>
      <c r="BP92" s="58">
        <v>64.724999999999994</v>
      </c>
      <c r="BQ92" s="58">
        <v>23.77</v>
      </c>
      <c r="BR92" s="58">
        <v>40.954999999999998</v>
      </c>
      <c r="BS92" s="58">
        <v>19.544</v>
      </c>
      <c r="BT92" s="58">
        <v>11.465999999999999</v>
      </c>
      <c r="BU92" s="58">
        <v>8.0779999999999994</v>
      </c>
      <c r="BV92" s="58">
        <v>3.5070000000000001</v>
      </c>
      <c r="BW92" s="58">
        <v>1.9670000000000001</v>
      </c>
      <c r="BX92" s="58">
        <v>1.54</v>
      </c>
      <c r="BY92" s="58">
        <v>1.7490000000000001</v>
      </c>
      <c r="BZ92" s="58">
        <v>0.85699999999999998</v>
      </c>
      <c r="CA92" s="58">
        <v>0.89200000000000002</v>
      </c>
      <c r="CB92" s="58">
        <v>1.351</v>
      </c>
      <c r="CC92" s="58">
        <v>0.45900000000000002</v>
      </c>
      <c r="CD92" s="58">
        <v>0.89200000000000002</v>
      </c>
      <c r="CE92" s="58">
        <v>0.39800000000000002</v>
      </c>
      <c r="CF92" s="58">
        <v>0.39800000000000002</v>
      </c>
      <c r="CG92" s="58">
        <v>0</v>
      </c>
      <c r="CH92" s="58">
        <v>1.7589999999999999</v>
      </c>
      <c r="CI92" s="58">
        <v>1.111</v>
      </c>
      <c r="CJ92" s="58">
        <v>0.64800000000000002</v>
      </c>
      <c r="CK92" s="58">
        <v>17.259</v>
      </c>
      <c r="CL92" s="58">
        <v>10.569000000000001</v>
      </c>
      <c r="CM92" s="58">
        <v>6.69</v>
      </c>
      <c r="CN92" s="58">
        <v>5.63</v>
      </c>
      <c r="CO92" s="58">
        <v>4.2619999999999996</v>
      </c>
      <c r="CP92" s="58">
        <v>1.367</v>
      </c>
      <c r="CQ92" s="58">
        <v>11.629</v>
      </c>
      <c r="CR92" s="58">
        <v>6.306</v>
      </c>
      <c r="CS92" s="58">
        <v>5.3230000000000004</v>
      </c>
      <c r="CT92" s="58">
        <v>6.9249999999999998</v>
      </c>
      <c r="CU92" s="58">
        <v>4.8170000000000002</v>
      </c>
      <c r="CV92" s="58">
        <v>2.1080000000000001</v>
      </c>
      <c r="CW92" s="58">
        <v>12.619</v>
      </c>
      <c r="CX92" s="58">
        <v>6.649</v>
      </c>
      <c r="CY92" s="58">
        <v>5.9710000000000001</v>
      </c>
      <c r="CZ92" s="58">
        <v>12.98</v>
      </c>
      <c r="DA92" s="58">
        <v>6.7649999999999997</v>
      </c>
      <c r="DB92" s="58">
        <v>6.2149999999999999</v>
      </c>
    </row>
    <row r="93" spans="1:106">
      <c r="A93" s="5">
        <v>44317</v>
      </c>
      <c r="B93" s="58">
        <v>9.1760000000000002</v>
      </c>
      <c r="C93" s="58">
        <v>6.6929999999999996</v>
      </c>
      <c r="D93" s="58">
        <v>2.4830000000000001</v>
      </c>
      <c r="E93" s="58">
        <v>23.661000000000001</v>
      </c>
      <c r="F93" s="58">
        <v>11.403</v>
      </c>
      <c r="G93" s="58">
        <v>12.257999999999999</v>
      </c>
      <c r="H93" s="58">
        <v>10.547000000000001</v>
      </c>
      <c r="I93" s="58">
        <v>7.4969999999999999</v>
      </c>
      <c r="J93" s="58">
        <v>3.05</v>
      </c>
      <c r="K93" s="58">
        <v>26.161000000000001</v>
      </c>
      <c r="L93" s="58">
        <v>12.472</v>
      </c>
      <c r="M93" s="58">
        <v>13.689</v>
      </c>
      <c r="N93" s="58">
        <v>24.927</v>
      </c>
      <c r="O93" s="58">
        <v>12.204000000000001</v>
      </c>
      <c r="P93" s="58">
        <v>12.723000000000001</v>
      </c>
      <c r="Q93" s="58">
        <v>130.703</v>
      </c>
      <c r="R93" s="58">
        <v>68.352999999999994</v>
      </c>
      <c r="S93" s="58">
        <v>62.35</v>
      </c>
      <c r="T93" s="58">
        <v>98.566999999999993</v>
      </c>
      <c r="U93" s="58">
        <v>56.527000000000001</v>
      </c>
      <c r="V93" s="58">
        <v>42.04</v>
      </c>
      <c r="W93" s="58">
        <v>32.137</v>
      </c>
      <c r="X93" s="58">
        <v>11.826000000000001</v>
      </c>
      <c r="Y93" s="58">
        <v>20.311</v>
      </c>
      <c r="Z93" s="58">
        <v>11.827999999999999</v>
      </c>
      <c r="AA93" s="58">
        <v>6.7750000000000004</v>
      </c>
      <c r="AB93" s="58">
        <v>5.0529999999999999</v>
      </c>
      <c r="AC93" s="58">
        <v>1.7549999999999999</v>
      </c>
      <c r="AD93" s="58">
        <v>0.96599999999999997</v>
      </c>
      <c r="AE93" s="58">
        <v>0.78900000000000003</v>
      </c>
      <c r="AF93" s="58">
        <v>0.88200000000000001</v>
      </c>
      <c r="AG93" s="58">
        <v>0.66700000000000004</v>
      </c>
      <c r="AH93" s="58">
        <v>0.215</v>
      </c>
      <c r="AI93" s="58">
        <v>0.54200000000000004</v>
      </c>
      <c r="AJ93" s="58">
        <v>0.32700000000000001</v>
      </c>
      <c r="AK93" s="58">
        <v>0.215</v>
      </c>
      <c r="AL93" s="58">
        <v>0.34</v>
      </c>
      <c r="AM93" s="58">
        <v>0.34</v>
      </c>
      <c r="AN93" s="58">
        <v>0</v>
      </c>
      <c r="AO93" s="58">
        <v>0.873</v>
      </c>
      <c r="AP93" s="58">
        <v>0.29899999999999999</v>
      </c>
      <c r="AQ93" s="58">
        <v>0.57399999999999995</v>
      </c>
      <c r="AR93" s="58">
        <v>10.776999999999999</v>
      </c>
      <c r="AS93" s="58">
        <v>6.1070000000000002</v>
      </c>
      <c r="AT93" s="58">
        <v>4.67</v>
      </c>
      <c r="AU93" s="58">
        <v>5.1369999999999996</v>
      </c>
      <c r="AV93" s="58">
        <v>3.7360000000000002</v>
      </c>
      <c r="AW93" s="58">
        <v>1.401</v>
      </c>
      <c r="AX93" s="58">
        <v>5.64</v>
      </c>
      <c r="AY93" s="58">
        <v>2.371</v>
      </c>
      <c r="AZ93" s="58">
        <v>3.2690000000000001</v>
      </c>
      <c r="BA93" s="58">
        <v>5.8049999999999997</v>
      </c>
      <c r="BB93" s="58">
        <v>4.25</v>
      </c>
      <c r="BC93" s="58">
        <v>1.556</v>
      </c>
      <c r="BD93" s="58">
        <v>6.0220000000000002</v>
      </c>
      <c r="BE93" s="58">
        <v>2.5249999999999999</v>
      </c>
      <c r="BF93" s="58">
        <v>3.4969999999999999</v>
      </c>
      <c r="BG93" s="58">
        <v>6.1820000000000004</v>
      </c>
      <c r="BH93" s="58">
        <v>2.698</v>
      </c>
      <c r="BI93" s="58">
        <v>3.484</v>
      </c>
      <c r="BJ93" s="58">
        <v>236.489</v>
      </c>
      <c r="BK93" s="58">
        <v>120.72</v>
      </c>
      <c r="BL93" s="58">
        <v>115.77</v>
      </c>
      <c r="BM93" s="58">
        <v>171.886</v>
      </c>
      <c r="BN93" s="58">
        <v>97.048000000000002</v>
      </c>
      <c r="BO93" s="58">
        <v>74.838999999999999</v>
      </c>
      <c r="BP93" s="58">
        <v>64.602999999999994</v>
      </c>
      <c r="BQ93" s="58">
        <v>23.672000000000001</v>
      </c>
      <c r="BR93" s="58">
        <v>40.930999999999997</v>
      </c>
      <c r="BS93" s="58">
        <v>19.823</v>
      </c>
      <c r="BT93" s="58">
        <v>9.9979999999999993</v>
      </c>
      <c r="BU93" s="58">
        <v>9.8239999999999998</v>
      </c>
      <c r="BV93" s="58">
        <v>3.931</v>
      </c>
      <c r="BW93" s="58">
        <v>2.355</v>
      </c>
      <c r="BX93" s="58">
        <v>1.5760000000000001</v>
      </c>
      <c r="BY93" s="58">
        <v>1.089</v>
      </c>
      <c r="BZ93" s="58">
        <v>0.92800000000000005</v>
      </c>
      <c r="CA93" s="58">
        <v>0.161</v>
      </c>
      <c r="CB93" s="58">
        <v>0.77900000000000003</v>
      </c>
      <c r="CC93" s="58">
        <v>0.61799999999999999</v>
      </c>
      <c r="CD93" s="58">
        <v>0.161</v>
      </c>
      <c r="CE93" s="58">
        <v>0.309</v>
      </c>
      <c r="CF93" s="58">
        <v>0.309</v>
      </c>
      <c r="CG93" s="58">
        <v>0</v>
      </c>
      <c r="CH93" s="58">
        <v>2.8420000000000001</v>
      </c>
      <c r="CI93" s="58">
        <v>1.427</v>
      </c>
      <c r="CJ93" s="58">
        <v>1.415</v>
      </c>
      <c r="CK93" s="58">
        <v>17.818999999999999</v>
      </c>
      <c r="CL93" s="58">
        <v>8.6999999999999993</v>
      </c>
      <c r="CM93" s="58">
        <v>9.1180000000000003</v>
      </c>
      <c r="CN93" s="58">
        <v>5.0880000000000001</v>
      </c>
      <c r="CO93" s="58">
        <v>4.1740000000000004</v>
      </c>
      <c r="CP93" s="58">
        <v>0.91500000000000004</v>
      </c>
      <c r="CQ93" s="58">
        <v>12.73</v>
      </c>
      <c r="CR93" s="58">
        <v>4.5270000000000001</v>
      </c>
      <c r="CS93" s="58">
        <v>8.2040000000000006</v>
      </c>
      <c r="CT93" s="58">
        <v>5.65</v>
      </c>
      <c r="CU93" s="58">
        <v>4.5739999999999998</v>
      </c>
      <c r="CV93" s="58">
        <v>1.0760000000000001</v>
      </c>
      <c r="CW93" s="58">
        <v>14.173</v>
      </c>
      <c r="CX93" s="58">
        <v>5.4240000000000004</v>
      </c>
      <c r="CY93" s="58">
        <v>8.7490000000000006</v>
      </c>
      <c r="CZ93" s="58">
        <v>13.51</v>
      </c>
      <c r="DA93" s="58">
        <v>5.1449999999999996</v>
      </c>
      <c r="DB93" s="58">
        <v>8.3650000000000002</v>
      </c>
    </row>
    <row r="94" spans="1:106">
      <c r="A94" s="5">
        <v>44348</v>
      </c>
      <c r="B94" s="58">
        <v>8.19</v>
      </c>
      <c r="C94" s="58">
        <v>6.4619999999999997</v>
      </c>
      <c r="D94" s="58">
        <v>1.728</v>
      </c>
      <c r="E94" s="58">
        <v>22.855</v>
      </c>
      <c r="F94" s="58">
        <v>10.375</v>
      </c>
      <c r="G94" s="58">
        <v>12.48</v>
      </c>
      <c r="H94" s="58">
        <v>11.106</v>
      </c>
      <c r="I94" s="58">
        <v>8.4819999999999993</v>
      </c>
      <c r="J94" s="58">
        <v>2.6230000000000002</v>
      </c>
      <c r="K94" s="58">
        <v>25.4</v>
      </c>
      <c r="L94" s="58">
        <v>11.558</v>
      </c>
      <c r="M94" s="58">
        <v>13.842000000000001</v>
      </c>
      <c r="N94" s="58">
        <v>24.498000000000001</v>
      </c>
      <c r="O94" s="58">
        <v>11.218999999999999</v>
      </c>
      <c r="P94" s="58">
        <v>13.279</v>
      </c>
      <c r="Q94" s="58">
        <v>126.08199999999999</v>
      </c>
      <c r="R94" s="58">
        <v>66.197000000000003</v>
      </c>
      <c r="S94" s="58">
        <v>59.884999999999998</v>
      </c>
      <c r="T94" s="58">
        <v>95.483999999999995</v>
      </c>
      <c r="U94" s="58">
        <v>54.737000000000002</v>
      </c>
      <c r="V94" s="58">
        <v>40.747</v>
      </c>
      <c r="W94" s="58">
        <v>30.597999999999999</v>
      </c>
      <c r="X94" s="58">
        <v>11.46</v>
      </c>
      <c r="Y94" s="58">
        <v>19.138000000000002</v>
      </c>
      <c r="Z94" s="58">
        <v>12.352</v>
      </c>
      <c r="AA94" s="58">
        <v>6.859</v>
      </c>
      <c r="AB94" s="58">
        <v>5.4930000000000003</v>
      </c>
      <c r="AC94" s="58">
        <v>1.4950000000000001</v>
      </c>
      <c r="AD94" s="58">
        <v>0.53100000000000003</v>
      </c>
      <c r="AE94" s="58">
        <v>0.96499999999999997</v>
      </c>
      <c r="AF94" s="58">
        <v>0.36499999999999999</v>
      </c>
      <c r="AG94" s="58">
        <v>0.26700000000000002</v>
      </c>
      <c r="AH94" s="58">
        <v>9.8000000000000004E-2</v>
      </c>
      <c r="AI94" s="58">
        <v>0.20599999999999999</v>
      </c>
      <c r="AJ94" s="58">
        <v>0.108</v>
      </c>
      <c r="AK94" s="58">
        <v>9.8000000000000004E-2</v>
      </c>
      <c r="AL94" s="58">
        <v>0.159</v>
      </c>
      <c r="AM94" s="58">
        <v>0.159</v>
      </c>
      <c r="AN94" s="58">
        <v>0</v>
      </c>
      <c r="AO94" s="58">
        <v>1.1299999999999999</v>
      </c>
      <c r="AP94" s="58">
        <v>0.26400000000000001</v>
      </c>
      <c r="AQ94" s="58">
        <v>0.86599999999999999</v>
      </c>
      <c r="AR94" s="58">
        <v>11.581</v>
      </c>
      <c r="AS94" s="58">
        <v>6.7729999999999997</v>
      </c>
      <c r="AT94" s="58">
        <v>4.8079999999999998</v>
      </c>
      <c r="AU94" s="58">
        <v>5.0030000000000001</v>
      </c>
      <c r="AV94" s="58">
        <v>3.468</v>
      </c>
      <c r="AW94" s="58">
        <v>1.5349999999999999</v>
      </c>
      <c r="AX94" s="58">
        <v>6.5780000000000003</v>
      </c>
      <c r="AY94" s="58">
        <v>3.3050000000000002</v>
      </c>
      <c r="AZ94" s="58">
        <v>3.2730000000000001</v>
      </c>
      <c r="BA94" s="58">
        <v>5.1870000000000003</v>
      </c>
      <c r="BB94" s="58">
        <v>3.5539999999999998</v>
      </c>
      <c r="BC94" s="58">
        <v>1.633</v>
      </c>
      <c r="BD94" s="58">
        <v>7.165</v>
      </c>
      <c r="BE94" s="58">
        <v>3.3050000000000002</v>
      </c>
      <c r="BF94" s="58">
        <v>3.86</v>
      </c>
      <c r="BG94" s="58">
        <v>6.7839999999999998</v>
      </c>
      <c r="BH94" s="58">
        <v>3.4129999999999998</v>
      </c>
      <c r="BI94" s="58">
        <v>3.3719999999999999</v>
      </c>
      <c r="BJ94" s="58">
        <v>232.30500000000001</v>
      </c>
      <c r="BK94" s="58">
        <v>119.55800000000001</v>
      </c>
      <c r="BL94" s="58">
        <v>112.747</v>
      </c>
      <c r="BM94" s="58">
        <v>170.244</v>
      </c>
      <c r="BN94" s="58">
        <v>96.278000000000006</v>
      </c>
      <c r="BO94" s="58">
        <v>73.965999999999994</v>
      </c>
      <c r="BP94" s="58">
        <v>62.06</v>
      </c>
      <c r="BQ94" s="58">
        <v>23.28</v>
      </c>
      <c r="BR94" s="58">
        <v>38.780999999999999</v>
      </c>
      <c r="BS94" s="58">
        <v>22.974</v>
      </c>
      <c r="BT94" s="58">
        <v>12.641</v>
      </c>
      <c r="BU94" s="58">
        <v>10.333</v>
      </c>
      <c r="BV94" s="58">
        <v>3.9660000000000002</v>
      </c>
      <c r="BW94" s="58">
        <v>1.7110000000000001</v>
      </c>
      <c r="BX94" s="58">
        <v>2.2549999999999999</v>
      </c>
      <c r="BY94" s="58">
        <v>1.786</v>
      </c>
      <c r="BZ94" s="58">
        <v>0.83399999999999996</v>
      </c>
      <c r="CA94" s="58">
        <v>0.95199999999999996</v>
      </c>
      <c r="CB94" s="58">
        <v>1.0960000000000001</v>
      </c>
      <c r="CC94" s="58">
        <v>0.66600000000000004</v>
      </c>
      <c r="CD94" s="58">
        <v>0.43099999999999999</v>
      </c>
      <c r="CE94" s="58">
        <v>0.69</v>
      </c>
      <c r="CF94" s="58">
        <v>0.16800000000000001</v>
      </c>
      <c r="CG94" s="58">
        <v>0.52100000000000002</v>
      </c>
      <c r="CH94" s="58">
        <v>2.1800000000000002</v>
      </c>
      <c r="CI94" s="58">
        <v>0.876</v>
      </c>
      <c r="CJ94" s="58">
        <v>1.3029999999999999</v>
      </c>
      <c r="CK94" s="58">
        <v>20.853000000000002</v>
      </c>
      <c r="CL94" s="58">
        <v>11.757</v>
      </c>
      <c r="CM94" s="58">
        <v>9.0960000000000001</v>
      </c>
      <c r="CN94" s="58">
        <v>8.7629999999999999</v>
      </c>
      <c r="CO94" s="58">
        <v>6.8109999999999999</v>
      </c>
      <c r="CP94" s="58">
        <v>1.952</v>
      </c>
      <c r="CQ94" s="58">
        <v>12.09</v>
      </c>
      <c r="CR94" s="58">
        <v>4.9470000000000001</v>
      </c>
      <c r="CS94" s="58">
        <v>7.1429999999999998</v>
      </c>
      <c r="CT94" s="58">
        <v>10.217000000000001</v>
      </c>
      <c r="CU94" s="58">
        <v>7.3129999999999997</v>
      </c>
      <c r="CV94" s="58">
        <v>2.9039999999999999</v>
      </c>
      <c r="CW94" s="58">
        <v>12.757</v>
      </c>
      <c r="CX94" s="58">
        <v>5.3280000000000003</v>
      </c>
      <c r="CY94" s="58">
        <v>7.4290000000000003</v>
      </c>
      <c r="CZ94" s="58">
        <v>13.186</v>
      </c>
      <c r="DA94" s="58">
        <v>5.6120000000000001</v>
      </c>
      <c r="DB94" s="58">
        <v>7.5739999999999998</v>
      </c>
    </row>
    <row r="95" spans="1:106">
      <c r="A95" s="5">
        <v>44378</v>
      </c>
      <c r="B95" s="58">
        <v>7.4909999999999997</v>
      </c>
      <c r="C95" s="58">
        <v>5.484</v>
      </c>
      <c r="D95" s="58">
        <v>2.0059999999999998</v>
      </c>
      <c r="E95" s="58">
        <v>20.452999999999999</v>
      </c>
      <c r="F95" s="58">
        <v>10.404</v>
      </c>
      <c r="G95" s="58">
        <v>10.048999999999999</v>
      </c>
      <c r="H95" s="58">
        <v>10.226000000000001</v>
      </c>
      <c r="I95" s="58">
        <v>7.3</v>
      </c>
      <c r="J95" s="58">
        <v>2.9260000000000002</v>
      </c>
      <c r="K95" s="58">
        <v>23.39</v>
      </c>
      <c r="L95" s="58">
        <v>11.792</v>
      </c>
      <c r="M95" s="58">
        <v>11.598000000000001</v>
      </c>
      <c r="N95" s="58">
        <v>22.326000000000001</v>
      </c>
      <c r="O95" s="58">
        <v>11.675000000000001</v>
      </c>
      <c r="P95" s="58">
        <v>10.651999999999999</v>
      </c>
      <c r="Q95" s="58">
        <v>127.646</v>
      </c>
      <c r="R95" s="58">
        <v>66.671000000000006</v>
      </c>
      <c r="S95" s="58">
        <v>60.975000000000001</v>
      </c>
      <c r="T95" s="58">
        <v>96.668999999999997</v>
      </c>
      <c r="U95" s="58">
        <v>55.174999999999997</v>
      </c>
      <c r="V95" s="58">
        <v>41.494</v>
      </c>
      <c r="W95" s="58">
        <v>30.977</v>
      </c>
      <c r="X95" s="58">
        <v>11.496</v>
      </c>
      <c r="Y95" s="58">
        <v>19.481000000000002</v>
      </c>
      <c r="Z95" s="58">
        <v>15.785</v>
      </c>
      <c r="AA95" s="58">
        <v>9.3290000000000006</v>
      </c>
      <c r="AB95" s="58">
        <v>6.4569999999999999</v>
      </c>
      <c r="AC95" s="58">
        <v>2.5720000000000001</v>
      </c>
      <c r="AD95" s="58">
        <v>1.548</v>
      </c>
      <c r="AE95" s="58">
        <v>1.024</v>
      </c>
      <c r="AF95" s="58">
        <v>1.2330000000000001</v>
      </c>
      <c r="AG95" s="58">
        <v>0.94199999999999995</v>
      </c>
      <c r="AH95" s="58">
        <v>0.28999999999999998</v>
      </c>
      <c r="AI95" s="58">
        <v>0.627</v>
      </c>
      <c r="AJ95" s="58">
        <v>0.48499999999999999</v>
      </c>
      <c r="AK95" s="58">
        <v>0.14099999999999999</v>
      </c>
      <c r="AL95" s="58">
        <v>0.60599999999999998</v>
      </c>
      <c r="AM95" s="58">
        <v>0.45700000000000002</v>
      </c>
      <c r="AN95" s="58">
        <v>0.14899999999999999</v>
      </c>
      <c r="AO95" s="58">
        <v>1.34</v>
      </c>
      <c r="AP95" s="58">
        <v>0.60599999999999998</v>
      </c>
      <c r="AQ95" s="58">
        <v>0.73399999999999999</v>
      </c>
      <c r="AR95" s="58">
        <v>14.218999999999999</v>
      </c>
      <c r="AS95" s="58">
        <v>8.3469999999999995</v>
      </c>
      <c r="AT95" s="58">
        <v>5.8710000000000004</v>
      </c>
      <c r="AU95" s="58">
        <v>7.5179999999999998</v>
      </c>
      <c r="AV95" s="58">
        <v>5.5380000000000003</v>
      </c>
      <c r="AW95" s="58">
        <v>1.98</v>
      </c>
      <c r="AX95" s="58">
        <v>6.7009999999999996</v>
      </c>
      <c r="AY95" s="58">
        <v>2.8090000000000002</v>
      </c>
      <c r="AZ95" s="58">
        <v>3.891</v>
      </c>
      <c r="BA95" s="58">
        <v>8.32</v>
      </c>
      <c r="BB95" s="58">
        <v>6.1239999999999997</v>
      </c>
      <c r="BC95" s="58">
        <v>2.1960000000000002</v>
      </c>
      <c r="BD95" s="58">
        <v>7.4649999999999999</v>
      </c>
      <c r="BE95" s="58">
        <v>3.2050000000000001</v>
      </c>
      <c r="BF95" s="58">
        <v>4.2610000000000001</v>
      </c>
      <c r="BG95" s="58">
        <v>7.327</v>
      </c>
      <c r="BH95" s="58">
        <v>3.2949999999999999</v>
      </c>
      <c r="BI95" s="58">
        <v>4.0330000000000004</v>
      </c>
      <c r="BJ95" s="58">
        <v>232.02199999999999</v>
      </c>
      <c r="BK95" s="58">
        <v>118.54300000000001</v>
      </c>
      <c r="BL95" s="58">
        <v>113.479</v>
      </c>
      <c r="BM95" s="58">
        <v>170.00200000000001</v>
      </c>
      <c r="BN95" s="58">
        <v>95.058000000000007</v>
      </c>
      <c r="BO95" s="58">
        <v>74.944999999999993</v>
      </c>
      <c r="BP95" s="58">
        <v>62.02</v>
      </c>
      <c r="BQ95" s="58">
        <v>23.486000000000001</v>
      </c>
      <c r="BR95" s="58">
        <v>38.533999999999999</v>
      </c>
      <c r="BS95" s="58">
        <v>25.326000000000001</v>
      </c>
      <c r="BT95" s="58">
        <v>14.039</v>
      </c>
      <c r="BU95" s="58">
        <v>11.287000000000001</v>
      </c>
      <c r="BV95" s="58">
        <v>5.3490000000000002</v>
      </c>
      <c r="BW95" s="58">
        <v>3.121</v>
      </c>
      <c r="BX95" s="58">
        <v>2.2280000000000002</v>
      </c>
      <c r="BY95" s="58">
        <v>1.0429999999999999</v>
      </c>
      <c r="BZ95" s="58">
        <v>0.32500000000000001</v>
      </c>
      <c r="CA95" s="58">
        <v>0.71799999999999997</v>
      </c>
      <c r="CB95" s="58">
        <v>0.71799999999999997</v>
      </c>
      <c r="CC95" s="58">
        <v>0</v>
      </c>
      <c r="CD95" s="58">
        <v>0.71799999999999997</v>
      </c>
      <c r="CE95" s="58">
        <v>0.32500000000000001</v>
      </c>
      <c r="CF95" s="58">
        <v>0.32500000000000001</v>
      </c>
      <c r="CG95" s="58">
        <v>0</v>
      </c>
      <c r="CH95" s="58">
        <v>4.306</v>
      </c>
      <c r="CI95" s="58">
        <v>2.7959999999999998</v>
      </c>
      <c r="CJ95" s="58">
        <v>1.51</v>
      </c>
      <c r="CK95" s="58">
        <v>22.649000000000001</v>
      </c>
      <c r="CL95" s="58">
        <v>12.5</v>
      </c>
      <c r="CM95" s="58">
        <v>10.15</v>
      </c>
      <c r="CN95" s="58">
        <v>8.1370000000000005</v>
      </c>
      <c r="CO95" s="58">
        <v>6.4909999999999997</v>
      </c>
      <c r="CP95" s="58">
        <v>1.6459999999999999</v>
      </c>
      <c r="CQ95" s="58">
        <v>14.513</v>
      </c>
      <c r="CR95" s="58">
        <v>6.0090000000000003</v>
      </c>
      <c r="CS95" s="58">
        <v>8.5039999999999996</v>
      </c>
      <c r="CT95" s="58">
        <v>8.6180000000000003</v>
      </c>
      <c r="CU95" s="58">
        <v>6.6520000000000001</v>
      </c>
      <c r="CV95" s="58">
        <v>1.966</v>
      </c>
      <c r="CW95" s="58">
        <v>16.707999999999998</v>
      </c>
      <c r="CX95" s="58">
        <v>7.3869999999999996</v>
      </c>
      <c r="CY95" s="58">
        <v>9.3209999999999997</v>
      </c>
      <c r="CZ95" s="58">
        <v>15.231</v>
      </c>
      <c r="DA95" s="58">
        <v>6.0090000000000003</v>
      </c>
      <c r="DB95" s="58">
        <v>9.2219999999999995</v>
      </c>
    </row>
    <row r="96" spans="1:106">
      <c r="A96" s="5">
        <v>44409</v>
      </c>
      <c r="B96" s="58">
        <v>8.8789999999999996</v>
      </c>
      <c r="C96" s="58">
        <v>5.8369999999999997</v>
      </c>
      <c r="D96" s="58">
        <v>3.0419999999999998</v>
      </c>
      <c r="E96" s="58">
        <v>22.861000000000001</v>
      </c>
      <c r="F96" s="58">
        <v>9.7840000000000007</v>
      </c>
      <c r="G96" s="58">
        <v>13.077</v>
      </c>
      <c r="H96" s="58">
        <v>10.867000000000001</v>
      </c>
      <c r="I96" s="58">
        <v>6.8</v>
      </c>
      <c r="J96" s="58">
        <v>4.0670000000000002</v>
      </c>
      <c r="K96" s="58">
        <v>25.105</v>
      </c>
      <c r="L96" s="58">
        <v>10.34</v>
      </c>
      <c r="M96" s="58">
        <v>14.765000000000001</v>
      </c>
      <c r="N96" s="58">
        <v>24.64</v>
      </c>
      <c r="O96" s="58">
        <v>10.577999999999999</v>
      </c>
      <c r="P96" s="58">
        <v>14.061999999999999</v>
      </c>
      <c r="Q96" s="58">
        <v>127.752</v>
      </c>
      <c r="R96" s="58">
        <v>65.748000000000005</v>
      </c>
      <c r="S96" s="58">
        <v>62.003999999999998</v>
      </c>
      <c r="T96" s="58">
        <v>96.343000000000004</v>
      </c>
      <c r="U96" s="58">
        <v>54.537999999999997</v>
      </c>
      <c r="V96" s="58">
        <v>41.805</v>
      </c>
      <c r="W96" s="58">
        <v>31.408999999999999</v>
      </c>
      <c r="X96" s="58">
        <v>11.21</v>
      </c>
      <c r="Y96" s="58">
        <v>20.199000000000002</v>
      </c>
      <c r="Z96" s="58">
        <v>15.752000000000001</v>
      </c>
      <c r="AA96" s="58">
        <v>8.4130000000000003</v>
      </c>
      <c r="AB96" s="58">
        <v>7.3390000000000004</v>
      </c>
      <c r="AC96" s="58">
        <v>4.5629999999999997</v>
      </c>
      <c r="AD96" s="58">
        <v>2.7210000000000001</v>
      </c>
      <c r="AE96" s="58">
        <v>1.8420000000000001</v>
      </c>
      <c r="AF96" s="58">
        <v>2.2589999999999999</v>
      </c>
      <c r="AG96" s="58">
        <v>1.43</v>
      </c>
      <c r="AH96" s="58">
        <v>0.82899999999999996</v>
      </c>
      <c r="AI96" s="58">
        <v>1.321</v>
      </c>
      <c r="AJ96" s="58">
        <v>0.83799999999999997</v>
      </c>
      <c r="AK96" s="58">
        <v>0.48299999999999998</v>
      </c>
      <c r="AL96" s="58">
        <v>0.93799999999999994</v>
      </c>
      <c r="AM96" s="58">
        <v>0.59199999999999997</v>
      </c>
      <c r="AN96" s="58">
        <v>0.34599999999999997</v>
      </c>
      <c r="AO96" s="58">
        <v>2.3050000000000002</v>
      </c>
      <c r="AP96" s="58">
        <v>1.2909999999999999</v>
      </c>
      <c r="AQ96" s="58">
        <v>1.014</v>
      </c>
      <c r="AR96" s="58">
        <v>12.427</v>
      </c>
      <c r="AS96" s="58">
        <v>6.4379999999999997</v>
      </c>
      <c r="AT96" s="58">
        <v>5.9889999999999999</v>
      </c>
      <c r="AU96" s="58">
        <v>5.1589999999999998</v>
      </c>
      <c r="AV96" s="58">
        <v>3.5430000000000001</v>
      </c>
      <c r="AW96" s="58">
        <v>1.615</v>
      </c>
      <c r="AX96" s="58">
        <v>7.2679999999999998</v>
      </c>
      <c r="AY96" s="58">
        <v>2.8940000000000001</v>
      </c>
      <c r="AZ96" s="58">
        <v>4.3739999999999997</v>
      </c>
      <c r="BA96" s="58">
        <v>6.875</v>
      </c>
      <c r="BB96" s="58">
        <v>4.6829999999999998</v>
      </c>
      <c r="BC96" s="58">
        <v>2.1920000000000002</v>
      </c>
      <c r="BD96" s="58">
        <v>8.8770000000000007</v>
      </c>
      <c r="BE96" s="58">
        <v>3.73</v>
      </c>
      <c r="BF96" s="58">
        <v>5.1470000000000002</v>
      </c>
      <c r="BG96" s="58">
        <v>8.5890000000000004</v>
      </c>
      <c r="BH96" s="58">
        <v>3.7320000000000002</v>
      </c>
      <c r="BI96" s="58">
        <v>4.8570000000000002</v>
      </c>
      <c r="BJ96" s="58">
        <v>230.30600000000001</v>
      </c>
      <c r="BK96" s="58">
        <v>116.78100000000001</v>
      </c>
      <c r="BL96" s="58">
        <v>113.52500000000001</v>
      </c>
      <c r="BM96" s="58">
        <v>171.80500000000001</v>
      </c>
      <c r="BN96" s="58">
        <v>95.295000000000002</v>
      </c>
      <c r="BO96" s="58">
        <v>76.510000000000005</v>
      </c>
      <c r="BP96" s="58">
        <v>58.500999999999998</v>
      </c>
      <c r="BQ96" s="58">
        <v>21.486000000000001</v>
      </c>
      <c r="BR96" s="58">
        <v>37.015999999999998</v>
      </c>
      <c r="BS96" s="58">
        <v>32.392000000000003</v>
      </c>
      <c r="BT96" s="58">
        <v>19.103999999999999</v>
      </c>
      <c r="BU96" s="58">
        <v>13.288</v>
      </c>
      <c r="BV96" s="58">
        <v>8.6609999999999996</v>
      </c>
      <c r="BW96" s="58">
        <v>4.7279999999999998</v>
      </c>
      <c r="BX96" s="58">
        <v>3.9329999999999998</v>
      </c>
      <c r="BY96" s="58">
        <v>3.91</v>
      </c>
      <c r="BZ96" s="58">
        <v>2.3149999999999999</v>
      </c>
      <c r="CA96" s="58">
        <v>1.595</v>
      </c>
      <c r="CB96" s="58">
        <v>2.9689999999999999</v>
      </c>
      <c r="CC96" s="58">
        <v>1.716</v>
      </c>
      <c r="CD96" s="58">
        <v>1.2529999999999999</v>
      </c>
      <c r="CE96" s="58">
        <v>0.94099999999999995</v>
      </c>
      <c r="CF96" s="58">
        <v>0.59899999999999998</v>
      </c>
      <c r="CG96" s="58">
        <v>0.34200000000000003</v>
      </c>
      <c r="CH96" s="58">
        <v>4.7510000000000003</v>
      </c>
      <c r="CI96" s="58">
        <v>2.4119999999999999</v>
      </c>
      <c r="CJ96" s="58">
        <v>2.3380000000000001</v>
      </c>
      <c r="CK96" s="58">
        <v>27.405999999999999</v>
      </c>
      <c r="CL96" s="58">
        <v>16.513999999999999</v>
      </c>
      <c r="CM96" s="58">
        <v>10.893000000000001</v>
      </c>
      <c r="CN96" s="58">
        <v>12.042</v>
      </c>
      <c r="CO96" s="58">
        <v>9.6349999999999998</v>
      </c>
      <c r="CP96" s="58">
        <v>2.407</v>
      </c>
      <c r="CQ96" s="58">
        <v>15.365</v>
      </c>
      <c r="CR96" s="58">
        <v>6.8789999999999996</v>
      </c>
      <c r="CS96" s="58">
        <v>8.4849999999999994</v>
      </c>
      <c r="CT96" s="58">
        <v>14.534000000000001</v>
      </c>
      <c r="CU96" s="58">
        <v>11.141999999999999</v>
      </c>
      <c r="CV96" s="58">
        <v>3.3919999999999999</v>
      </c>
      <c r="CW96" s="58">
        <v>17.858000000000001</v>
      </c>
      <c r="CX96" s="58">
        <v>7.9630000000000001</v>
      </c>
      <c r="CY96" s="58">
        <v>9.8960000000000008</v>
      </c>
      <c r="CZ96" s="58">
        <v>18.334</v>
      </c>
      <c r="DA96" s="58">
        <v>8.5950000000000006</v>
      </c>
      <c r="DB96" s="58">
        <v>9.7379999999999995</v>
      </c>
    </row>
    <row r="97" spans="1:106">
      <c r="A97" s="5">
        <v>44440</v>
      </c>
      <c r="B97" s="58">
        <v>10.224</v>
      </c>
      <c r="C97" s="58">
        <v>7.2069999999999999</v>
      </c>
      <c r="D97" s="58">
        <v>3.0169999999999999</v>
      </c>
      <c r="E97" s="58">
        <v>22.626999999999999</v>
      </c>
      <c r="F97" s="58">
        <v>9.5850000000000009</v>
      </c>
      <c r="G97" s="58">
        <v>13.042</v>
      </c>
      <c r="H97" s="58">
        <v>11.731</v>
      </c>
      <c r="I97" s="58">
        <v>8.25</v>
      </c>
      <c r="J97" s="58">
        <v>3.4809999999999999</v>
      </c>
      <c r="K97" s="58">
        <v>24.908999999999999</v>
      </c>
      <c r="L97" s="58">
        <v>10.464</v>
      </c>
      <c r="M97" s="58">
        <v>14.444000000000001</v>
      </c>
      <c r="N97" s="58">
        <v>23.683</v>
      </c>
      <c r="O97" s="58">
        <v>10.196</v>
      </c>
      <c r="P97" s="58">
        <v>13.487</v>
      </c>
      <c r="Q97" s="58">
        <v>128.381</v>
      </c>
      <c r="R97" s="58">
        <v>66.012</v>
      </c>
      <c r="S97" s="58">
        <v>62.369</v>
      </c>
      <c r="T97" s="58">
        <v>98.162000000000006</v>
      </c>
      <c r="U97" s="58">
        <v>55.465000000000003</v>
      </c>
      <c r="V97" s="58">
        <v>42.697000000000003</v>
      </c>
      <c r="W97" s="58">
        <v>30.219000000000001</v>
      </c>
      <c r="X97" s="58">
        <v>10.547000000000001</v>
      </c>
      <c r="Y97" s="58">
        <v>19.672000000000001</v>
      </c>
      <c r="Z97" s="58">
        <v>13.855</v>
      </c>
      <c r="AA97" s="58">
        <v>7.117</v>
      </c>
      <c r="AB97" s="58">
        <v>6.7380000000000004</v>
      </c>
      <c r="AC97" s="58">
        <v>2.161</v>
      </c>
      <c r="AD97" s="58">
        <v>0.91900000000000004</v>
      </c>
      <c r="AE97" s="58">
        <v>1.242</v>
      </c>
      <c r="AF97" s="58">
        <v>0.66700000000000004</v>
      </c>
      <c r="AG97" s="58">
        <v>0.314</v>
      </c>
      <c r="AH97" s="58">
        <v>0.35399999999999998</v>
      </c>
      <c r="AI97" s="58">
        <v>0.17199999999999999</v>
      </c>
      <c r="AJ97" s="58">
        <v>0.17199999999999999</v>
      </c>
      <c r="AK97" s="58">
        <v>0</v>
      </c>
      <c r="AL97" s="58">
        <v>0.496</v>
      </c>
      <c r="AM97" s="58">
        <v>0.14199999999999999</v>
      </c>
      <c r="AN97" s="58">
        <v>0.35399999999999998</v>
      </c>
      <c r="AO97" s="58">
        <v>1.494</v>
      </c>
      <c r="AP97" s="58">
        <v>0.60599999999999998</v>
      </c>
      <c r="AQ97" s="58">
        <v>0.88800000000000001</v>
      </c>
      <c r="AR97" s="58">
        <v>12.436</v>
      </c>
      <c r="AS97" s="58">
        <v>6.69</v>
      </c>
      <c r="AT97" s="58">
        <v>5.7469999999999999</v>
      </c>
      <c r="AU97" s="58">
        <v>6.4260000000000002</v>
      </c>
      <c r="AV97" s="58">
        <v>3.9660000000000002</v>
      </c>
      <c r="AW97" s="58">
        <v>2.46</v>
      </c>
      <c r="AX97" s="58">
        <v>6.0110000000000001</v>
      </c>
      <c r="AY97" s="58">
        <v>2.7240000000000002</v>
      </c>
      <c r="AZ97" s="58">
        <v>3.2869999999999999</v>
      </c>
      <c r="BA97" s="58">
        <v>6.8529999999999998</v>
      </c>
      <c r="BB97" s="58">
        <v>4.0389999999999997</v>
      </c>
      <c r="BC97" s="58">
        <v>2.8140000000000001</v>
      </c>
      <c r="BD97" s="58">
        <v>7.0019999999999998</v>
      </c>
      <c r="BE97" s="58">
        <v>3.0779999999999998</v>
      </c>
      <c r="BF97" s="58">
        <v>3.9239999999999999</v>
      </c>
      <c r="BG97" s="58">
        <v>6.1820000000000004</v>
      </c>
      <c r="BH97" s="58">
        <v>2.895</v>
      </c>
      <c r="BI97" s="58">
        <v>3.2869999999999999</v>
      </c>
      <c r="BJ97" s="58">
        <v>224.71299999999999</v>
      </c>
      <c r="BK97" s="58">
        <v>114.36199999999999</v>
      </c>
      <c r="BL97" s="58">
        <v>110.35</v>
      </c>
      <c r="BM97" s="58">
        <v>169.64099999999999</v>
      </c>
      <c r="BN97" s="58">
        <v>92.918000000000006</v>
      </c>
      <c r="BO97" s="58">
        <v>76.724000000000004</v>
      </c>
      <c r="BP97" s="58">
        <v>55.070999999999998</v>
      </c>
      <c r="BQ97" s="58">
        <v>21.445</v>
      </c>
      <c r="BR97" s="58">
        <v>33.627000000000002</v>
      </c>
      <c r="BS97" s="58">
        <v>34.466999999999999</v>
      </c>
      <c r="BT97" s="58">
        <v>22.027000000000001</v>
      </c>
      <c r="BU97" s="58">
        <v>12.44</v>
      </c>
      <c r="BV97" s="58">
        <v>15.725</v>
      </c>
      <c r="BW97" s="58">
        <v>10.077999999999999</v>
      </c>
      <c r="BX97" s="58">
        <v>5.6470000000000002</v>
      </c>
      <c r="BY97" s="58">
        <v>7.8250000000000002</v>
      </c>
      <c r="BZ97" s="58">
        <v>5.468</v>
      </c>
      <c r="CA97" s="58">
        <v>2.3570000000000002</v>
      </c>
      <c r="CB97" s="58">
        <v>6.1820000000000004</v>
      </c>
      <c r="CC97" s="58">
        <v>4.3319999999999999</v>
      </c>
      <c r="CD97" s="58">
        <v>1.85</v>
      </c>
      <c r="CE97" s="58">
        <v>1.643</v>
      </c>
      <c r="CF97" s="58">
        <v>1.1359999999999999</v>
      </c>
      <c r="CG97" s="58">
        <v>0.50600000000000001</v>
      </c>
      <c r="CH97" s="58">
        <v>7.9</v>
      </c>
      <c r="CI97" s="58">
        <v>4.609</v>
      </c>
      <c r="CJ97" s="58">
        <v>3.2909999999999999</v>
      </c>
      <c r="CK97" s="58">
        <v>23.869</v>
      </c>
      <c r="CL97" s="58">
        <v>15.304</v>
      </c>
      <c r="CM97" s="58">
        <v>8.5649999999999995</v>
      </c>
      <c r="CN97" s="58">
        <v>11.018000000000001</v>
      </c>
      <c r="CO97" s="58">
        <v>8.35</v>
      </c>
      <c r="CP97" s="58">
        <v>2.6680000000000001</v>
      </c>
      <c r="CQ97" s="58">
        <v>12.851000000000001</v>
      </c>
      <c r="CR97" s="58">
        <v>6.9539999999999997</v>
      </c>
      <c r="CS97" s="58">
        <v>5.8970000000000002</v>
      </c>
      <c r="CT97" s="58">
        <v>17.221</v>
      </c>
      <c r="CU97" s="58">
        <v>12.428000000000001</v>
      </c>
      <c r="CV97" s="58">
        <v>4.7939999999999996</v>
      </c>
      <c r="CW97" s="58">
        <v>17.245999999999999</v>
      </c>
      <c r="CX97" s="58">
        <v>9.5990000000000002</v>
      </c>
      <c r="CY97" s="58">
        <v>7.6470000000000002</v>
      </c>
      <c r="CZ97" s="58">
        <v>19.033000000000001</v>
      </c>
      <c r="DA97" s="58">
        <v>11.286</v>
      </c>
      <c r="DB97" s="58">
        <v>7.7469999999999999</v>
      </c>
    </row>
    <row r="98" spans="1:106">
      <c r="A98" s="5">
        <v>44470</v>
      </c>
      <c r="B98" s="58">
        <v>8.5239999999999991</v>
      </c>
      <c r="C98" s="58">
        <v>6.0910000000000002</v>
      </c>
      <c r="D98" s="58">
        <v>2.4329999999999998</v>
      </c>
      <c r="E98" s="58">
        <v>21.364999999999998</v>
      </c>
      <c r="F98" s="58">
        <v>8.5259999999999998</v>
      </c>
      <c r="G98" s="58">
        <v>12.839</v>
      </c>
      <c r="H98" s="58">
        <v>9.6890000000000001</v>
      </c>
      <c r="I98" s="58">
        <v>6.9610000000000003</v>
      </c>
      <c r="J98" s="58">
        <v>2.7269999999999999</v>
      </c>
      <c r="K98" s="58">
        <v>23.5</v>
      </c>
      <c r="L98" s="58">
        <v>9.1300000000000008</v>
      </c>
      <c r="M98" s="58">
        <v>14.37</v>
      </c>
      <c r="N98" s="58">
        <v>22.35</v>
      </c>
      <c r="O98" s="58">
        <v>9.2059999999999995</v>
      </c>
      <c r="P98" s="58">
        <v>13.144</v>
      </c>
      <c r="Q98" s="58">
        <v>133.05000000000001</v>
      </c>
      <c r="R98" s="58">
        <v>68.027000000000001</v>
      </c>
      <c r="S98" s="58">
        <v>65.022999999999996</v>
      </c>
      <c r="T98" s="58">
        <v>101.101</v>
      </c>
      <c r="U98" s="58">
        <v>56.72</v>
      </c>
      <c r="V98" s="58">
        <v>44.381</v>
      </c>
      <c r="W98" s="58">
        <v>31.949000000000002</v>
      </c>
      <c r="X98" s="58">
        <v>11.307</v>
      </c>
      <c r="Y98" s="58">
        <v>20.641999999999999</v>
      </c>
      <c r="Z98" s="58">
        <v>16.869</v>
      </c>
      <c r="AA98" s="58">
        <v>9.9860000000000007</v>
      </c>
      <c r="AB98" s="58">
        <v>6.883</v>
      </c>
      <c r="AC98" s="58">
        <v>2.5950000000000002</v>
      </c>
      <c r="AD98" s="58">
        <v>1.74</v>
      </c>
      <c r="AE98" s="58">
        <v>0.85399999999999998</v>
      </c>
      <c r="AF98" s="58">
        <v>1.2969999999999999</v>
      </c>
      <c r="AG98" s="58">
        <v>1.101</v>
      </c>
      <c r="AH98" s="58">
        <v>0.19700000000000001</v>
      </c>
      <c r="AI98" s="58">
        <v>0.82799999999999996</v>
      </c>
      <c r="AJ98" s="58">
        <v>0.82799999999999996</v>
      </c>
      <c r="AK98" s="58">
        <v>0</v>
      </c>
      <c r="AL98" s="58">
        <v>0.46899999999999997</v>
      </c>
      <c r="AM98" s="58">
        <v>0.27300000000000002</v>
      </c>
      <c r="AN98" s="58">
        <v>0.19700000000000001</v>
      </c>
      <c r="AO98" s="58">
        <v>1.2969999999999999</v>
      </c>
      <c r="AP98" s="58">
        <v>0.64</v>
      </c>
      <c r="AQ98" s="58">
        <v>0.65800000000000003</v>
      </c>
      <c r="AR98" s="58">
        <v>15.337999999999999</v>
      </c>
      <c r="AS98" s="58">
        <v>8.923</v>
      </c>
      <c r="AT98" s="58">
        <v>6.415</v>
      </c>
      <c r="AU98" s="58">
        <v>7.1520000000000001</v>
      </c>
      <c r="AV98" s="58">
        <v>5.2460000000000004</v>
      </c>
      <c r="AW98" s="58">
        <v>1.907</v>
      </c>
      <c r="AX98" s="58">
        <v>8.1850000000000005</v>
      </c>
      <c r="AY98" s="58">
        <v>3.677</v>
      </c>
      <c r="AZ98" s="58">
        <v>4.508</v>
      </c>
      <c r="BA98" s="58">
        <v>8.0150000000000006</v>
      </c>
      <c r="BB98" s="58">
        <v>5.9809999999999999</v>
      </c>
      <c r="BC98" s="58">
        <v>2.0339999999999998</v>
      </c>
      <c r="BD98" s="58">
        <v>8.8539999999999992</v>
      </c>
      <c r="BE98" s="58">
        <v>4.0039999999999996</v>
      </c>
      <c r="BF98" s="58">
        <v>4.8490000000000002</v>
      </c>
      <c r="BG98" s="58">
        <v>9.0129999999999999</v>
      </c>
      <c r="BH98" s="58">
        <v>4.5049999999999999</v>
      </c>
      <c r="BI98" s="58">
        <v>4.508</v>
      </c>
      <c r="BJ98" s="58">
        <v>217.40799999999999</v>
      </c>
      <c r="BK98" s="58">
        <v>109.76</v>
      </c>
      <c r="BL98" s="58">
        <v>107.649</v>
      </c>
      <c r="BM98" s="58">
        <v>166.93899999999999</v>
      </c>
      <c r="BN98" s="58">
        <v>91.715000000000003</v>
      </c>
      <c r="BO98" s="58">
        <v>75.222999999999999</v>
      </c>
      <c r="BP98" s="58">
        <v>50.47</v>
      </c>
      <c r="BQ98" s="58">
        <v>18.044</v>
      </c>
      <c r="BR98" s="58">
        <v>32.426000000000002</v>
      </c>
      <c r="BS98" s="58">
        <v>28.652000000000001</v>
      </c>
      <c r="BT98" s="58">
        <v>17.074000000000002</v>
      </c>
      <c r="BU98" s="58">
        <v>11.577999999999999</v>
      </c>
      <c r="BV98" s="58">
        <v>13.704000000000001</v>
      </c>
      <c r="BW98" s="58">
        <v>7.9189999999999996</v>
      </c>
      <c r="BX98" s="58">
        <v>5.7850000000000001</v>
      </c>
      <c r="BY98" s="58">
        <v>7.68</v>
      </c>
      <c r="BZ98" s="58">
        <v>4.5510000000000002</v>
      </c>
      <c r="CA98" s="58">
        <v>3.129</v>
      </c>
      <c r="CB98" s="58">
        <v>7.09</v>
      </c>
      <c r="CC98" s="58">
        <v>4.306</v>
      </c>
      <c r="CD98" s="58">
        <v>2.7839999999999998</v>
      </c>
      <c r="CE98" s="58">
        <v>0.59099999999999997</v>
      </c>
      <c r="CF98" s="58">
        <v>0.245</v>
      </c>
      <c r="CG98" s="58">
        <v>0.34599999999999997</v>
      </c>
      <c r="CH98" s="58">
        <v>6.0229999999999997</v>
      </c>
      <c r="CI98" s="58">
        <v>3.3679999999999999</v>
      </c>
      <c r="CJ98" s="58">
        <v>2.6549999999999998</v>
      </c>
      <c r="CK98" s="58">
        <v>18.949000000000002</v>
      </c>
      <c r="CL98" s="58">
        <v>11.917999999999999</v>
      </c>
      <c r="CM98" s="58">
        <v>7.0309999999999997</v>
      </c>
      <c r="CN98" s="58">
        <v>7.7430000000000003</v>
      </c>
      <c r="CO98" s="58">
        <v>6.1959999999999997</v>
      </c>
      <c r="CP98" s="58">
        <v>1.5469999999999999</v>
      </c>
      <c r="CQ98" s="58">
        <v>11.206</v>
      </c>
      <c r="CR98" s="58">
        <v>5.7220000000000004</v>
      </c>
      <c r="CS98" s="58">
        <v>5.484</v>
      </c>
      <c r="CT98" s="58">
        <v>13.805</v>
      </c>
      <c r="CU98" s="58">
        <v>9.4809999999999999</v>
      </c>
      <c r="CV98" s="58">
        <v>4.3239999999999998</v>
      </c>
      <c r="CW98" s="58">
        <v>14.847</v>
      </c>
      <c r="CX98" s="58">
        <v>7.593</v>
      </c>
      <c r="CY98" s="58">
        <v>7.2539999999999996</v>
      </c>
      <c r="CZ98" s="58">
        <v>18.295999999999999</v>
      </c>
      <c r="DA98" s="58">
        <v>10.029</v>
      </c>
      <c r="DB98" s="58">
        <v>8.2669999999999995</v>
      </c>
    </row>
    <row r="99" spans="1:106">
      <c r="A99" s="5">
        <v>44501</v>
      </c>
      <c r="B99" s="58">
        <v>9.5229999999999997</v>
      </c>
      <c r="C99" s="58">
        <v>7.4279999999999999</v>
      </c>
      <c r="D99" s="58">
        <v>2.0950000000000002</v>
      </c>
      <c r="E99" s="58">
        <v>22.513999999999999</v>
      </c>
      <c r="F99" s="58">
        <v>8.77</v>
      </c>
      <c r="G99" s="58">
        <v>13.744</v>
      </c>
      <c r="H99" s="58">
        <v>10.368</v>
      </c>
      <c r="I99" s="58">
        <v>7.9009999999999998</v>
      </c>
      <c r="J99" s="58">
        <v>2.4670000000000001</v>
      </c>
      <c r="K99" s="58">
        <v>23.771000000000001</v>
      </c>
      <c r="L99" s="58">
        <v>9.5730000000000004</v>
      </c>
      <c r="M99" s="58">
        <v>14.199</v>
      </c>
      <c r="N99" s="58">
        <v>23.71</v>
      </c>
      <c r="O99" s="58">
        <v>9.5</v>
      </c>
      <c r="P99" s="58">
        <v>14.211</v>
      </c>
      <c r="Q99" s="58">
        <v>130.55000000000001</v>
      </c>
      <c r="R99" s="58">
        <v>67.527000000000001</v>
      </c>
      <c r="S99" s="58">
        <v>63.023000000000003</v>
      </c>
      <c r="T99" s="58">
        <v>101.127</v>
      </c>
      <c r="U99" s="58">
        <v>57.210999999999999</v>
      </c>
      <c r="V99" s="58">
        <v>43.915999999999997</v>
      </c>
      <c r="W99" s="58">
        <v>29.422999999999998</v>
      </c>
      <c r="X99" s="58">
        <v>10.316000000000001</v>
      </c>
      <c r="Y99" s="58">
        <v>19.108000000000001</v>
      </c>
      <c r="Z99" s="58">
        <v>14.513999999999999</v>
      </c>
      <c r="AA99" s="58">
        <v>7.7720000000000002</v>
      </c>
      <c r="AB99" s="58">
        <v>6.742</v>
      </c>
      <c r="AC99" s="58">
        <v>3.1120000000000001</v>
      </c>
      <c r="AD99" s="58">
        <v>1.4119999999999999</v>
      </c>
      <c r="AE99" s="58">
        <v>1.7</v>
      </c>
      <c r="AF99" s="58">
        <v>2.137</v>
      </c>
      <c r="AG99" s="58">
        <v>1.1259999999999999</v>
      </c>
      <c r="AH99" s="58">
        <v>1.0109999999999999</v>
      </c>
      <c r="AI99" s="58">
        <v>1.6930000000000001</v>
      </c>
      <c r="AJ99" s="58">
        <v>0.84099999999999997</v>
      </c>
      <c r="AK99" s="58">
        <v>0.85199999999999998</v>
      </c>
      <c r="AL99" s="58">
        <v>0.44400000000000001</v>
      </c>
      <c r="AM99" s="58">
        <v>0.28499999999999998</v>
      </c>
      <c r="AN99" s="58">
        <v>0.159</v>
      </c>
      <c r="AO99" s="58">
        <v>0.97499999999999998</v>
      </c>
      <c r="AP99" s="58">
        <v>0.28699999999999998</v>
      </c>
      <c r="AQ99" s="58">
        <v>0.68799999999999994</v>
      </c>
      <c r="AR99" s="58">
        <v>12.025</v>
      </c>
      <c r="AS99" s="58">
        <v>6.6120000000000001</v>
      </c>
      <c r="AT99" s="58">
        <v>5.4130000000000003</v>
      </c>
      <c r="AU99" s="58">
        <v>6.1820000000000004</v>
      </c>
      <c r="AV99" s="58">
        <v>4.0049999999999999</v>
      </c>
      <c r="AW99" s="58">
        <v>2.1760000000000002</v>
      </c>
      <c r="AX99" s="58">
        <v>5.843</v>
      </c>
      <c r="AY99" s="58">
        <v>2.6059999999999999</v>
      </c>
      <c r="AZ99" s="58">
        <v>3.2370000000000001</v>
      </c>
      <c r="BA99" s="58">
        <v>8.0519999999999996</v>
      </c>
      <c r="BB99" s="58">
        <v>5.0469999999999997</v>
      </c>
      <c r="BC99" s="58">
        <v>3.0049999999999999</v>
      </c>
      <c r="BD99" s="58">
        <v>6.4630000000000001</v>
      </c>
      <c r="BE99" s="58">
        <v>2.7250000000000001</v>
      </c>
      <c r="BF99" s="58">
        <v>3.7370000000000001</v>
      </c>
      <c r="BG99" s="58">
        <v>7.5359999999999996</v>
      </c>
      <c r="BH99" s="58">
        <v>3.4470000000000001</v>
      </c>
      <c r="BI99" s="58">
        <v>4.0890000000000004</v>
      </c>
      <c r="BJ99" s="58">
        <v>229.47200000000001</v>
      </c>
      <c r="BK99" s="58">
        <v>116.51600000000001</v>
      </c>
      <c r="BL99" s="58">
        <v>112.956</v>
      </c>
      <c r="BM99" s="58">
        <v>172.953</v>
      </c>
      <c r="BN99" s="58">
        <v>95.415000000000006</v>
      </c>
      <c r="BO99" s="58">
        <v>77.537999999999997</v>
      </c>
      <c r="BP99" s="58">
        <v>56.518000000000001</v>
      </c>
      <c r="BQ99" s="58">
        <v>21.1</v>
      </c>
      <c r="BR99" s="58">
        <v>35.417999999999999</v>
      </c>
      <c r="BS99" s="58">
        <v>28.890999999999998</v>
      </c>
      <c r="BT99" s="58">
        <v>16.062000000000001</v>
      </c>
      <c r="BU99" s="58">
        <v>12.827999999999999</v>
      </c>
      <c r="BV99" s="58">
        <v>6.7469999999999999</v>
      </c>
      <c r="BW99" s="58">
        <v>3.0640000000000001</v>
      </c>
      <c r="BX99" s="58">
        <v>3.6819999999999999</v>
      </c>
      <c r="BY99" s="58">
        <v>2.6059999999999999</v>
      </c>
      <c r="BZ99" s="58">
        <v>0.998</v>
      </c>
      <c r="CA99" s="58">
        <v>1.607</v>
      </c>
      <c r="CB99" s="58">
        <v>1.8660000000000001</v>
      </c>
      <c r="CC99" s="58">
        <v>0.998</v>
      </c>
      <c r="CD99" s="58">
        <v>0.86799999999999999</v>
      </c>
      <c r="CE99" s="58">
        <v>0.74</v>
      </c>
      <c r="CF99" s="58">
        <v>0</v>
      </c>
      <c r="CG99" s="58">
        <v>0.74</v>
      </c>
      <c r="CH99" s="58">
        <v>4.141</v>
      </c>
      <c r="CI99" s="58">
        <v>2.0659999999999998</v>
      </c>
      <c r="CJ99" s="58">
        <v>2.0750000000000002</v>
      </c>
      <c r="CK99" s="58">
        <v>24.677</v>
      </c>
      <c r="CL99" s="58">
        <v>14.497</v>
      </c>
      <c r="CM99" s="58">
        <v>10.18</v>
      </c>
      <c r="CN99" s="58">
        <v>8.7940000000000005</v>
      </c>
      <c r="CO99" s="58">
        <v>6.8419999999999996</v>
      </c>
      <c r="CP99" s="58">
        <v>1.952</v>
      </c>
      <c r="CQ99" s="58">
        <v>15.882999999999999</v>
      </c>
      <c r="CR99" s="58">
        <v>7.6550000000000002</v>
      </c>
      <c r="CS99" s="58">
        <v>8.2279999999999998</v>
      </c>
      <c r="CT99" s="58">
        <v>10.792</v>
      </c>
      <c r="CU99" s="58">
        <v>7.51</v>
      </c>
      <c r="CV99" s="58">
        <v>3.282</v>
      </c>
      <c r="CW99" s="58">
        <v>18.099</v>
      </c>
      <c r="CX99" s="58">
        <v>8.5519999999999996</v>
      </c>
      <c r="CY99" s="58">
        <v>9.5470000000000006</v>
      </c>
      <c r="CZ99" s="58">
        <v>17.748999999999999</v>
      </c>
      <c r="DA99" s="58">
        <v>8.6530000000000005</v>
      </c>
      <c r="DB99" s="58">
        <v>9.0960000000000001</v>
      </c>
    </row>
    <row r="100" spans="1:106">
      <c r="A100" s="5">
        <v>44531</v>
      </c>
      <c r="B100" s="58">
        <v>9.6379999999999999</v>
      </c>
      <c r="C100" s="58">
        <v>5.9530000000000003</v>
      </c>
      <c r="D100" s="58">
        <v>3.6850000000000001</v>
      </c>
      <c r="E100" s="58">
        <v>21.530999999999999</v>
      </c>
      <c r="F100" s="58">
        <v>8.9049999999999994</v>
      </c>
      <c r="G100" s="58">
        <v>12.625999999999999</v>
      </c>
      <c r="H100" s="58">
        <v>11.03</v>
      </c>
      <c r="I100" s="58">
        <v>6.8659999999999997</v>
      </c>
      <c r="J100" s="58">
        <v>4.1639999999999997</v>
      </c>
      <c r="K100" s="58">
        <v>23.670999999999999</v>
      </c>
      <c r="L100" s="58">
        <v>9.7240000000000002</v>
      </c>
      <c r="M100" s="58">
        <v>13.948</v>
      </c>
      <c r="N100" s="58">
        <v>22.609000000000002</v>
      </c>
      <c r="O100" s="58">
        <v>9.41</v>
      </c>
      <c r="P100" s="58">
        <v>13.199</v>
      </c>
      <c r="Q100" s="58">
        <v>133.06800000000001</v>
      </c>
      <c r="R100" s="58">
        <v>69.471999999999994</v>
      </c>
      <c r="S100" s="58">
        <v>63.597000000000001</v>
      </c>
      <c r="T100" s="58">
        <v>100.985</v>
      </c>
      <c r="U100" s="58">
        <v>57.054000000000002</v>
      </c>
      <c r="V100" s="58">
        <v>43.930999999999997</v>
      </c>
      <c r="W100" s="58">
        <v>32.084000000000003</v>
      </c>
      <c r="X100" s="58">
        <v>12.417999999999999</v>
      </c>
      <c r="Y100" s="58">
        <v>19.664999999999999</v>
      </c>
      <c r="Z100" s="58">
        <v>16.192</v>
      </c>
      <c r="AA100" s="58">
        <v>8.2620000000000005</v>
      </c>
      <c r="AB100" s="58">
        <v>7.93</v>
      </c>
      <c r="AC100" s="58">
        <v>2.8889999999999998</v>
      </c>
      <c r="AD100" s="58">
        <v>1.101</v>
      </c>
      <c r="AE100" s="58">
        <v>1.7889999999999999</v>
      </c>
      <c r="AF100" s="58">
        <v>1.3620000000000001</v>
      </c>
      <c r="AG100" s="58">
        <v>0.85799999999999998</v>
      </c>
      <c r="AH100" s="58">
        <v>0.503</v>
      </c>
      <c r="AI100" s="58">
        <v>0.52600000000000002</v>
      </c>
      <c r="AJ100" s="58">
        <v>0.311</v>
      </c>
      <c r="AK100" s="58">
        <v>0.215</v>
      </c>
      <c r="AL100" s="58">
        <v>0.83599999999999997</v>
      </c>
      <c r="AM100" s="58">
        <v>0.54800000000000004</v>
      </c>
      <c r="AN100" s="58">
        <v>0.28799999999999998</v>
      </c>
      <c r="AO100" s="58">
        <v>1.528</v>
      </c>
      <c r="AP100" s="58">
        <v>0.24199999999999999</v>
      </c>
      <c r="AQ100" s="58">
        <v>1.2849999999999999</v>
      </c>
      <c r="AR100" s="58">
        <v>14.125999999999999</v>
      </c>
      <c r="AS100" s="58">
        <v>7.4009999999999998</v>
      </c>
      <c r="AT100" s="58">
        <v>6.7249999999999996</v>
      </c>
      <c r="AU100" s="58">
        <v>6.173</v>
      </c>
      <c r="AV100" s="58">
        <v>4.22</v>
      </c>
      <c r="AW100" s="58">
        <v>1.9530000000000001</v>
      </c>
      <c r="AX100" s="58">
        <v>7.9530000000000003</v>
      </c>
      <c r="AY100" s="58">
        <v>3.1819999999999999</v>
      </c>
      <c r="AZ100" s="58">
        <v>4.7720000000000002</v>
      </c>
      <c r="BA100" s="58">
        <v>7.2939999999999996</v>
      </c>
      <c r="BB100" s="58">
        <v>4.915</v>
      </c>
      <c r="BC100" s="58">
        <v>2.379</v>
      </c>
      <c r="BD100" s="58">
        <v>8.8989999999999991</v>
      </c>
      <c r="BE100" s="58">
        <v>3.347</v>
      </c>
      <c r="BF100" s="58">
        <v>5.5510000000000002</v>
      </c>
      <c r="BG100" s="58">
        <v>8.4789999999999992</v>
      </c>
      <c r="BH100" s="58">
        <v>3.492</v>
      </c>
      <c r="BI100" s="58">
        <v>4.9870000000000001</v>
      </c>
      <c r="BJ100" s="58">
        <v>229.43</v>
      </c>
      <c r="BK100" s="58">
        <v>117.205</v>
      </c>
      <c r="BL100" s="58">
        <v>112.226</v>
      </c>
      <c r="BM100" s="58">
        <v>171.92</v>
      </c>
      <c r="BN100" s="58">
        <v>95.525000000000006</v>
      </c>
      <c r="BO100" s="58">
        <v>76.394999999999996</v>
      </c>
      <c r="BP100" s="58">
        <v>57.51</v>
      </c>
      <c r="BQ100" s="58">
        <v>21.68</v>
      </c>
      <c r="BR100" s="58">
        <v>35.831000000000003</v>
      </c>
      <c r="BS100" s="58">
        <v>23.015000000000001</v>
      </c>
      <c r="BT100" s="58">
        <v>14.592000000000001</v>
      </c>
      <c r="BU100" s="58">
        <v>8.423</v>
      </c>
      <c r="BV100" s="58">
        <v>3.1509999999999998</v>
      </c>
      <c r="BW100" s="58">
        <v>1.623</v>
      </c>
      <c r="BX100" s="58">
        <v>1.528</v>
      </c>
      <c r="BY100" s="58">
        <v>1.4079999999999999</v>
      </c>
      <c r="BZ100" s="58">
        <v>0.99299999999999999</v>
      </c>
      <c r="CA100" s="58">
        <v>0.41499999999999998</v>
      </c>
      <c r="CB100" s="58">
        <v>0.86899999999999999</v>
      </c>
      <c r="CC100" s="58">
        <v>0.63900000000000001</v>
      </c>
      <c r="CD100" s="58">
        <v>0.23</v>
      </c>
      <c r="CE100" s="58">
        <v>0.53900000000000003</v>
      </c>
      <c r="CF100" s="58">
        <v>0.35399999999999998</v>
      </c>
      <c r="CG100" s="58">
        <v>0.185</v>
      </c>
      <c r="CH100" s="58">
        <v>1.7430000000000001</v>
      </c>
      <c r="CI100" s="58">
        <v>0.63</v>
      </c>
      <c r="CJ100" s="58">
        <v>1.113</v>
      </c>
      <c r="CK100" s="58">
        <v>20.475999999999999</v>
      </c>
      <c r="CL100" s="58">
        <v>13.276999999999999</v>
      </c>
      <c r="CM100" s="58">
        <v>7.1989999999999998</v>
      </c>
      <c r="CN100" s="58">
        <v>8.6319999999999997</v>
      </c>
      <c r="CO100" s="58">
        <v>6.5640000000000001</v>
      </c>
      <c r="CP100" s="58">
        <v>2.0680000000000001</v>
      </c>
      <c r="CQ100" s="58">
        <v>11.845000000000001</v>
      </c>
      <c r="CR100" s="58">
        <v>6.7130000000000001</v>
      </c>
      <c r="CS100" s="58">
        <v>5.1319999999999997</v>
      </c>
      <c r="CT100" s="58">
        <v>9.8849999999999998</v>
      </c>
      <c r="CU100" s="58">
        <v>7.4020000000000001</v>
      </c>
      <c r="CV100" s="58">
        <v>2.4830000000000001</v>
      </c>
      <c r="CW100" s="58">
        <v>13.13</v>
      </c>
      <c r="CX100" s="58">
        <v>7.1890000000000001</v>
      </c>
      <c r="CY100" s="58">
        <v>5.94</v>
      </c>
      <c r="CZ100" s="58">
        <v>12.714</v>
      </c>
      <c r="DA100" s="58">
        <v>7.3520000000000003</v>
      </c>
      <c r="DB100" s="58">
        <v>5.3620000000000001</v>
      </c>
    </row>
    <row r="101" spans="1:106">
      <c r="A101" s="5">
        <v>44562</v>
      </c>
      <c r="B101" s="58">
        <v>9.49</v>
      </c>
      <c r="C101" s="58">
        <v>5.8559999999999999</v>
      </c>
      <c r="D101" s="58">
        <v>3.6339999999999999</v>
      </c>
      <c r="E101" s="58">
        <v>17.965</v>
      </c>
      <c r="F101" s="58">
        <v>7.3949999999999996</v>
      </c>
      <c r="G101" s="58">
        <v>10.57</v>
      </c>
      <c r="H101" s="58">
        <v>11.555999999999999</v>
      </c>
      <c r="I101" s="58">
        <v>6.944</v>
      </c>
      <c r="J101" s="58">
        <v>4.6120000000000001</v>
      </c>
      <c r="K101" s="58">
        <v>20.745999999999999</v>
      </c>
      <c r="L101" s="58">
        <v>8.7469999999999999</v>
      </c>
      <c r="M101" s="58">
        <v>11.999000000000001</v>
      </c>
      <c r="N101" s="58">
        <v>20.077999999999999</v>
      </c>
      <c r="O101" s="58">
        <v>8.3230000000000004</v>
      </c>
      <c r="P101" s="58">
        <v>11.755000000000001</v>
      </c>
      <c r="Q101" s="58">
        <v>130.624</v>
      </c>
      <c r="R101" s="58">
        <v>68.150000000000006</v>
      </c>
      <c r="S101" s="58">
        <v>62.472999999999999</v>
      </c>
      <c r="T101" s="58">
        <v>101.746</v>
      </c>
      <c r="U101" s="58">
        <v>56.279000000000003</v>
      </c>
      <c r="V101" s="58">
        <v>45.466000000000001</v>
      </c>
      <c r="W101" s="58">
        <v>28.878</v>
      </c>
      <c r="X101" s="58">
        <v>11.871</v>
      </c>
      <c r="Y101" s="58">
        <v>17.007000000000001</v>
      </c>
      <c r="Z101" s="58">
        <v>12.631</v>
      </c>
      <c r="AA101" s="58">
        <v>6.7430000000000003</v>
      </c>
      <c r="AB101" s="58">
        <v>5.8879999999999999</v>
      </c>
      <c r="AC101" s="58">
        <v>2.593</v>
      </c>
      <c r="AD101" s="58">
        <v>1.5569999999999999</v>
      </c>
      <c r="AE101" s="58">
        <v>1.0369999999999999</v>
      </c>
      <c r="AF101" s="58">
        <v>1.869</v>
      </c>
      <c r="AG101" s="58">
        <v>1.1599999999999999</v>
      </c>
      <c r="AH101" s="58">
        <v>0.70899999999999996</v>
      </c>
      <c r="AI101" s="58">
        <v>1.462</v>
      </c>
      <c r="AJ101" s="58">
        <v>0.995</v>
      </c>
      <c r="AK101" s="58">
        <v>0.46700000000000003</v>
      </c>
      <c r="AL101" s="58">
        <v>0.40699999999999997</v>
      </c>
      <c r="AM101" s="58">
        <v>0.16500000000000001</v>
      </c>
      <c r="AN101" s="58">
        <v>0.24199999999999999</v>
      </c>
      <c r="AO101" s="58">
        <v>0.72399999999999998</v>
      </c>
      <c r="AP101" s="58">
        <v>0.39600000000000002</v>
      </c>
      <c r="AQ101" s="58">
        <v>0.32800000000000001</v>
      </c>
      <c r="AR101" s="58">
        <v>10.821999999999999</v>
      </c>
      <c r="AS101" s="58">
        <v>5.5570000000000004</v>
      </c>
      <c r="AT101" s="58">
        <v>5.2640000000000002</v>
      </c>
      <c r="AU101" s="58">
        <v>4.6280000000000001</v>
      </c>
      <c r="AV101" s="58">
        <v>3.1560000000000001</v>
      </c>
      <c r="AW101" s="58">
        <v>1.472</v>
      </c>
      <c r="AX101" s="58">
        <v>6.194</v>
      </c>
      <c r="AY101" s="58">
        <v>2.4009999999999998</v>
      </c>
      <c r="AZ101" s="58">
        <v>3.7919999999999998</v>
      </c>
      <c r="BA101" s="58">
        <v>6.258</v>
      </c>
      <c r="BB101" s="58">
        <v>4.1630000000000003</v>
      </c>
      <c r="BC101" s="58">
        <v>2.0950000000000002</v>
      </c>
      <c r="BD101" s="58">
        <v>6.3730000000000002</v>
      </c>
      <c r="BE101" s="58">
        <v>2.58</v>
      </c>
      <c r="BF101" s="58">
        <v>3.7919999999999998</v>
      </c>
      <c r="BG101" s="58">
        <v>7.6559999999999997</v>
      </c>
      <c r="BH101" s="58">
        <v>3.3969999999999998</v>
      </c>
      <c r="BI101" s="58">
        <v>4.2590000000000003</v>
      </c>
      <c r="BJ101" s="58">
        <v>229.44499999999999</v>
      </c>
      <c r="BK101" s="58">
        <v>116.309</v>
      </c>
      <c r="BL101" s="58">
        <v>113.136</v>
      </c>
      <c r="BM101" s="58">
        <v>170.36</v>
      </c>
      <c r="BN101" s="58">
        <v>95.34</v>
      </c>
      <c r="BO101" s="58">
        <v>75.02</v>
      </c>
      <c r="BP101" s="58">
        <v>59.085000000000001</v>
      </c>
      <c r="BQ101" s="58">
        <v>20.969000000000001</v>
      </c>
      <c r="BR101" s="58">
        <v>38.116</v>
      </c>
      <c r="BS101" s="58">
        <v>20.687999999999999</v>
      </c>
      <c r="BT101" s="58">
        <v>13.359</v>
      </c>
      <c r="BU101" s="58">
        <v>7.3289999999999997</v>
      </c>
      <c r="BV101" s="58">
        <v>4.6020000000000003</v>
      </c>
      <c r="BW101" s="58">
        <v>3.1440000000000001</v>
      </c>
      <c r="BX101" s="58">
        <v>1.458</v>
      </c>
      <c r="BY101" s="58">
        <v>1.8220000000000001</v>
      </c>
      <c r="BZ101" s="58">
        <v>1.4930000000000001</v>
      </c>
      <c r="CA101" s="58">
        <v>0.32800000000000001</v>
      </c>
      <c r="CB101" s="58">
        <v>1.2070000000000001</v>
      </c>
      <c r="CC101" s="58">
        <v>0.879</v>
      </c>
      <c r="CD101" s="58">
        <v>0.32800000000000001</v>
      </c>
      <c r="CE101" s="58">
        <v>0.61499999999999999</v>
      </c>
      <c r="CF101" s="58">
        <v>0.61499999999999999</v>
      </c>
      <c r="CG101" s="58">
        <v>0</v>
      </c>
      <c r="CH101" s="58">
        <v>2.78</v>
      </c>
      <c r="CI101" s="58">
        <v>1.651</v>
      </c>
      <c r="CJ101" s="58">
        <v>1.1299999999999999</v>
      </c>
      <c r="CK101" s="58">
        <v>18.367000000000001</v>
      </c>
      <c r="CL101" s="58">
        <v>12.098000000000001</v>
      </c>
      <c r="CM101" s="58">
        <v>6.2690000000000001</v>
      </c>
      <c r="CN101" s="58">
        <v>6.73</v>
      </c>
      <c r="CO101" s="58">
        <v>5.53</v>
      </c>
      <c r="CP101" s="58">
        <v>1.1990000000000001</v>
      </c>
      <c r="CQ101" s="58">
        <v>11.637</v>
      </c>
      <c r="CR101" s="58">
        <v>6.5679999999999996</v>
      </c>
      <c r="CS101" s="58">
        <v>5.069</v>
      </c>
      <c r="CT101" s="58">
        <v>8.1590000000000007</v>
      </c>
      <c r="CU101" s="58">
        <v>6.6310000000000002</v>
      </c>
      <c r="CV101" s="58">
        <v>1.528</v>
      </c>
      <c r="CW101" s="58">
        <v>12.529</v>
      </c>
      <c r="CX101" s="58">
        <v>6.7279999999999998</v>
      </c>
      <c r="CY101" s="58">
        <v>5.8010000000000002</v>
      </c>
      <c r="CZ101" s="58">
        <v>12.843999999999999</v>
      </c>
      <c r="DA101" s="58">
        <v>7.4470000000000001</v>
      </c>
      <c r="DB101" s="58">
        <v>5.3970000000000002</v>
      </c>
    </row>
    <row r="102" spans="1:106">
      <c r="A102" s="5">
        <v>44593</v>
      </c>
      <c r="B102" s="58">
        <v>9.8689999999999998</v>
      </c>
      <c r="C102" s="58">
        <v>6.6740000000000004</v>
      </c>
      <c r="D102" s="58">
        <v>3.1949999999999998</v>
      </c>
      <c r="E102" s="58">
        <v>19.032</v>
      </c>
      <c r="F102" s="58">
        <v>8.3710000000000004</v>
      </c>
      <c r="G102" s="58">
        <v>10.661</v>
      </c>
      <c r="H102" s="58">
        <v>12.077999999999999</v>
      </c>
      <c r="I102" s="58">
        <v>8.7629999999999999</v>
      </c>
      <c r="J102" s="58">
        <v>3.3149999999999999</v>
      </c>
      <c r="K102" s="58">
        <v>22.068000000000001</v>
      </c>
      <c r="L102" s="58">
        <v>9.7010000000000005</v>
      </c>
      <c r="M102" s="58">
        <v>12.368</v>
      </c>
      <c r="N102" s="58">
        <v>20.231000000000002</v>
      </c>
      <c r="O102" s="58">
        <v>9.4510000000000005</v>
      </c>
      <c r="P102" s="58">
        <v>10.781000000000001</v>
      </c>
      <c r="Q102" s="58">
        <v>133.17699999999999</v>
      </c>
      <c r="R102" s="58">
        <v>68.980999999999995</v>
      </c>
      <c r="S102" s="58">
        <v>64.195999999999998</v>
      </c>
      <c r="T102" s="58">
        <v>103.208</v>
      </c>
      <c r="U102" s="58">
        <v>57.968000000000004</v>
      </c>
      <c r="V102" s="58">
        <v>45.24</v>
      </c>
      <c r="W102" s="58">
        <v>29.969000000000001</v>
      </c>
      <c r="X102" s="58">
        <v>11.013</v>
      </c>
      <c r="Y102" s="58">
        <v>18.956</v>
      </c>
      <c r="Z102" s="58">
        <v>18.385999999999999</v>
      </c>
      <c r="AA102" s="58">
        <v>10.318</v>
      </c>
      <c r="AB102" s="58">
        <v>8.0679999999999996</v>
      </c>
      <c r="AC102" s="58">
        <v>3.9390000000000001</v>
      </c>
      <c r="AD102" s="58">
        <v>2.11</v>
      </c>
      <c r="AE102" s="58">
        <v>1.829</v>
      </c>
      <c r="AF102" s="58">
        <v>2.1920000000000002</v>
      </c>
      <c r="AG102" s="58">
        <v>1.3069999999999999</v>
      </c>
      <c r="AH102" s="58">
        <v>0.88500000000000001</v>
      </c>
      <c r="AI102" s="58">
        <v>1.0369999999999999</v>
      </c>
      <c r="AJ102" s="58">
        <v>0.57299999999999995</v>
      </c>
      <c r="AK102" s="58">
        <v>0.46400000000000002</v>
      </c>
      <c r="AL102" s="58">
        <v>1.155</v>
      </c>
      <c r="AM102" s="58">
        <v>0.73399999999999999</v>
      </c>
      <c r="AN102" s="58">
        <v>0.42099999999999999</v>
      </c>
      <c r="AO102" s="58">
        <v>1.7470000000000001</v>
      </c>
      <c r="AP102" s="58">
        <v>0.80300000000000005</v>
      </c>
      <c r="AQ102" s="58">
        <v>0.94299999999999995</v>
      </c>
      <c r="AR102" s="58">
        <v>15.851000000000001</v>
      </c>
      <c r="AS102" s="58">
        <v>8.8620000000000001</v>
      </c>
      <c r="AT102" s="58">
        <v>6.99</v>
      </c>
      <c r="AU102" s="58">
        <v>8.5370000000000008</v>
      </c>
      <c r="AV102" s="58">
        <v>5.6210000000000004</v>
      </c>
      <c r="AW102" s="58">
        <v>2.9159999999999999</v>
      </c>
      <c r="AX102" s="58">
        <v>7.3140000000000001</v>
      </c>
      <c r="AY102" s="58">
        <v>3.24</v>
      </c>
      <c r="AZ102" s="58">
        <v>4.0739999999999998</v>
      </c>
      <c r="BA102" s="58">
        <v>10.198</v>
      </c>
      <c r="BB102" s="58">
        <v>6.8550000000000004</v>
      </c>
      <c r="BC102" s="58">
        <v>3.343</v>
      </c>
      <c r="BD102" s="58">
        <v>8.1880000000000006</v>
      </c>
      <c r="BE102" s="58">
        <v>3.4620000000000002</v>
      </c>
      <c r="BF102" s="58">
        <v>4.7249999999999996</v>
      </c>
      <c r="BG102" s="58">
        <v>8.3510000000000009</v>
      </c>
      <c r="BH102" s="58">
        <v>3.8130000000000002</v>
      </c>
      <c r="BI102" s="58">
        <v>4.5380000000000003</v>
      </c>
      <c r="BJ102" s="58">
        <v>234.91800000000001</v>
      </c>
      <c r="BK102" s="58">
        <v>118.301</v>
      </c>
      <c r="BL102" s="58">
        <v>116.61799999999999</v>
      </c>
      <c r="BM102" s="58">
        <v>178.87799999999999</v>
      </c>
      <c r="BN102" s="58">
        <v>97.200999999999993</v>
      </c>
      <c r="BO102" s="58">
        <v>81.677000000000007</v>
      </c>
      <c r="BP102" s="58">
        <v>56.04</v>
      </c>
      <c r="BQ102" s="58">
        <v>21.099</v>
      </c>
      <c r="BR102" s="58">
        <v>34.941000000000003</v>
      </c>
      <c r="BS102" s="58">
        <v>22.341999999999999</v>
      </c>
      <c r="BT102" s="58">
        <v>13.301</v>
      </c>
      <c r="BU102" s="58">
        <v>9.0410000000000004</v>
      </c>
      <c r="BV102" s="58">
        <v>4.6619999999999999</v>
      </c>
      <c r="BW102" s="58">
        <v>2.0939999999999999</v>
      </c>
      <c r="BX102" s="58">
        <v>2.569</v>
      </c>
      <c r="BY102" s="58">
        <v>1.139</v>
      </c>
      <c r="BZ102" s="58">
        <v>0.79600000000000004</v>
      </c>
      <c r="CA102" s="58">
        <v>0.34300000000000003</v>
      </c>
      <c r="CB102" s="58">
        <v>0.37</v>
      </c>
      <c r="CC102" s="58">
        <v>0.37</v>
      </c>
      <c r="CD102" s="58">
        <v>0</v>
      </c>
      <c r="CE102" s="58">
        <v>0.76800000000000002</v>
      </c>
      <c r="CF102" s="58">
        <v>0.42499999999999999</v>
      </c>
      <c r="CG102" s="58">
        <v>0.34300000000000003</v>
      </c>
      <c r="CH102" s="58">
        <v>3.524</v>
      </c>
      <c r="CI102" s="58">
        <v>1.298</v>
      </c>
      <c r="CJ102" s="58">
        <v>2.226</v>
      </c>
      <c r="CK102" s="58">
        <v>19.126999999999999</v>
      </c>
      <c r="CL102" s="58">
        <v>12.048</v>
      </c>
      <c r="CM102" s="58">
        <v>7.0789999999999997</v>
      </c>
      <c r="CN102" s="58">
        <v>8.4320000000000004</v>
      </c>
      <c r="CO102" s="58">
        <v>5.6230000000000002</v>
      </c>
      <c r="CP102" s="58">
        <v>2.8090000000000002</v>
      </c>
      <c r="CQ102" s="58">
        <v>10.695</v>
      </c>
      <c r="CR102" s="58">
        <v>6.4249999999999998</v>
      </c>
      <c r="CS102" s="58">
        <v>4.2699999999999996</v>
      </c>
      <c r="CT102" s="58">
        <v>9.1910000000000007</v>
      </c>
      <c r="CU102" s="58">
        <v>6.0389999999999997</v>
      </c>
      <c r="CV102" s="58">
        <v>3.1520000000000001</v>
      </c>
      <c r="CW102" s="58">
        <v>13.151</v>
      </c>
      <c r="CX102" s="58">
        <v>7.2610000000000001</v>
      </c>
      <c r="CY102" s="58">
        <v>5.89</v>
      </c>
      <c r="CZ102" s="58">
        <v>11.066000000000001</v>
      </c>
      <c r="DA102" s="58">
        <v>6.7949999999999999</v>
      </c>
      <c r="DB102" s="58">
        <v>4.2699999999999996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2567</vt:i4>
      </vt:variant>
    </vt:vector>
  </HeadingPairs>
  <TitlesOfParts>
    <vt:vector size="2575" baseType="lpstr">
      <vt:lpstr>Contents</vt:lpstr>
      <vt:lpstr>Table 1.1</vt:lpstr>
      <vt:lpstr>Table 1.2</vt:lpstr>
      <vt:lpstr>Index</vt:lpstr>
      <vt:lpstr>Data1</vt:lpstr>
      <vt:lpstr>Data2</vt:lpstr>
      <vt:lpstr>Data3</vt:lpstr>
      <vt:lpstr>Data4</vt:lpstr>
      <vt:lpstr>A127826907V</vt:lpstr>
      <vt:lpstr>A127826907V_Data</vt:lpstr>
      <vt:lpstr>A127826907V_Latest</vt:lpstr>
      <vt:lpstr>A127826908W</vt:lpstr>
      <vt:lpstr>A127826908W_Data</vt:lpstr>
      <vt:lpstr>A127826908W_Latest</vt:lpstr>
      <vt:lpstr>A127826909X</vt:lpstr>
      <vt:lpstr>A127826909X_Data</vt:lpstr>
      <vt:lpstr>A127826909X_Latest</vt:lpstr>
      <vt:lpstr>A127826910J</vt:lpstr>
      <vt:lpstr>A127826910J_Data</vt:lpstr>
      <vt:lpstr>A127826910J_Latest</vt:lpstr>
      <vt:lpstr>A127826911K</vt:lpstr>
      <vt:lpstr>A127826911K_Data</vt:lpstr>
      <vt:lpstr>A127826911K_Latest</vt:lpstr>
      <vt:lpstr>A127826912L</vt:lpstr>
      <vt:lpstr>A127826912L_Data</vt:lpstr>
      <vt:lpstr>A127826912L_Latest</vt:lpstr>
      <vt:lpstr>A127826913R</vt:lpstr>
      <vt:lpstr>A127826913R_Data</vt:lpstr>
      <vt:lpstr>A127826913R_Latest</vt:lpstr>
      <vt:lpstr>A127826914T</vt:lpstr>
      <vt:lpstr>A127826914T_Data</vt:lpstr>
      <vt:lpstr>A127826914T_Latest</vt:lpstr>
      <vt:lpstr>A127826915V</vt:lpstr>
      <vt:lpstr>A127826915V_Data</vt:lpstr>
      <vt:lpstr>A127826915V_Latest</vt:lpstr>
      <vt:lpstr>A127826916W</vt:lpstr>
      <vt:lpstr>A127826916W_Data</vt:lpstr>
      <vt:lpstr>A127826916W_Latest</vt:lpstr>
      <vt:lpstr>A127826917X</vt:lpstr>
      <vt:lpstr>A127826917X_Data</vt:lpstr>
      <vt:lpstr>A127826917X_Latest</vt:lpstr>
      <vt:lpstr>A127826918A</vt:lpstr>
      <vt:lpstr>A127826918A_Data</vt:lpstr>
      <vt:lpstr>A127826918A_Latest</vt:lpstr>
      <vt:lpstr>A127826919C</vt:lpstr>
      <vt:lpstr>A127826919C_Data</vt:lpstr>
      <vt:lpstr>A127826919C_Latest</vt:lpstr>
      <vt:lpstr>A127826920L</vt:lpstr>
      <vt:lpstr>A127826920L_Data</vt:lpstr>
      <vt:lpstr>A127826920L_Latest</vt:lpstr>
      <vt:lpstr>A127826921R</vt:lpstr>
      <vt:lpstr>A127826921R_Data</vt:lpstr>
      <vt:lpstr>A127826921R_Latest</vt:lpstr>
      <vt:lpstr>A127826997K</vt:lpstr>
      <vt:lpstr>A127826997K_Data</vt:lpstr>
      <vt:lpstr>A127826997K_Latest</vt:lpstr>
      <vt:lpstr>A127826998L</vt:lpstr>
      <vt:lpstr>A127826998L_Data</vt:lpstr>
      <vt:lpstr>A127826998L_Latest</vt:lpstr>
      <vt:lpstr>A127826999R</vt:lpstr>
      <vt:lpstr>A127826999R_Data</vt:lpstr>
      <vt:lpstr>A127826999R_Latest</vt:lpstr>
      <vt:lpstr>A127827000R</vt:lpstr>
      <vt:lpstr>A127827000R_Data</vt:lpstr>
      <vt:lpstr>A127827000R_Latest</vt:lpstr>
      <vt:lpstr>A127827001T</vt:lpstr>
      <vt:lpstr>A127827001T_Data</vt:lpstr>
      <vt:lpstr>A127827001T_Latest</vt:lpstr>
      <vt:lpstr>A127827002V</vt:lpstr>
      <vt:lpstr>A127827002V_Data</vt:lpstr>
      <vt:lpstr>A127827002V_Latest</vt:lpstr>
      <vt:lpstr>A127827003W</vt:lpstr>
      <vt:lpstr>A127827003W_Data</vt:lpstr>
      <vt:lpstr>A127827003W_Latest</vt:lpstr>
      <vt:lpstr>A127827004X</vt:lpstr>
      <vt:lpstr>A127827004X_Data</vt:lpstr>
      <vt:lpstr>A127827004X_Latest</vt:lpstr>
      <vt:lpstr>A127827005A</vt:lpstr>
      <vt:lpstr>A127827005A_Data</vt:lpstr>
      <vt:lpstr>A127827005A_Latest</vt:lpstr>
      <vt:lpstr>A127827006C</vt:lpstr>
      <vt:lpstr>A127827006C_Data</vt:lpstr>
      <vt:lpstr>A127827006C_Latest</vt:lpstr>
      <vt:lpstr>A127827007F</vt:lpstr>
      <vt:lpstr>A127827007F_Data</vt:lpstr>
      <vt:lpstr>A127827007F_Latest</vt:lpstr>
      <vt:lpstr>A127827008J</vt:lpstr>
      <vt:lpstr>A127827008J_Data</vt:lpstr>
      <vt:lpstr>A127827008J_Latest</vt:lpstr>
      <vt:lpstr>A127827009K</vt:lpstr>
      <vt:lpstr>A127827009K_Data</vt:lpstr>
      <vt:lpstr>A127827009K_Latest</vt:lpstr>
      <vt:lpstr>A127827010V</vt:lpstr>
      <vt:lpstr>A127827010V_Data</vt:lpstr>
      <vt:lpstr>A127827010V_Latest</vt:lpstr>
      <vt:lpstr>A127827011W</vt:lpstr>
      <vt:lpstr>A127827011W_Data</vt:lpstr>
      <vt:lpstr>A127827011W_Latest</vt:lpstr>
      <vt:lpstr>A127827027R</vt:lpstr>
      <vt:lpstr>A127827027R_Data</vt:lpstr>
      <vt:lpstr>A127827027R_Latest</vt:lpstr>
      <vt:lpstr>A127827028T</vt:lpstr>
      <vt:lpstr>A127827028T_Data</vt:lpstr>
      <vt:lpstr>A127827028T_Latest</vt:lpstr>
      <vt:lpstr>A127827029V</vt:lpstr>
      <vt:lpstr>A127827029V_Data</vt:lpstr>
      <vt:lpstr>A127827029V_Latest</vt:lpstr>
      <vt:lpstr>A127827030C</vt:lpstr>
      <vt:lpstr>A127827030C_Data</vt:lpstr>
      <vt:lpstr>A127827030C_Latest</vt:lpstr>
      <vt:lpstr>A127827031F</vt:lpstr>
      <vt:lpstr>A127827031F_Data</vt:lpstr>
      <vt:lpstr>A127827031F_Latest</vt:lpstr>
      <vt:lpstr>A127827032J</vt:lpstr>
      <vt:lpstr>A127827032J_Data</vt:lpstr>
      <vt:lpstr>A127827032J_Latest</vt:lpstr>
      <vt:lpstr>A127827033K</vt:lpstr>
      <vt:lpstr>A127827033K_Data</vt:lpstr>
      <vt:lpstr>A127827033K_Latest</vt:lpstr>
      <vt:lpstr>A127827034L</vt:lpstr>
      <vt:lpstr>A127827034L_Data</vt:lpstr>
      <vt:lpstr>A127827034L_Latest</vt:lpstr>
      <vt:lpstr>A127827035R</vt:lpstr>
      <vt:lpstr>A127827035R_Data</vt:lpstr>
      <vt:lpstr>A127827035R_Latest</vt:lpstr>
      <vt:lpstr>A127827036T</vt:lpstr>
      <vt:lpstr>A127827036T_Data</vt:lpstr>
      <vt:lpstr>A127827036T_Latest</vt:lpstr>
      <vt:lpstr>A127827037V</vt:lpstr>
      <vt:lpstr>A127827037V_Data</vt:lpstr>
      <vt:lpstr>A127827037V_Latest</vt:lpstr>
      <vt:lpstr>A127827038W</vt:lpstr>
      <vt:lpstr>A127827038W_Data</vt:lpstr>
      <vt:lpstr>A127827038W_Latest</vt:lpstr>
      <vt:lpstr>A127827039X</vt:lpstr>
      <vt:lpstr>A127827039X_Data</vt:lpstr>
      <vt:lpstr>A127827039X_Latest</vt:lpstr>
      <vt:lpstr>A127827040J</vt:lpstr>
      <vt:lpstr>A127827040J_Data</vt:lpstr>
      <vt:lpstr>A127827040J_Latest</vt:lpstr>
      <vt:lpstr>A127827041K</vt:lpstr>
      <vt:lpstr>A127827041K_Data</vt:lpstr>
      <vt:lpstr>A127827041K_Latest</vt:lpstr>
      <vt:lpstr>A127827057C</vt:lpstr>
      <vt:lpstr>A127827057C_Data</vt:lpstr>
      <vt:lpstr>A127827057C_Latest</vt:lpstr>
      <vt:lpstr>A127827058F</vt:lpstr>
      <vt:lpstr>A127827058F_Data</vt:lpstr>
      <vt:lpstr>A127827058F_Latest</vt:lpstr>
      <vt:lpstr>A127827059J</vt:lpstr>
      <vt:lpstr>A127827059J_Data</vt:lpstr>
      <vt:lpstr>A127827059J_Latest</vt:lpstr>
      <vt:lpstr>A127827060T</vt:lpstr>
      <vt:lpstr>A127827060T_Data</vt:lpstr>
      <vt:lpstr>A127827060T_Latest</vt:lpstr>
      <vt:lpstr>A127827061V</vt:lpstr>
      <vt:lpstr>A127827061V_Data</vt:lpstr>
      <vt:lpstr>A127827061V_Latest</vt:lpstr>
      <vt:lpstr>A127827062W</vt:lpstr>
      <vt:lpstr>A127827062W_Data</vt:lpstr>
      <vt:lpstr>A127827062W_Latest</vt:lpstr>
      <vt:lpstr>A127827063X</vt:lpstr>
      <vt:lpstr>A127827063X_Data</vt:lpstr>
      <vt:lpstr>A127827063X_Latest</vt:lpstr>
      <vt:lpstr>A127827064A</vt:lpstr>
      <vt:lpstr>A127827064A_Data</vt:lpstr>
      <vt:lpstr>A127827064A_Latest</vt:lpstr>
      <vt:lpstr>A127827065C</vt:lpstr>
      <vt:lpstr>A127827065C_Data</vt:lpstr>
      <vt:lpstr>A127827065C_Latest</vt:lpstr>
      <vt:lpstr>A127827066F</vt:lpstr>
      <vt:lpstr>A127827066F_Data</vt:lpstr>
      <vt:lpstr>A127827066F_Latest</vt:lpstr>
      <vt:lpstr>A127827067J</vt:lpstr>
      <vt:lpstr>A127827067J_Data</vt:lpstr>
      <vt:lpstr>A127827067J_Latest</vt:lpstr>
      <vt:lpstr>A127827068K</vt:lpstr>
      <vt:lpstr>A127827068K_Data</vt:lpstr>
      <vt:lpstr>A127827068K_Latest</vt:lpstr>
      <vt:lpstr>A127827069L</vt:lpstr>
      <vt:lpstr>A127827069L_Data</vt:lpstr>
      <vt:lpstr>A127827069L_Latest</vt:lpstr>
      <vt:lpstr>A127827070W</vt:lpstr>
      <vt:lpstr>A127827070W_Data</vt:lpstr>
      <vt:lpstr>A127827070W_Latest</vt:lpstr>
      <vt:lpstr>A127827071X</vt:lpstr>
      <vt:lpstr>A127827071X_Data</vt:lpstr>
      <vt:lpstr>A127827071X_Latest</vt:lpstr>
      <vt:lpstr>A127827087T</vt:lpstr>
      <vt:lpstr>A127827087T_Data</vt:lpstr>
      <vt:lpstr>A127827087T_Latest</vt:lpstr>
      <vt:lpstr>A127827088V</vt:lpstr>
      <vt:lpstr>A127827088V_Data</vt:lpstr>
      <vt:lpstr>A127827088V_Latest</vt:lpstr>
      <vt:lpstr>A127827089W</vt:lpstr>
      <vt:lpstr>A127827089W_Data</vt:lpstr>
      <vt:lpstr>A127827089W_Latest</vt:lpstr>
      <vt:lpstr>A127827090F</vt:lpstr>
      <vt:lpstr>A127827090F_Data</vt:lpstr>
      <vt:lpstr>A127827090F_Latest</vt:lpstr>
      <vt:lpstr>A127827091J</vt:lpstr>
      <vt:lpstr>A127827091J_Data</vt:lpstr>
      <vt:lpstr>A127827091J_Latest</vt:lpstr>
      <vt:lpstr>A127827092K</vt:lpstr>
      <vt:lpstr>A127827092K_Data</vt:lpstr>
      <vt:lpstr>A127827092K_Latest</vt:lpstr>
      <vt:lpstr>A127827093L</vt:lpstr>
      <vt:lpstr>A127827093L_Data</vt:lpstr>
      <vt:lpstr>A127827093L_Latest</vt:lpstr>
      <vt:lpstr>A127827094R</vt:lpstr>
      <vt:lpstr>A127827094R_Data</vt:lpstr>
      <vt:lpstr>A127827094R_Latest</vt:lpstr>
      <vt:lpstr>A127827095T</vt:lpstr>
      <vt:lpstr>A127827095T_Data</vt:lpstr>
      <vt:lpstr>A127827095T_Latest</vt:lpstr>
      <vt:lpstr>A127827096V</vt:lpstr>
      <vt:lpstr>A127827096V_Data</vt:lpstr>
      <vt:lpstr>A127827096V_Latest</vt:lpstr>
      <vt:lpstr>A127827097W</vt:lpstr>
      <vt:lpstr>A127827097W_Data</vt:lpstr>
      <vt:lpstr>A127827097W_Latest</vt:lpstr>
      <vt:lpstr>A127827098X</vt:lpstr>
      <vt:lpstr>A127827098X_Data</vt:lpstr>
      <vt:lpstr>A127827098X_Latest</vt:lpstr>
      <vt:lpstr>A127827099A</vt:lpstr>
      <vt:lpstr>A127827099A_Data</vt:lpstr>
      <vt:lpstr>A127827099A_Latest</vt:lpstr>
      <vt:lpstr>A127827100X</vt:lpstr>
      <vt:lpstr>A127827100X_Data</vt:lpstr>
      <vt:lpstr>A127827100X_Latest</vt:lpstr>
      <vt:lpstr>A127827101A</vt:lpstr>
      <vt:lpstr>A127827101A_Data</vt:lpstr>
      <vt:lpstr>A127827101A_Latest</vt:lpstr>
      <vt:lpstr>A127827117V</vt:lpstr>
      <vt:lpstr>A127827117V_Data</vt:lpstr>
      <vt:lpstr>A127827117V_Latest</vt:lpstr>
      <vt:lpstr>A127827118W</vt:lpstr>
      <vt:lpstr>A127827118W_Data</vt:lpstr>
      <vt:lpstr>A127827118W_Latest</vt:lpstr>
      <vt:lpstr>A127827119X</vt:lpstr>
      <vt:lpstr>A127827119X_Data</vt:lpstr>
      <vt:lpstr>A127827119X_Latest</vt:lpstr>
      <vt:lpstr>A127827120J</vt:lpstr>
      <vt:lpstr>A127827120J_Data</vt:lpstr>
      <vt:lpstr>A127827120J_Latest</vt:lpstr>
      <vt:lpstr>A127827121K</vt:lpstr>
      <vt:lpstr>A127827121K_Data</vt:lpstr>
      <vt:lpstr>A127827121K_Latest</vt:lpstr>
      <vt:lpstr>A127827122L</vt:lpstr>
      <vt:lpstr>A127827122L_Data</vt:lpstr>
      <vt:lpstr>A127827122L_Latest</vt:lpstr>
      <vt:lpstr>A127827123R</vt:lpstr>
      <vt:lpstr>A127827123R_Data</vt:lpstr>
      <vt:lpstr>A127827123R_Latest</vt:lpstr>
      <vt:lpstr>A127827124T</vt:lpstr>
      <vt:lpstr>A127827124T_Data</vt:lpstr>
      <vt:lpstr>A127827124T_Latest</vt:lpstr>
      <vt:lpstr>A127827125V</vt:lpstr>
      <vt:lpstr>A127827125V_Data</vt:lpstr>
      <vt:lpstr>A127827125V_Latest</vt:lpstr>
      <vt:lpstr>A127827126W</vt:lpstr>
      <vt:lpstr>A127827126W_Data</vt:lpstr>
      <vt:lpstr>A127827126W_Latest</vt:lpstr>
      <vt:lpstr>A127827127X</vt:lpstr>
      <vt:lpstr>A127827127X_Data</vt:lpstr>
      <vt:lpstr>A127827127X_Latest</vt:lpstr>
      <vt:lpstr>A127827128A</vt:lpstr>
      <vt:lpstr>A127827128A_Data</vt:lpstr>
      <vt:lpstr>A127827128A_Latest</vt:lpstr>
      <vt:lpstr>A127827129C</vt:lpstr>
      <vt:lpstr>A127827129C_Data</vt:lpstr>
      <vt:lpstr>A127827129C_Latest</vt:lpstr>
      <vt:lpstr>A127827130L</vt:lpstr>
      <vt:lpstr>A127827130L_Data</vt:lpstr>
      <vt:lpstr>A127827130L_Latest</vt:lpstr>
      <vt:lpstr>A127827131R</vt:lpstr>
      <vt:lpstr>A127827131R_Data</vt:lpstr>
      <vt:lpstr>A127827131R_Latest</vt:lpstr>
      <vt:lpstr>A127827147J</vt:lpstr>
      <vt:lpstr>A127827147J_Data</vt:lpstr>
      <vt:lpstr>A127827147J_Latest</vt:lpstr>
      <vt:lpstr>A127827148K</vt:lpstr>
      <vt:lpstr>A127827148K_Data</vt:lpstr>
      <vt:lpstr>A127827148K_Latest</vt:lpstr>
      <vt:lpstr>A127827149L</vt:lpstr>
      <vt:lpstr>A127827149L_Data</vt:lpstr>
      <vt:lpstr>A127827149L_Latest</vt:lpstr>
      <vt:lpstr>A127827150W</vt:lpstr>
      <vt:lpstr>A127827150W_Data</vt:lpstr>
      <vt:lpstr>A127827150W_Latest</vt:lpstr>
      <vt:lpstr>A127827151X</vt:lpstr>
      <vt:lpstr>A127827151X_Data</vt:lpstr>
      <vt:lpstr>A127827151X_Latest</vt:lpstr>
      <vt:lpstr>A127827152A</vt:lpstr>
      <vt:lpstr>A127827152A_Data</vt:lpstr>
      <vt:lpstr>A127827152A_Latest</vt:lpstr>
      <vt:lpstr>A127827153C</vt:lpstr>
      <vt:lpstr>A127827153C_Data</vt:lpstr>
      <vt:lpstr>A127827153C_Latest</vt:lpstr>
      <vt:lpstr>A127827154F</vt:lpstr>
      <vt:lpstr>A127827154F_Data</vt:lpstr>
      <vt:lpstr>A127827154F_Latest</vt:lpstr>
      <vt:lpstr>A127827155J</vt:lpstr>
      <vt:lpstr>A127827155J_Data</vt:lpstr>
      <vt:lpstr>A127827155J_Latest</vt:lpstr>
      <vt:lpstr>A127827156K</vt:lpstr>
      <vt:lpstr>A127827156K_Data</vt:lpstr>
      <vt:lpstr>A127827156K_Latest</vt:lpstr>
      <vt:lpstr>A127827157L</vt:lpstr>
      <vt:lpstr>A127827157L_Data</vt:lpstr>
      <vt:lpstr>A127827157L_Latest</vt:lpstr>
      <vt:lpstr>A127827158R</vt:lpstr>
      <vt:lpstr>A127827158R_Data</vt:lpstr>
      <vt:lpstr>A127827158R_Latest</vt:lpstr>
      <vt:lpstr>A127827159T</vt:lpstr>
      <vt:lpstr>A127827159T_Data</vt:lpstr>
      <vt:lpstr>A127827159T_Latest</vt:lpstr>
      <vt:lpstr>A127827160A</vt:lpstr>
      <vt:lpstr>A127827160A_Data</vt:lpstr>
      <vt:lpstr>A127827160A_Latest</vt:lpstr>
      <vt:lpstr>A127827161C</vt:lpstr>
      <vt:lpstr>A127827161C_Data</vt:lpstr>
      <vt:lpstr>A127827161C_Latest</vt:lpstr>
      <vt:lpstr>A127827177W</vt:lpstr>
      <vt:lpstr>A127827177W_Data</vt:lpstr>
      <vt:lpstr>A127827177W_Latest</vt:lpstr>
      <vt:lpstr>A127827178X</vt:lpstr>
      <vt:lpstr>A127827178X_Data</vt:lpstr>
      <vt:lpstr>A127827178X_Latest</vt:lpstr>
      <vt:lpstr>A127827179A</vt:lpstr>
      <vt:lpstr>A127827179A_Data</vt:lpstr>
      <vt:lpstr>A127827179A_Latest</vt:lpstr>
      <vt:lpstr>A127827180K</vt:lpstr>
      <vt:lpstr>A127827180K_Data</vt:lpstr>
      <vt:lpstr>A127827180K_Latest</vt:lpstr>
      <vt:lpstr>A127827181L</vt:lpstr>
      <vt:lpstr>A127827181L_Data</vt:lpstr>
      <vt:lpstr>A127827181L_Latest</vt:lpstr>
      <vt:lpstr>A127827182R</vt:lpstr>
      <vt:lpstr>A127827182R_Data</vt:lpstr>
      <vt:lpstr>A127827182R_Latest</vt:lpstr>
      <vt:lpstr>A127827183T</vt:lpstr>
      <vt:lpstr>A127827183T_Data</vt:lpstr>
      <vt:lpstr>A127827183T_Latest</vt:lpstr>
      <vt:lpstr>A127827184V</vt:lpstr>
      <vt:lpstr>A127827184V_Data</vt:lpstr>
      <vt:lpstr>A127827184V_Latest</vt:lpstr>
      <vt:lpstr>A127827185W</vt:lpstr>
      <vt:lpstr>A127827185W_Data</vt:lpstr>
      <vt:lpstr>A127827185W_Latest</vt:lpstr>
      <vt:lpstr>A127827186X</vt:lpstr>
      <vt:lpstr>A127827186X_Data</vt:lpstr>
      <vt:lpstr>A127827186X_Latest</vt:lpstr>
      <vt:lpstr>A127827187A</vt:lpstr>
      <vt:lpstr>A127827187A_Data</vt:lpstr>
      <vt:lpstr>A127827187A_Latest</vt:lpstr>
      <vt:lpstr>A127827188C</vt:lpstr>
      <vt:lpstr>A127827188C_Data</vt:lpstr>
      <vt:lpstr>A127827188C_Latest</vt:lpstr>
      <vt:lpstr>A127827189F</vt:lpstr>
      <vt:lpstr>A127827189F_Data</vt:lpstr>
      <vt:lpstr>A127827189F_Latest</vt:lpstr>
      <vt:lpstr>A127827190R</vt:lpstr>
      <vt:lpstr>A127827190R_Data</vt:lpstr>
      <vt:lpstr>A127827190R_Latest</vt:lpstr>
      <vt:lpstr>A127827191T</vt:lpstr>
      <vt:lpstr>A127827191T_Data</vt:lpstr>
      <vt:lpstr>A127827191T_Latest</vt:lpstr>
      <vt:lpstr>A127827207X</vt:lpstr>
      <vt:lpstr>A127827207X_Data</vt:lpstr>
      <vt:lpstr>A127827207X_Latest</vt:lpstr>
      <vt:lpstr>A127827208A</vt:lpstr>
      <vt:lpstr>A127827208A_Data</vt:lpstr>
      <vt:lpstr>A127827208A_Latest</vt:lpstr>
      <vt:lpstr>A127827209C</vt:lpstr>
      <vt:lpstr>A127827209C_Data</vt:lpstr>
      <vt:lpstr>A127827209C_Latest</vt:lpstr>
      <vt:lpstr>A127827210L</vt:lpstr>
      <vt:lpstr>A127827210L_Data</vt:lpstr>
      <vt:lpstr>A127827210L_Latest</vt:lpstr>
      <vt:lpstr>A127827211R</vt:lpstr>
      <vt:lpstr>A127827211R_Data</vt:lpstr>
      <vt:lpstr>A127827211R_Latest</vt:lpstr>
      <vt:lpstr>A127827212T</vt:lpstr>
      <vt:lpstr>A127827212T_Data</vt:lpstr>
      <vt:lpstr>A127827212T_Latest</vt:lpstr>
      <vt:lpstr>A127827213V</vt:lpstr>
      <vt:lpstr>A127827213V_Data</vt:lpstr>
      <vt:lpstr>A127827213V_Latest</vt:lpstr>
      <vt:lpstr>A127827214W</vt:lpstr>
      <vt:lpstr>A127827214W_Data</vt:lpstr>
      <vt:lpstr>A127827214W_Latest</vt:lpstr>
      <vt:lpstr>A127827215X</vt:lpstr>
      <vt:lpstr>A127827215X_Data</vt:lpstr>
      <vt:lpstr>A127827215X_Latest</vt:lpstr>
      <vt:lpstr>A127827216A</vt:lpstr>
      <vt:lpstr>A127827216A_Data</vt:lpstr>
      <vt:lpstr>A127827216A_Latest</vt:lpstr>
      <vt:lpstr>A127827217C</vt:lpstr>
      <vt:lpstr>A127827217C_Data</vt:lpstr>
      <vt:lpstr>A127827217C_Latest</vt:lpstr>
      <vt:lpstr>A127827218F</vt:lpstr>
      <vt:lpstr>A127827218F_Data</vt:lpstr>
      <vt:lpstr>A127827218F_Latest</vt:lpstr>
      <vt:lpstr>A127827219J</vt:lpstr>
      <vt:lpstr>A127827219J_Data</vt:lpstr>
      <vt:lpstr>A127827219J_Latest</vt:lpstr>
      <vt:lpstr>A127827220T</vt:lpstr>
      <vt:lpstr>A127827220T_Data</vt:lpstr>
      <vt:lpstr>A127827220T_Latest</vt:lpstr>
      <vt:lpstr>A127827221V</vt:lpstr>
      <vt:lpstr>A127827221V_Data</vt:lpstr>
      <vt:lpstr>A127827221V_Latest</vt:lpstr>
      <vt:lpstr>A127827237L</vt:lpstr>
      <vt:lpstr>A127827237L_Data</vt:lpstr>
      <vt:lpstr>A127827237L_Latest</vt:lpstr>
      <vt:lpstr>A127827238R</vt:lpstr>
      <vt:lpstr>A127827238R_Data</vt:lpstr>
      <vt:lpstr>A127827238R_Latest</vt:lpstr>
      <vt:lpstr>A127827239T</vt:lpstr>
      <vt:lpstr>A127827239T_Data</vt:lpstr>
      <vt:lpstr>A127827239T_Latest</vt:lpstr>
      <vt:lpstr>A127827240A</vt:lpstr>
      <vt:lpstr>A127827240A_Data</vt:lpstr>
      <vt:lpstr>A127827240A_Latest</vt:lpstr>
      <vt:lpstr>A127827241C</vt:lpstr>
      <vt:lpstr>A127827241C_Data</vt:lpstr>
      <vt:lpstr>A127827241C_Latest</vt:lpstr>
      <vt:lpstr>A127827242F</vt:lpstr>
      <vt:lpstr>A127827242F_Data</vt:lpstr>
      <vt:lpstr>A127827242F_Latest</vt:lpstr>
      <vt:lpstr>A127827243J</vt:lpstr>
      <vt:lpstr>A127827243J_Data</vt:lpstr>
      <vt:lpstr>A127827243J_Latest</vt:lpstr>
      <vt:lpstr>A127827244K</vt:lpstr>
      <vt:lpstr>A127827244K_Data</vt:lpstr>
      <vt:lpstr>A127827244K_Latest</vt:lpstr>
      <vt:lpstr>A127827245L</vt:lpstr>
      <vt:lpstr>A127827245L_Data</vt:lpstr>
      <vt:lpstr>A127827245L_Latest</vt:lpstr>
      <vt:lpstr>A127827246R</vt:lpstr>
      <vt:lpstr>A127827246R_Data</vt:lpstr>
      <vt:lpstr>A127827246R_Latest</vt:lpstr>
      <vt:lpstr>A127827247T</vt:lpstr>
      <vt:lpstr>A127827247T_Data</vt:lpstr>
      <vt:lpstr>A127827247T_Latest</vt:lpstr>
      <vt:lpstr>A127827248V</vt:lpstr>
      <vt:lpstr>A127827248V_Data</vt:lpstr>
      <vt:lpstr>A127827248V_Latest</vt:lpstr>
      <vt:lpstr>A127827249W</vt:lpstr>
      <vt:lpstr>A127827249W_Data</vt:lpstr>
      <vt:lpstr>A127827249W_Latest</vt:lpstr>
      <vt:lpstr>A127827250F</vt:lpstr>
      <vt:lpstr>A127827250F_Data</vt:lpstr>
      <vt:lpstr>A127827250F_Latest</vt:lpstr>
      <vt:lpstr>A127827251J</vt:lpstr>
      <vt:lpstr>A127827251J_Data</vt:lpstr>
      <vt:lpstr>A127827251J_Latest</vt:lpstr>
      <vt:lpstr>A127827267A</vt:lpstr>
      <vt:lpstr>A127827267A_Data</vt:lpstr>
      <vt:lpstr>A127827267A_Latest</vt:lpstr>
      <vt:lpstr>A127827268C</vt:lpstr>
      <vt:lpstr>A127827268C_Data</vt:lpstr>
      <vt:lpstr>A127827268C_Latest</vt:lpstr>
      <vt:lpstr>A127827269F</vt:lpstr>
      <vt:lpstr>A127827269F_Data</vt:lpstr>
      <vt:lpstr>A127827269F_Latest</vt:lpstr>
      <vt:lpstr>A127827270R</vt:lpstr>
      <vt:lpstr>A127827270R_Data</vt:lpstr>
      <vt:lpstr>A127827270R_Latest</vt:lpstr>
      <vt:lpstr>A127827271T</vt:lpstr>
      <vt:lpstr>A127827271T_Data</vt:lpstr>
      <vt:lpstr>A127827271T_Latest</vt:lpstr>
      <vt:lpstr>A127827272V</vt:lpstr>
      <vt:lpstr>A127827272V_Data</vt:lpstr>
      <vt:lpstr>A127827272V_Latest</vt:lpstr>
      <vt:lpstr>A127827273W</vt:lpstr>
      <vt:lpstr>A127827273W_Data</vt:lpstr>
      <vt:lpstr>A127827273W_Latest</vt:lpstr>
      <vt:lpstr>A127827274X</vt:lpstr>
      <vt:lpstr>A127827274X_Data</vt:lpstr>
      <vt:lpstr>A127827274X_Latest</vt:lpstr>
      <vt:lpstr>A127827275A</vt:lpstr>
      <vt:lpstr>A127827275A_Data</vt:lpstr>
      <vt:lpstr>A127827275A_Latest</vt:lpstr>
      <vt:lpstr>A127827276C</vt:lpstr>
      <vt:lpstr>A127827276C_Data</vt:lpstr>
      <vt:lpstr>A127827276C_Latest</vt:lpstr>
      <vt:lpstr>A127827277F</vt:lpstr>
      <vt:lpstr>A127827277F_Data</vt:lpstr>
      <vt:lpstr>A127827277F_Latest</vt:lpstr>
      <vt:lpstr>A127827278J</vt:lpstr>
      <vt:lpstr>A127827278J_Data</vt:lpstr>
      <vt:lpstr>A127827278J_Latest</vt:lpstr>
      <vt:lpstr>A127827279K</vt:lpstr>
      <vt:lpstr>A127827279K_Data</vt:lpstr>
      <vt:lpstr>A127827279K_Latest</vt:lpstr>
      <vt:lpstr>A127827280V</vt:lpstr>
      <vt:lpstr>A127827280V_Data</vt:lpstr>
      <vt:lpstr>A127827280V_Latest</vt:lpstr>
      <vt:lpstr>A127827281W</vt:lpstr>
      <vt:lpstr>A127827281W_Data</vt:lpstr>
      <vt:lpstr>A127827281W_Latest</vt:lpstr>
      <vt:lpstr>A127827297R</vt:lpstr>
      <vt:lpstr>A127827297R_Data</vt:lpstr>
      <vt:lpstr>A127827297R_Latest</vt:lpstr>
      <vt:lpstr>A127827298T</vt:lpstr>
      <vt:lpstr>A127827298T_Data</vt:lpstr>
      <vt:lpstr>A127827298T_Latest</vt:lpstr>
      <vt:lpstr>A127827299V</vt:lpstr>
      <vt:lpstr>A127827299V_Data</vt:lpstr>
      <vt:lpstr>A127827299V_Latest</vt:lpstr>
      <vt:lpstr>A127827300T</vt:lpstr>
      <vt:lpstr>A127827300T_Data</vt:lpstr>
      <vt:lpstr>A127827300T_Latest</vt:lpstr>
      <vt:lpstr>A127827301V</vt:lpstr>
      <vt:lpstr>A127827301V_Data</vt:lpstr>
      <vt:lpstr>A127827301V_Latest</vt:lpstr>
      <vt:lpstr>A127827302W</vt:lpstr>
      <vt:lpstr>A127827302W_Data</vt:lpstr>
      <vt:lpstr>A127827302W_Latest</vt:lpstr>
      <vt:lpstr>A127827303X</vt:lpstr>
      <vt:lpstr>A127827303X_Data</vt:lpstr>
      <vt:lpstr>A127827303X_Latest</vt:lpstr>
      <vt:lpstr>A127827304A</vt:lpstr>
      <vt:lpstr>A127827304A_Data</vt:lpstr>
      <vt:lpstr>A127827304A_Latest</vt:lpstr>
      <vt:lpstr>A127827305C</vt:lpstr>
      <vt:lpstr>A127827305C_Data</vt:lpstr>
      <vt:lpstr>A127827305C_Latest</vt:lpstr>
      <vt:lpstr>A127827306F</vt:lpstr>
      <vt:lpstr>A127827306F_Data</vt:lpstr>
      <vt:lpstr>A127827306F_Latest</vt:lpstr>
      <vt:lpstr>A127827307J</vt:lpstr>
      <vt:lpstr>A127827307J_Data</vt:lpstr>
      <vt:lpstr>A127827307J_Latest</vt:lpstr>
      <vt:lpstr>A127827308K</vt:lpstr>
      <vt:lpstr>A127827308K_Data</vt:lpstr>
      <vt:lpstr>A127827308K_Latest</vt:lpstr>
      <vt:lpstr>A127827309L</vt:lpstr>
      <vt:lpstr>A127827309L_Data</vt:lpstr>
      <vt:lpstr>A127827309L_Latest</vt:lpstr>
      <vt:lpstr>A127827310W</vt:lpstr>
      <vt:lpstr>A127827310W_Data</vt:lpstr>
      <vt:lpstr>A127827310W_Latest</vt:lpstr>
      <vt:lpstr>A127827311X</vt:lpstr>
      <vt:lpstr>A127827311X_Data</vt:lpstr>
      <vt:lpstr>A127827311X_Latest</vt:lpstr>
      <vt:lpstr>A127827567C</vt:lpstr>
      <vt:lpstr>A127827567C_Data</vt:lpstr>
      <vt:lpstr>A127827567C_Latest</vt:lpstr>
      <vt:lpstr>A127827568F</vt:lpstr>
      <vt:lpstr>A127827568F_Data</vt:lpstr>
      <vt:lpstr>A127827568F_Latest</vt:lpstr>
      <vt:lpstr>A127827569J</vt:lpstr>
      <vt:lpstr>A127827569J_Data</vt:lpstr>
      <vt:lpstr>A127827569J_Latest</vt:lpstr>
      <vt:lpstr>A127827570T</vt:lpstr>
      <vt:lpstr>A127827570T_Data</vt:lpstr>
      <vt:lpstr>A127827570T_Latest</vt:lpstr>
      <vt:lpstr>A127827571V</vt:lpstr>
      <vt:lpstr>A127827571V_Data</vt:lpstr>
      <vt:lpstr>A127827571V_Latest</vt:lpstr>
      <vt:lpstr>A127827572W</vt:lpstr>
      <vt:lpstr>A127827572W_Data</vt:lpstr>
      <vt:lpstr>A127827572W_Latest</vt:lpstr>
      <vt:lpstr>A127827573X</vt:lpstr>
      <vt:lpstr>A127827573X_Data</vt:lpstr>
      <vt:lpstr>A127827573X_Latest</vt:lpstr>
      <vt:lpstr>A127827574A</vt:lpstr>
      <vt:lpstr>A127827574A_Data</vt:lpstr>
      <vt:lpstr>A127827574A_Latest</vt:lpstr>
      <vt:lpstr>A127827575C</vt:lpstr>
      <vt:lpstr>A127827575C_Data</vt:lpstr>
      <vt:lpstr>A127827575C_Latest</vt:lpstr>
      <vt:lpstr>A127827576F</vt:lpstr>
      <vt:lpstr>A127827576F_Data</vt:lpstr>
      <vt:lpstr>A127827576F_Latest</vt:lpstr>
      <vt:lpstr>A127827577J</vt:lpstr>
      <vt:lpstr>A127827577J_Data</vt:lpstr>
      <vt:lpstr>A127827577J_Latest</vt:lpstr>
      <vt:lpstr>A127827578K</vt:lpstr>
      <vt:lpstr>A127827578K_Data</vt:lpstr>
      <vt:lpstr>A127827578K_Latest</vt:lpstr>
      <vt:lpstr>A127827579L</vt:lpstr>
      <vt:lpstr>A127827579L_Data</vt:lpstr>
      <vt:lpstr>A127827579L_Latest</vt:lpstr>
      <vt:lpstr>A127827580W</vt:lpstr>
      <vt:lpstr>A127827580W_Data</vt:lpstr>
      <vt:lpstr>A127827580W_Latest</vt:lpstr>
      <vt:lpstr>A127827581X</vt:lpstr>
      <vt:lpstr>A127827581X_Data</vt:lpstr>
      <vt:lpstr>A127827581X_Latest</vt:lpstr>
      <vt:lpstr>A127827897V</vt:lpstr>
      <vt:lpstr>A127827897V_Data</vt:lpstr>
      <vt:lpstr>A127827897V_Latest</vt:lpstr>
      <vt:lpstr>A127827898W</vt:lpstr>
      <vt:lpstr>A127827898W_Data</vt:lpstr>
      <vt:lpstr>A127827898W_Latest</vt:lpstr>
      <vt:lpstr>A127827899X</vt:lpstr>
      <vt:lpstr>A127827899X_Data</vt:lpstr>
      <vt:lpstr>A127827899X_Latest</vt:lpstr>
      <vt:lpstr>A127827900W</vt:lpstr>
      <vt:lpstr>A127827900W_Data</vt:lpstr>
      <vt:lpstr>A127827900W_Latest</vt:lpstr>
      <vt:lpstr>A127827901X</vt:lpstr>
      <vt:lpstr>A127827901X_Data</vt:lpstr>
      <vt:lpstr>A127827901X_Latest</vt:lpstr>
      <vt:lpstr>A127827902A</vt:lpstr>
      <vt:lpstr>A127827902A_Data</vt:lpstr>
      <vt:lpstr>A127827902A_Latest</vt:lpstr>
      <vt:lpstr>A127827903C</vt:lpstr>
      <vt:lpstr>A127827903C_Data</vt:lpstr>
      <vt:lpstr>A127827903C_Latest</vt:lpstr>
      <vt:lpstr>A127827904F</vt:lpstr>
      <vt:lpstr>A127827904F_Data</vt:lpstr>
      <vt:lpstr>A127827904F_Latest</vt:lpstr>
      <vt:lpstr>A127827905J</vt:lpstr>
      <vt:lpstr>A127827905J_Data</vt:lpstr>
      <vt:lpstr>A127827905J_Latest</vt:lpstr>
      <vt:lpstr>A127827906K</vt:lpstr>
      <vt:lpstr>A127827906K_Data</vt:lpstr>
      <vt:lpstr>A127827906K_Latest</vt:lpstr>
      <vt:lpstr>A127827907L</vt:lpstr>
      <vt:lpstr>A127827907L_Data</vt:lpstr>
      <vt:lpstr>A127827907L_Latest</vt:lpstr>
      <vt:lpstr>A127827908R</vt:lpstr>
      <vt:lpstr>A127827908R_Data</vt:lpstr>
      <vt:lpstr>A127827908R_Latest</vt:lpstr>
      <vt:lpstr>A127827909T</vt:lpstr>
      <vt:lpstr>A127827909T_Data</vt:lpstr>
      <vt:lpstr>A127827909T_Latest</vt:lpstr>
      <vt:lpstr>A127827910A</vt:lpstr>
      <vt:lpstr>A127827910A_Data</vt:lpstr>
      <vt:lpstr>A127827910A_Latest</vt:lpstr>
      <vt:lpstr>A127827911C</vt:lpstr>
      <vt:lpstr>A127827911C_Data</vt:lpstr>
      <vt:lpstr>A127827911C_Latest</vt:lpstr>
      <vt:lpstr>A127828227A</vt:lpstr>
      <vt:lpstr>A127828227A_Data</vt:lpstr>
      <vt:lpstr>A127828227A_Latest</vt:lpstr>
      <vt:lpstr>A127828228C</vt:lpstr>
      <vt:lpstr>A127828228C_Data</vt:lpstr>
      <vt:lpstr>A127828228C_Latest</vt:lpstr>
      <vt:lpstr>A127828229F</vt:lpstr>
      <vt:lpstr>A127828229F_Data</vt:lpstr>
      <vt:lpstr>A127828229F_Latest</vt:lpstr>
      <vt:lpstr>A127828230R</vt:lpstr>
      <vt:lpstr>A127828230R_Data</vt:lpstr>
      <vt:lpstr>A127828230R_Latest</vt:lpstr>
      <vt:lpstr>A127828231T</vt:lpstr>
      <vt:lpstr>A127828231T_Data</vt:lpstr>
      <vt:lpstr>A127828231T_Latest</vt:lpstr>
      <vt:lpstr>A127828232V</vt:lpstr>
      <vt:lpstr>A127828232V_Data</vt:lpstr>
      <vt:lpstr>A127828232V_Latest</vt:lpstr>
      <vt:lpstr>A127828233W</vt:lpstr>
      <vt:lpstr>A127828233W_Data</vt:lpstr>
      <vt:lpstr>A127828233W_Latest</vt:lpstr>
      <vt:lpstr>A127828234X</vt:lpstr>
      <vt:lpstr>A127828234X_Data</vt:lpstr>
      <vt:lpstr>A127828234X_Latest</vt:lpstr>
      <vt:lpstr>A127828235A</vt:lpstr>
      <vt:lpstr>A127828235A_Data</vt:lpstr>
      <vt:lpstr>A127828235A_Latest</vt:lpstr>
      <vt:lpstr>A127828236C</vt:lpstr>
      <vt:lpstr>A127828236C_Data</vt:lpstr>
      <vt:lpstr>A127828236C_Latest</vt:lpstr>
      <vt:lpstr>A127828237F</vt:lpstr>
      <vt:lpstr>A127828237F_Data</vt:lpstr>
      <vt:lpstr>A127828237F_Latest</vt:lpstr>
      <vt:lpstr>A127828238J</vt:lpstr>
      <vt:lpstr>A127828238J_Data</vt:lpstr>
      <vt:lpstr>A127828238J_Latest</vt:lpstr>
      <vt:lpstr>A127828239K</vt:lpstr>
      <vt:lpstr>A127828239K_Data</vt:lpstr>
      <vt:lpstr>A127828239K_Latest</vt:lpstr>
      <vt:lpstr>A127828240V</vt:lpstr>
      <vt:lpstr>A127828240V_Data</vt:lpstr>
      <vt:lpstr>A127828240V_Latest</vt:lpstr>
      <vt:lpstr>A127828241W</vt:lpstr>
      <vt:lpstr>A127828241W_Data</vt:lpstr>
      <vt:lpstr>A127828241W_Latest</vt:lpstr>
      <vt:lpstr>A127828557T</vt:lpstr>
      <vt:lpstr>A127828557T_Data</vt:lpstr>
      <vt:lpstr>A127828557T_Latest</vt:lpstr>
      <vt:lpstr>A127828558V</vt:lpstr>
      <vt:lpstr>A127828558V_Data</vt:lpstr>
      <vt:lpstr>A127828558V_Latest</vt:lpstr>
      <vt:lpstr>A127828559W</vt:lpstr>
      <vt:lpstr>A127828559W_Data</vt:lpstr>
      <vt:lpstr>A127828559W_Latest</vt:lpstr>
      <vt:lpstr>A127828560F</vt:lpstr>
      <vt:lpstr>A127828560F_Data</vt:lpstr>
      <vt:lpstr>A127828560F_Latest</vt:lpstr>
      <vt:lpstr>A127828561J</vt:lpstr>
      <vt:lpstr>A127828561J_Data</vt:lpstr>
      <vt:lpstr>A127828561J_Latest</vt:lpstr>
      <vt:lpstr>A127828562K</vt:lpstr>
      <vt:lpstr>A127828562K_Data</vt:lpstr>
      <vt:lpstr>A127828562K_Latest</vt:lpstr>
      <vt:lpstr>A127828563L</vt:lpstr>
      <vt:lpstr>A127828563L_Data</vt:lpstr>
      <vt:lpstr>A127828563L_Latest</vt:lpstr>
      <vt:lpstr>A127828564R</vt:lpstr>
      <vt:lpstr>A127828564R_Data</vt:lpstr>
      <vt:lpstr>A127828564R_Latest</vt:lpstr>
      <vt:lpstr>A127828565T</vt:lpstr>
      <vt:lpstr>A127828565T_Data</vt:lpstr>
      <vt:lpstr>A127828565T_Latest</vt:lpstr>
      <vt:lpstr>A127828566V</vt:lpstr>
      <vt:lpstr>A127828566V_Data</vt:lpstr>
      <vt:lpstr>A127828566V_Latest</vt:lpstr>
      <vt:lpstr>A127828567W</vt:lpstr>
      <vt:lpstr>A127828567W_Data</vt:lpstr>
      <vt:lpstr>A127828567W_Latest</vt:lpstr>
      <vt:lpstr>A127828568X</vt:lpstr>
      <vt:lpstr>A127828568X_Data</vt:lpstr>
      <vt:lpstr>A127828568X_Latest</vt:lpstr>
      <vt:lpstr>A127828569A</vt:lpstr>
      <vt:lpstr>A127828569A_Data</vt:lpstr>
      <vt:lpstr>A127828569A_Latest</vt:lpstr>
      <vt:lpstr>A127828570K</vt:lpstr>
      <vt:lpstr>A127828570K_Data</vt:lpstr>
      <vt:lpstr>A127828570K_Latest</vt:lpstr>
      <vt:lpstr>A127828571L</vt:lpstr>
      <vt:lpstr>A127828571L_Data</vt:lpstr>
      <vt:lpstr>A127828571L_Latest</vt:lpstr>
      <vt:lpstr>A127828887J</vt:lpstr>
      <vt:lpstr>A127828887J_Data</vt:lpstr>
      <vt:lpstr>A127828887J_Latest</vt:lpstr>
      <vt:lpstr>A127828888K</vt:lpstr>
      <vt:lpstr>A127828888K_Data</vt:lpstr>
      <vt:lpstr>A127828888K_Latest</vt:lpstr>
      <vt:lpstr>A127828889L</vt:lpstr>
      <vt:lpstr>A127828889L_Data</vt:lpstr>
      <vt:lpstr>A127828889L_Latest</vt:lpstr>
      <vt:lpstr>A127828890W</vt:lpstr>
      <vt:lpstr>A127828890W_Data</vt:lpstr>
      <vt:lpstr>A127828890W_Latest</vt:lpstr>
      <vt:lpstr>A127828891X</vt:lpstr>
      <vt:lpstr>A127828891X_Data</vt:lpstr>
      <vt:lpstr>A127828891X_Latest</vt:lpstr>
      <vt:lpstr>A127828892A</vt:lpstr>
      <vt:lpstr>A127828892A_Data</vt:lpstr>
      <vt:lpstr>A127828892A_Latest</vt:lpstr>
      <vt:lpstr>A127828893C</vt:lpstr>
      <vt:lpstr>A127828893C_Data</vt:lpstr>
      <vt:lpstr>A127828893C_Latest</vt:lpstr>
      <vt:lpstr>A127828894F</vt:lpstr>
      <vt:lpstr>A127828894F_Data</vt:lpstr>
      <vt:lpstr>A127828894F_Latest</vt:lpstr>
      <vt:lpstr>A127828895J</vt:lpstr>
      <vt:lpstr>A127828895J_Data</vt:lpstr>
      <vt:lpstr>A127828895J_Latest</vt:lpstr>
      <vt:lpstr>A127828896K</vt:lpstr>
      <vt:lpstr>A127828896K_Data</vt:lpstr>
      <vt:lpstr>A127828896K_Latest</vt:lpstr>
      <vt:lpstr>A127828897L</vt:lpstr>
      <vt:lpstr>A127828897L_Data</vt:lpstr>
      <vt:lpstr>A127828897L_Latest</vt:lpstr>
      <vt:lpstr>A127828898R</vt:lpstr>
      <vt:lpstr>A127828898R_Data</vt:lpstr>
      <vt:lpstr>A127828898R_Latest</vt:lpstr>
      <vt:lpstr>A127828899T</vt:lpstr>
      <vt:lpstr>A127828899T_Data</vt:lpstr>
      <vt:lpstr>A127828899T_Latest</vt:lpstr>
      <vt:lpstr>A127828900R</vt:lpstr>
      <vt:lpstr>A127828900R_Data</vt:lpstr>
      <vt:lpstr>A127828900R_Latest</vt:lpstr>
      <vt:lpstr>A127828901T</vt:lpstr>
      <vt:lpstr>A127828901T_Data</vt:lpstr>
      <vt:lpstr>A127828901T_Latest</vt:lpstr>
      <vt:lpstr>A127829217R</vt:lpstr>
      <vt:lpstr>A127829217R_Data</vt:lpstr>
      <vt:lpstr>A127829217R_Latest</vt:lpstr>
      <vt:lpstr>A127829218T</vt:lpstr>
      <vt:lpstr>A127829218T_Data</vt:lpstr>
      <vt:lpstr>A127829218T_Latest</vt:lpstr>
      <vt:lpstr>A127829219V</vt:lpstr>
      <vt:lpstr>A127829219V_Data</vt:lpstr>
      <vt:lpstr>A127829219V_Latest</vt:lpstr>
      <vt:lpstr>A127829220C</vt:lpstr>
      <vt:lpstr>A127829220C_Data</vt:lpstr>
      <vt:lpstr>A127829220C_Latest</vt:lpstr>
      <vt:lpstr>A127829221F</vt:lpstr>
      <vt:lpstr>A127829221F_Data</vt:lpstr>
      <vt:lpstr>A127829221F_Latest</vt:lpstr>
      <vt:lpstr>A127829222J</vt:lpstr>
      <vt:lpstr>A127829222J_Data</vt:lpstr>
      <vt:lpstr>A127829222J_Latest</vt:lpstr>
      <vt:lpstr>A127829223K</vt:lpstr>
      <vt:lpstr>A127829223K_Data</vt:lpstr>
      <vt:lpstr>A127829223K_Latest</vt:lpstr>
      <vt:lpstr>A127829224L</vt:lpstr>
      <vt:lpstr>A127829224L_Data</vt:lpstr>
      <vt:lpstr>A127829224L_Latest</vt:lpstr>
      <vt:lpstr>A127829225R</vt:lpstr>
      <vt:lpstr>A127829225R_Data</vt:lpstr>
      <vt:lpstr>A127829225R_Latest</vt:lpstr>
      <vt:lpstr>A127829226T</vt:lpstr>
      <vt:lpstr>A127829226T_Data</vt:lpstr>
      <vt:lpstr>A127829226T_Latest</vt:lpstr>
      <vt:lpstr>A127829227V</vt:lpstr>
      <vt:lpstr>A127829227V_Data</vt:lpstr>
      <vt:lpstr>A127829227V_Latest</vt:lpstr>
      <vt:lpstr>A127829228W</vt:lpstr>
      <vt:lpstr>A127829228W_Data</vt:lpstr>
      <vt:lpstr>A127829228W_Latest</vt:lpstr>
      <vt:lpstr>A127829229X</vt:lpstr>
      <vt:lpstr>A127829229X_Data</vt:lpstr>
      <vt:lpstr>A127829229X_Latest</vt:lpstr>
      <vt:lpstr>A127829230J</vt:lpstr>
      <vt:lpstr>A127829230J_Data</vt:lpstr>
      <vt:lpstr>A127829230J_Latest</vt:lpstr>
      <vt:lpstr>A127829231K</vt:lpstr>
      <vt:lpstr>A127829231K_Data</vt:lpstr>
      <vt:lpstr>A127829231K_Latest</vt:lpstr>
      <vt:lpstr>A127829547F</vt:lpstr>
      <vt:lpstr>A127829547F_Data</vt:lpstr>
      <vt:lpstr>A127829547F_Latest</vt:lpstr>
      <vt:lpstr>A127829548J</vt:lpstr>
      <vt:lpstr>A127829548J_Data</vt:lpstr>
      <vt:lpstr>A127829548J_Latest</vt:lpstr>
      <vt:lpstr>A127829549K</vt:lpstr>
      <vt:lpstr>A127829549K_Data</vt:lpstr>
      <vt:lpstr>A127829549K_Latest</vt:lpstr>
      <vt:lpstr>A127829550V</vt:lpstr>
      <vt:lpstr>A127829550V_Data</vt:lpstr>
      <vt:lpstr>A127829550V_Latest</vt:lpstr>
      <vt:lpstr>A127829551W</vt:lpstr>
      <vt:lpstr>A127829551W_Data</vt:lpstr>
      <vt:lpstr>A127829551W_Latest</vt:lpstr>
      <vt:lpstr>A127829552X</vt:lpstr>
      <vt:lpstr>A127829552X_Data</vt:lpstr>
      <vt:lpstr>A127829552X_Latest</vt:lpstr>
      <vt:lpstr>A127829553A</vt:lpstr>
      <vt:lpstr>A127829553A_Data</vt:lpstr>
      <vt:lpstr>A127829553A_Latest</vt:lpstr>
      <vt:lpstr>A127829554C</vt:lpstr>
      <vt:lpstr>A127829554C_Data</vt:lpstr>
      <vt:lpstr>A127829554C_Latest</vt:lpstr>
      <vt:lpstr>A127829555F</vt:lpstr>
      <vt:lpstr>A127829555F_Data</vt:lpstr>
      <vt:lpstr>A127829555F_Latest</vt:lpstr>
      <vt:lpstr>A127829556J</vt:lpstr>
      <vt:lpstr>A127829556J_Data</vt:lpstr>
      <vt:lpstr>A127829556J_Latest</vt:lpstr>
      <vt:lpstr>A127829557K</vt:lpstr>
      <vt:lpstr>A127829557K_Data</vt:lpstr>
      <vt:lpstr>A127829557K_Latest</vt:lpstr>
      <vt:lpstr>A127829558L</vt:lpstr>
      <vt:lpstr>A127829558L_Data</vt:lpstr>
      <vt:lpstr>A127829558L_Latest</vt:lpstr>
      <vt:lpstr>A127829559R</vt:lpstr>
      <vt:lpstr>A127829559R_Data</vt:lpstr>
      <vt:lpstr>A127829559R_Latest</vt:lpstr>
      <vt:lpstr>A127829560X</vt:lpstr>
      <vt:lpstr>A127829560X_Data</vt:lpstr>
      <vt:lpstr>A127829560X_Latest</vt:lpstr>
      <vt:lpstr>A127829561A</vt:lpstr>
      <vt:lpstr>A127829561A_Data</vt:lpstr>
      <vt:lpstr>A127829561A_Latest</vt:lpstr>
      <vt:lpstr>A127829877W</vt:lpstr>
      <vt:lpstr>A127829877W_Data</vt:lpstr>
      <vt:lpstr>A127829877W_Latest</vt:lpstr>
      <vt:lpstr>A127829878X</vt:lpstr>
      <vt:lpstr>A127829878X_Data</vt:lpstr>
      <vt:lpstr>A127829878X_Latest</vt:lpstr>
      <vt:lpstr>A127829879A</vt:lpstr>
      <vt:lpstr>A127829879A_Data</vt:lpstr>
      <vt:lpstr>A127829879A_Latest</vt:lpstr>
      <vt:lpstr>A127829880K</vt:lpstr>
      <vt:lpstr>A127829880K_Data</vt:lpstr>
      <vt:lpstr>A127829880K_Latest</vt:lpstr>
      <vt:lpstr>A127829881L</vt:lpstr>
      <vt:lpstr>A127829881L_Data</vt:lpstr>
      <vt:lpstr>A127829881L_Latest</vt:lpstr>
      <vt:lpstr>A127829882R</vt:lpstr>
      <vt:lpstr>A127829882R_Data</vt:lpstr>
      <vt:lpstr>A127829882R_Latest</vt:lpstr>
      <vt:lpstr>A127829883T</vt:lpstr>
      <vt:lpstr>A127829883T_Data</vt:lpstr>
      <vt:lpstr>A127829883T_Latest</vt:lpstr>
      <vt:lpstr>A127829884V</vt:lpstr>
      <vt:lpstr>A127829884V_Data</vt:lpstr>
      <vt:lpstr>A127829884V_Latest</vt:lpstr>
      <vt:lpstr>A127829885W</vt:lpstr>
      <vt:lpstr>A127829885W_Data</vt:lpstr>
      <vt:lpstr>A127829885W_Latest</vt:lpstr>
      <vt:lpstr>A127829886X</vt:lpstr>
      <vt:lpstr>A127829886X_Data</vt:lpstr>
      <vt:lpstr>A127829886X_Latest</vt:lpstr>
      <vt:lpstr>A127829887A</vt:lpstr>
      <vt:lpstr>A127829887A_Data</vt:lpstr>
      <vt:lpstr>A127829887A_Latest</vt:lpstr>
      <vt:lpstr>A127829888C</vt:lpstr>
      <vt:lpstr>A127829888C_Data</vt:lpstr>
      <vt:lpstr>A127829888C_Latest</vt:lpstr>
      <vt:lpstr>A127829889F</vt:lpstr>
      <vt:lpstr>A127829889F_Data</vt:lpstr>
      <vt:lpstr>A127829889F_Latest</vt:lpstr>
      <vt:lpstr>A127829890R</vt:lpstr>
      <vt:lpstr>A127829890R_Data</vt:lpstr>
      <vt:lpstr>A127829890R_Latest</vt:lpstr>
      <vt:lpstr>A127829891T</vt:lpstr>
      <vt:lpstr>A127829891T_Data</vt:lpstr>
      <vt:lpstr>A127829891T_Latest</vt:lpstr>
      <vt:lpstr>A127829967A</vt:lpstr>
      <vt:lpstr>A127829967A_Data</vt:lpstr>
      <vt:lpstr>A127829967A_Latest</vt:lpstr>
      <vt:lpstr>A127829968C</vt:lpstr>
      <vt:lpstr>A127829968C_Data</vt:lpstr>
      <vt:lpstr>A127829968C_Latest</vt:lpstr>
      <vt:lpstr>A127829969F</vt:lpstr>
      <vt:lpstr>A127829969F_Data</vt:lpstr>
      <vt:lpstr>A127829969F_Latest</vt:lpstr>
      <vt:lpstr>A127829970R</vt:lpstr>
      <vt:lpstr>A127829970R_Data</vt:lpstr>
      <vt:lpstr>A127829970R_Latest</vt:lpstr>
      <vt:lpstr>A127829971T</vt:lpstr>
      <vt:lpstr>A127829971T_Data</vt:lpstr>
      <vt:lpstr>A127829971T_Latest</vt:lpstr>
      <vt:lpstr>A127829972V</vt:lpstr>
      <vt:lpstr>A127829972V_Data</vt:lpstr>
      <vt:lpstr>A127829972V_Latest</vt:lpstr>
      <vt:lpstr>A127829973W</vt:lpstr>
      <vt:lpstr>A127829973W_Data</vt:lpstr>
      <vt:lpstr>A127829973W_Latest</vt:lpstr>
      <vt:lpstr>A127829974X</vt:lpstr>
      <vt:lpstr>A127829974X_Data</vt:lpstr>
      <vt:lpstr>A127829974X_Latest</vt:lpstr>
      <vt:lpstr>A127829975A</vt:lpstr>
      <vt:lpstr>A127829975A_Data</vt:lpstr>
      <vt:lpstr>A127829975A_Latest</vt:lpstr>
      <vt:lpstr>A127829976C</vt:lpstr>
      <vt:lpstr>A127829976C_Data</vt:lpstr>
      <vt:lpstr>A127829976C_Latest</vt:lpstr>
      <vt:lpstr>A127829977F</vt:lpstr>
      <vt:lpstr>A127829977F_Data</vt:lpstr>
      <vt:lpstr>A127829977F_Latest</vt:lpstr>
      <vt:lpstr>A127829978J</vt:lpstr>
      <vt:lpstr>A127829978J_Data</vt:lpstr>
      <vt:lpstr>A127829978J_Latest</vt:lpstr>
      <vt:lpstr>A127829979K</vt:lpstr>
      <vt:lpstr>A127829979K_Data</vt:lpstr>
      <vt:lpstr>A127829979K_Latest</vt:lpstr>
      <vt:lpstr>A127829980V</vt:lpstr>
      <vt:lpstr>A127829980V_Data</vt:lpstr>
      <vt:lpstr>A127829980V_Latest</vt:lpstr>
      <vt:lpstr>A127829981W</vt:lpstr>
      <vt:lpstr>A127829981W_Data</vt:lpstr>
      <vt:lpstr>A127829981W_Latest</vt:lpstr>
      <vt:lpstr>A127829997R</vt:lpstr>
      <vt:lpstr>A127829997R_Data</vt:lpstr>
      <vt:lpstr>A127829997R_Latest</vt:lpstr>
      <vt:lpstr>A127829998T</vt:lpstr>
      <vt:lpstr>A127829998T_Data</vt:lpstr>
      <vt:lpstr>A127829998T_Latest</vt:lpstr>
      <vt:lpstr>A127829999V</vt:lpstr>
      <vt:lpstr>A127829999V_Data</vt:lpstr>
      <vt:lpstr>A127829999V_Latest</vt:lpstr>
      <vt:lpstr>A127830000X</vt:lpstr>
      <vt:lpstr>A127830000X_Data</vt:lpstr>
      <vt:lpstr>A127830000X_Latest</vt:lpstr>
      <vt:lpstr>A127830001A</vt:lpstr>
      <vt:lpstr>A127830001A_Data</vt:lpstr>
      <vt:lpstr>A127830001A_Latest</vt:lpstr>
      <vt:lpstr>A127830002C</vt:lpstr>
      <vt:lpstr>A127830002C_Data</vt:lpstr>
      <vt:lpstr>A127830002C_Latest</vt:lpstr>
      <vt:lpstr>A127830003F</vt:lpstr>
      <vt:lpstr>A127830003F_Data</vt:lpstr>
      <vt:lpstr>A127830003F_Latest</vt:lpstr>
      <vt:lpstr>A127830004J</vt:lpstr>
      <vt:lpstr>A127830004J_Data</vt:lpstr>
      <vt:lpstr>A127830004J_Latest</vt:lpstr>
      <vt:lpstr>A127830005K</vt:lpstr>
      <vt:lpstr>A127830005K_Data</vt:lpstr>
      <vt:lpstr>A127830005K_Latest</vt:lpstr>
      <vt:lpstr>A127830006L</vt:lpstr>
      <vt:lpstr>A127830006L_Data</vt:lpstr>
      <vt:lpstr>A127830006L_Latest</vt:lpstr>
      <vt:lpstr>A127830007R</vt:lpstr>
      <vt:lpstr>A127830007R_Data</vt:lpstr>
      <vt:lpstr>A127830007R_Latest</vt:lpstr>
      <vt:lpstr>A127830008T</vt:lpstr>
      <vt:lpstr>A127830008T_Data</vt:lpstr>
      <vt:lpstr>A127830008T_Latest</vt:lpstr>
      <vt:lpstr>A127830009V</vt:lpstr>
      <vt:lpstr>A127830009V_Data</vt:lpstr>
      <vt:lpstr>A127830009V_Latest</vt:lpstr>
      <vt:lpstr>A127830010C</vt:lpstr>
      <vt:lpstr>A127830010C_Data</vt:lpstr>
      <vt:lpstr>A127830010C_Latest</vt:lpstr>
      <vt:lpstr>A127830011F</vt:lpstr>
      <vt:lpstr>A127830011F_Data</vt:lpstr>
      <vt:lpstr>A127830011F_Latest</vt:lpstr>
      <vt:lpstr>A127830027X</vt:lpstr>
      <vt:lpstr>A127830027X_Data</vt:lpstr>
      <vt:lpstr>A127830027X_Latest</vt:lpstr>
      <vt:lpstr>A127830028A</vt:lpstr>
      <vt:lpstr>A127830028A_Data</vt:lpstr>
      <vt:lpstr>A127830028A_Latest</vt:lpstr>
      <vt:lpstr>A127830029C</vt:lpstr>
      <vt:lpstr>A127830029C_Data</vt:lpstr>
      <vt:lpstr>A127830029C_Latest</vt:lpstr>
      <vt:lpstr>A127830030L</vt:lpstr>
      <vt:lpstr>A127830030L_Data</vt:lpstr>
      <vt:lpstr>A127830030L_Latest</vt:lpstr>
      <vt:lpstr>A127830031R</vt:lpstr>
      <vt:lpstr>A127830031R_Data</vt:lpstr>
      <vt:lpstr>A127830031R_Latest</vt:lpstr>
      <vt:lpstr>A127830032T</vt:lpstr>
      <vt:lpstr>A127830032T_Data</vt:lpstr>
      <vt:lpstr>A127830032T_Latest</vt:lpstr>
      <vt:lpstr>A127830033V</vt:lpstr>
      <vt:lpstr>A127830033V_Data</vt:lpstr>
      <vt:lpstr>A127830033V_Latest</vt:lpstr>
      <vt:lpstr>A127830034W</vt:lpstr>
      <vt:lpstr>A127830034W_Data</vt:lpstr>
      <vt:lpstr>A127830034W_Latest</vt:lpstr>
      <vt:lpstr>A127830035X</vt:lpstr>
      <vt:lpstr>A127830035X_Data</vt:lpstr>
      <vt:lpstr>A127830035X_Latest</vt:lpstr>
      <vt:lpstr>A127830036A</vt:lpstr>
      <vt:lpstr>A127830036A_Data</vt:lpstr>
      <vt:lpstr>A127830036A_Latest</vt:lpstr>
      <vt:lpstr>A127830037C</vt:lpstr>
      <vt:lpstr>A127830037C_Data</vt:lpstr>
      <vt:lpstr>A127830037C_Latest</vt:lpstr>
      <vt:lpstr>A127830038F</vt:lpstr>
      <vt:lpstr>A127830038F_Data</vt:lpstr>
      <vt:lpstr>A127830038F_Latest</vt:lpstr>
      <vt:lpstr>A127830039J</vt:lpstr>
      <vt:lpstr>A127830039J_Data</vt:lpstr>
      <vt:lpstr>A127830039J_Latest</vt:lpstr>
      <vt:lpstr>A127830040T</vt:lpstr>
      <vt:lpstr>A127830040T_Data</vt:lpstr>
      <vt:lpstr>A127830040T_Latest</vt:lpstr>
      <vt:lpstr>A127830041V</vt:lpstr>
      <vt:lpstr>A127830041V_Data</vt:lpstr>
      <vt:lpstr>A127830041V_Latest</vt:lpstr>
      <vt:lpstr>A127830057L</vt:lpstr>
      <vt:lpstr>A127830057L_Data</vt:lpstr>
      <vt:lpstr>A127830057L_Latest</vt:lpstr>
      <vt:lpstr>A127830058R</vt:lpstr>
      <vt:lpstr>A127830058R_Data</vt:lpstr>
      <vt:lpstr>A127830058R_Latest</vt:lpstr>
      <vt:lpstr>A127830059T</vt:lpstr>
      <vt:lpstr>A127830059T_Data</vt:lpstr>
      <vt:lpstr>A127830059T_Latest</vt:lpstr>
      <vt:lpstr>A127830060A</vt:lpstr>
      <vt:lpstr>A127830060A_Data</vt:lpstr>
      <vt:lpstr>A127830060A_Latest</vt:lpstr>
      <vt:lpstr>A127830061C</vt:lpstr>
      <vt:lpstr>A127830061C_Data</vt:lpstr>
      <vt:lpstr>A127830061C_Latest</vt:lpstr>
      <vt:lpstr>A127830062F</vt:lpstr>
      <vt:lpstr>A127830062F_Data</vt:lpstr>
      <vt:lpstr>A127830062F_Latest</vt:lpstr>
      <vt:lpstr>A127830063J</vt:lpstr>
      <vt:lpstr>A127830063J_Data</vt:lpstr>
      <vt:lpstr>A127830063J_Latest</vt:lpstr>
      <vt:lpstr>A127830064K</vt:lpstr>
      <vt:lpstr>A127830064K_Data</vt:lpstr>
      <vt:lpstr>A127830064K_Latest</vt:lpstr>
      <vt:lpstr>A127830065L</vt:lpstr>
      <vt:lpstr>A127830065L_Data</vt:lpstr>
      <vt:lpstr>A127830065L_Latest</vt:lpstr>
      <vt:lpstr>A127830066R</vt:lpstr>
      <vt:lpstr>A127830066R_Data</vt:lpstr>
      <vt:lpstr>A127830066R_Latest</vt:lpstr>
      <vt:lpstr>A127830067T</vt:lpstr>
      <vt:lpstr>A127830067T_Data</vt:lpstr>
      <vt:lpstr>A127830067T_Latest</vt:lpstr>
      <vt:lpstr>A127830068V</vt:lpstr>
      <vt:lpstr>A127830068V_Data</vt:lpstr>
      <vt:lpstr>A127830068V_Latest</vt:lpstr>
      <vt:lpstr>A127830069W</vt:lpstr>
      <vt:lpstr>A127830069W_Data</vt:lpstr>
      <vt:lpstr>A127830069W_Latest</vt:lpstr>
      <vt:lpstr>A127830070F</vt:lpstr>
      <vt:lpstr>A127830070F_Data</vt:lpstr>
      <vt:lpstr>A127830070F_Latest</vt:lpstr>
      <vt:lpstr>A127830071J</vt:lpstr>
      <vt:lpstr>A127830071J_Data</vt:lpstr>
      <vt:lpstr>A127830071J_Latest</vt:lpstr>
      <vt:lpstr>A127830087A</vt:lpstr>
      <vt:lpstr>A127830087A_Data</vt:lpstr>
      <vt:lpstr>A127830087A_Latest</vt:lpstr>
      <vt:lpstr>A127830088C</vt:lpstr>
      <vt:lpstr>A127830088C_Data</vt:lpstr>
      <vt:lpstr>A127830088C_Latest</vt:lpstr>
      <vt:lpstr>A127830089F</vt:lpstr>
      <vt:lpstr>A127830089F_Data</vt:lpstr>
      <vt:lpstr>A127830089F_Latest</vt:lpstr>
      <vt:lpstr>A127830090R</vt:lpstr>
      <vt:lpstr>A127830090R_Data</vt:lpstr>
      <vt:lpstr>A127830090R_Latest</vt:lpstr>
      <vt:lpstr>A127830091T</vt:lpstr>
      <vt:lpstr>A127830091T_Data</vt:lpstr>
      <vt:lpstr>A127830091T_Latest</vt:lpstr>
      <vt:lpstr>A127830092V</vt:lpstr>
      <vt:lpstr>A127830092V_Data</vt:lpstr>
      <vt:lpstr>A127830092V_Latest</vt:lpstr>
      <vt:lpstr>A127830093W</vt:lpstr>
      <vt:lpstr>A127830093W_Data</vt:lpstr>
      <vt:lpstr>A127830093W_Latest</vt:lpstr>
      <vt:lpstr>A127830094X</vt:lpstr>
      <vt:lpstr>A127830094X_Data</vt:lpstr>
      <vt:lpstr>A127830094X_Latest</vt:lpstr>
      <vt:lpstr>A127830095A</vt:lpstr>
      <vt:lpstr>A127830095A_Data</vt:lpstr>
      <vt:lpstr>A127830095A_Latest</vt:lpstr>
      <vt:lpstr>A127830096C</vt:lpstr>
      <vt:lpstr>A127830096C_Data</vt:lpstr>
      <vt:lpstr>A127830096C_Latest</vt:lpstr>
      <vt:lpstr>A127830097F</vt:lpstr>
      <vt:lpstr>A127830097F_Data</vt:lpstr>
      <vt:lpstr>A127830097F_Latest</vt:lpstr>
      <vt:lpstr>A127830098J</vt:lpstr>
      <vt:lpstr>A127830098J_Data</vt:lpstr>
      <vt:lpstr>A127830098J_Latest</vt:lpstr>
      <vt:lpstr>A127830099K</vt:lpstr>
      <vt:lpstr>A127830099K_Data</vt:lpstr>
      <vt:lpstr>A127830099K_Latest</vt:lpstr>
      <vt:lpstr>A127830100J</vt:lpstr>
      <vt:lpstr>A127830100J_Data</vt:lpstr>
      <vt:lpstr>A127830100J_Latest</vt:lpstr>
      <vt:lpstr>A127830101K</vt:lpstr>
      <vt:lpstr>A127830101K_Data</vt:lpstr>
      <vt:lpstr>A127830101K_Latest</vt:lpstr>
      <vt:lpstr>A127830117C</vt:lpstr>
      <vt:lpstr>A127830117C_Data</vt:lpstr>
      <vt:lpstr>A127830117C_Latest</vt:lpstr>
      <vt:lpstr>A127830118F</vt:lpstr>
      <vt:lpstr>A127830118F_Data</vt:lpstr>
      <vt:lpstr>A127830118F_Latest</vt:lpstr>
      <vt:lpstr>A127830119J</vt:lpstr>
      <vt:lpstr>A127830119J_Data</vt:lpstr>
      <vt:lpstr>A127830119J_Latest</vt:lpstr>
      <vt:lpstr>A127830120T</vt:lpstr>
      <vt:lpstr>A127830120T_Data</vt:lpstr>
      <vt:lpstr>A127830120T_Latest</vt:lpstr>
      <vt:lpstr>A127830121V</vt:lpstr>
      <vt:lpstr>A127830121V_Data</vt:lpstr>
      <vt:lpstr>A127830121V_Latest</vt:lpstr>
      <vt:lpstr>A127830122W</vt:lpstr>
      <vt:lpstr>A127830122W_Data</vt:lpstr>
      <vt:lpstr>A127830122W_Latest</vt:lpstr>
      <vt:lpstr>A127830123X</vt:lpstr>
      <vt:lpstr>A127830123X_Data</vt:lpstr>
      <vt:lpstr>A127830123X_Latest</vt:lpstr>
      <vt:lpstr>A127830124A</vt:lpstr>
      <vt:lpstr>A127830124A_Data</vt:lpstr>
      <vt:lpstr>A127830124A_Latest</vt:lpstr>
      <vt:lpstr>A127830125C</vt:lpstr>
      <vt:lpstr>A127830125C_Data</vt:lpstr>
      <vt:lpstr>A127830125C_Latest</vt:lpstr>
      <vt:lpstr>A127830126F</vt:lpstr>
      <vt:lpstr>A127830126F_Data</vt:lpstr>
      <vt:lpstr>A127830126F_Latest</vt:lpstr>
      <vt:lpstr>A127830127J</vt:lpstr>
      <vt:lpstr>A127830127J_Data</vt:lpstr>
      <vt:lpstr>A127830127J_Latest</vt:lpstr>
      <vt:lpstr>A127830128K</vt:lpstr>
      <vt:lpstr>A127830128K_Data</vt:lpstr>
      <vt:lpstr>A127830128K_Latest</vt:lpstr>
      <vt:lpstr>A127830129L</vt:lpstr>
      <vt:lpstr>A127830129L_Data</vt:lpstr>
      <vt:lpstr>A127830129L_Latest</vt:lpstr>
      <vt:lpstr>A127830130W</vt:lpstr>
      <vt:lpstr>A127830130W_Data</vt:lpstr>
      <vt:lpstr>A127830130W_Latest</vt:lpstr>
      <vt:lpstr>A127830131X</vt:lpstr>
      <vt:lpstr>A127830131X_Data</vt:lpstr>
      <vt:lpstr>A127830131X_Latest</vt:lpstr>
      <vt:lpstr>A127830147T</vt:lpstr>
      <vt:lpstr>A127830147T_Data</vt:lpstr>
      <vt:lpstr>A127830147T_Latest</vt:lpstr>
      <vt:lpstr>A127830148V</vt:lpstr>
      <vt:lpstr>A127830148V_Data</vt:lpstr>
      <vt:lpstr>A127830148V_Latest</vt:lpstr>
      <vt:lpstr>A127830149W</vt:lpstr>
      <vt:lpstr>A127830149W_Data</vt:lpstr>
      <vt:lpstr>A127830149W_Latest</vt:lpstr>
      <vt:lpstr>A127830150F</vt:lpstr>
      <vt:lpstr>A127830150F_Data</vt:lpstr>
      <vt:lpstr>A127830150F_Latest</vt:lpstr>
      <vt:lpstr>A127830151J</vt:lpstr>
      <vt:lpstr>A127830151J_Data</vt:lpstr>
      <vt:lpstr>A127830151J_Latest</vt:lpstr>
      <vt:lpstr>A127830152K</vt:lpstr>
      <vt:lpstr>A127830152K_Data</vt:lpstr>
      <vt:lpstr>A127830152K_Latest</vt:lpstr>
      <vt:lpstr>A127830153L</vt:lpstr>
      <vt:lpstr>A127830153L_Data</vt:lpstr>
      <vt:lpstr>A127830153L_Latest</vt:lpstr>
      <vt:lpstr>A127830154R</vt:lpstr>
      <vt:lpstr>A127830154R_Data</vt:lpstr>
      <vt:lpstr>A127830154R_Latest</vt:lpstr>
      <vt:lpstr>A127830155T</vt:lpstr>
      <vt:lpstr>A127830155T_Data</vt:lpstr>
      <vt:lpstr>A127830155T_Latest</vt:lpstr>
      <vt:lpstr>A127830156V</vt:lpstr>
      <vt:lpstr>A127830156V_Data</vt:lpstr>
      <vt:lpstr>A127830156V_Latest</vt:lpstr>
      <vt:lpstr>A127830157W</vt:lpstr>
      <vt:lpstr>A127830157W_Data</vt:lpstr>
      <vt:lpstr>A127830157W_Latest</vt:lpstr>
      <vt:lpstr>A127830158X</vt:lpstr>
      <vt:lpstr>A127830158X_Data</vt:lpstr>
      <vt:lpstr>A127830158X_Latest</vt:lpstr>
      <vt:lpstr>A127830159A</vt:lpstr>
      <vt:lpstr>A127830159A_Data</vt:lpstr>
      <vt:lpstr>A127830159A_Latest</vt:lpstr>
      <vt:lpstr>A127830160K</vt:lpstr>
      <vt:lpstr>A127830160K_Data</vt:lpstr>
      <vt:lpstr>A127830160K_Latest</vt:lpstr>
      <vt:lpstr>A127830161L</vt:lpstr>
      <vt:lpstr>A127830161L_Data</vt:lpstr>
      <vt:lpstr>A127830161L_Latest</vt:lpstr>
      <vt:lpstr>A127830177F</vt:lpstr>
      <vt:lpstr>A127830177F_Data</vt:lpstr>
      <vt:lpstr>A127830177F_Latest</vt:lpstr>
      <vt:lpstr>A127830178J</vt:lpstr>
      <vt:lpstr>A127830178J_Data</vt:lpstr>
      <vt:lpstr>A127830178J_Latest</vt:lpstr>
      <vt:lpstr>A127830179K</vt:lpstr>
      <vt:lpstr>A127830179K_Data</vt:lpstr>
      <vt:lpstr>A127830179K_Latest</vt:lpstr>
      <vt:lpstr>A127830180V</vt:lpstr>
      <vt:lpstr>A127830180V_Data</vt:lpstr>
      <vt:lpstr>A127830180V_Latest</vt:lpstr>
      <vt:lpstr>A127830181W</vt:lpstr>
      <vt:lpstr>A127830181W_Data</vt:lpstr>
      <vt:lpstr>A127830181W_Latest</vt:lpstr>
      <vt:lpstr>A127830182X</vt:lpstr>
      <vt:lpstr>A127830182X_Data</vt:lpstr>
      <vt:lpstr>A127830182X_Latest</vt:lpstr>
      <vt:lpstr>A127830183A</vt:lpstr>
      <vt:lpstr>A127830183A_Data</vt:lpstr>
      <vt:lpstr>A127830183A_Latest</vt:lpstr>
      <vt:lpstr>A127830184C</vt:lpstr>
      <vt:lpstr>A127830184C_Data</vt:lpstr>
      <vt:lpstr>A127830184C_Latest</vt:lpstr>
      <vt:lpstr>A127830185F</vt:lpstr>
      <vt:lpstr>A127830185F_Data</vt:lpstr>
      <vt:lpstr>A127830185F_Latest</vt:lpstr>
      <vt:lpstr>A127830186J</vt:lpstr>
      <vt:lpstr>A127830186J_Data</vt:lpstr>
      <vt:lpstr>A127830186J_Latest</vt:lpstr>
      <vt:lpstr>A127830187K</vt:lpstr>
      <vt:lpstr>A127830187K_Data</vt:lpstr>
      <vt:lpstr>A127830187K_Latest</vt:lpstr>
      <vt:lpstr>A127830188L</vt:lpstr>
      <vt:lpstr>A127830188L_Data</vt:lpstr>
      <vt:lpstr>A127830188L_Latest</vt:lpstr>
      <vt:lpstr>A127830189R</vt:lpstr>
      <vt:lpstr>A127830189R_Data</vt:lpstr>
      <vt:lpstr>A127830189R_Latest</vt:lpstr>
      <vt:lpstr>A127830190X</vt:lpstr>
      <vt:lpstr>A127830190X_Data</vt:lpstr>
      <vt:lpstr>A127830190X_Latest</vt:lpstr>
      <vt:lpstr>A127830191A</vt:lpstr>
      <vt:lpstr>A127830191A_Data</vt:lpstr>
      <vt:lpstr>A127830191A_Latest</vt:lpstr>
      <vt:lpstr>A127830207J</vt:lpstr>
      <vt:lpstr>A127830207J_Data</vt:lpstr>
      <vt:lpstr>A127830207J_Latest</vt:lpstr>
      <vt:lpstr>A127830208K</vt:lpstr>
      <vt:lpstr>A127830208K_Data</vt:lpstr>
      <vt:lpstr>A127830208K_Latest</vt:lpstr>
      <vt:lpstr>A127830209L</vt:lpstr>
      <vt:lpstr>A127830209L_Data</vt:lpstr>
      <vt:lpstr>A127830209L_Latest</vt:lpstr>
      <vt:lpstr>A127830210W</vt:lpstr>
      <vt:lpstr>A127830210W_Data</vt:lpstr>
      <vt:lpstr>A127830210W_Latest</vt:lpstr>
      <vt:lpstr>A127830211X</vt:lpstr>
      <vt:lpstr>A127830211X_Data</vt:lpstr>
      <vt:lpstr>A127830211X_Latest</vt:lpstr>
      <vt:lpstr>A127830212A</vt:lpstr>
      <vt:lpstr>A127830212A_Data</vt:lpstr>
      <vt:lpstr>A127830212A_Latest</vt:lpstr>
      <vt:lpstr>A127830213C</vt:lpstr>
      <vt:lpstr>A127830213C_Data</vt:lpstr>
      <vt:lpstr>A127830213C_Latest</vt:lpstr>
      <vt:lpstr>A127830214F</vt:lpstr>
      <vt:lpstr>A127830214F_Data</vt:lpstr>
      <vt:lpstr>A127830214F_Latest</vt:lpstr>
      <vt:lpstr>A127830215J</vt:lpstr>
      <vt:lpstr>A127830215J_Data</vt:lpstr>
      <vt:lpstr>A127830215J_Latest</vt:lpstr>
      <vt:lpstr>A127830216K</vt:lpstr>
      <vt:lpstr>A127830216K_Data</vt:lpstr>
      <vt:lpstr>A127830216K_Latest</vt:lpstr>
      <vt:lpstr>A127830217L</vt:lpstr>
      <vt:lpstr>A127830217L_Data</vt:lpstr>
      <vt:lpstr>A127830217L_Latest</vt:lpstr>
      <vt:lpstr>A127830218R</vt:lpstr>
      <vt:lpstr>A127830218R_Data</vt:lpstr>
      <vt:lpstr>A127830218R_Latest</vt:lpstr>
      <vt:lpstr>A127830219T</vt:lpstr>
      <vt:lpstr>A127830219T_Data</vt:lpstr>
      <vt:lpstr>A127830219T_Latest</vt:lpstr>
      <vt:lpstr>A127830220A</vt:lpstr>
      <vt:lpstr>A127830220A_Data</vt:lpstr>
      <vt:lpstr>A127830220A_Latest</vt:lpstr>
      <vt:lpstr>A127830221C</vt:lpstr>
      <vt:lpstr>A127830221C_Data</vt:lpstr>
      <vt:lpstr>A127830221C_Latest</vt:lpstr>
      <vt:lpstr>A127830237W</vt:lpstr>
      <vt:lpstr>A127830237W_Data</vt:lpstr>
      <vt:lpstr>A127830237W_Latest</vt:lpstr>
      <vt:lpstr>A127830238X</vt:lpstr>
      <vt:lpstr>A127830238X_Data</vt:lpstr>
      <vt:lpstr>A127830238X_Latest</vt:lpstr>
      <vt:lpstr>A127830239A</vt:lpstr>
      <vt:lpstr>A127830239A_Data</vt:lpstr>
      <vt:lpstr>A127830239A_Latest</vt:lpstr>
      <vt:lpstr>A127830240K</vt:lpstr>
      <vt:lpstr>A127830240K_Data</vt:lpstr>
      <vt:lpstr>A127830240K_Latest</vt:lpstr>
      <vt:lpstr>A127830241L</vt:lpstr>
      <vt:lpstr>A127830241L_Data</vt:lpstr>
      <vt:lpstr>A127830241L_Latest</vt:lpstr>
      <vt:lpstr>A127830242R</vt:lpstr>
      <vt:lpstr>A127830242R_Data</vt:lpstr>
      <vt:lpstr>A127830242R_Latest</vt:lpstr>
      <vt:lpstr>A127830243T</vt:lpstr>
      <vt:lpstr>A127830243T_Data</vt:lpstr>
      <vt:lpstr>A127830243T_Latest</vt:lpstr>
      <vt:lpstr>A127830244V</vt:lpstr>
      <vt:lpstr>A127830244V_Data</vt:lpstr>
      <vt:lpstr>A127830244V_Latest</vt:lpstr>
      <vt:lpstr>A127830245W</vt:lpstr>
      <vt:lpstr>A127830245W_Data</vt:lpstr>
      <vt:lpstr>A127830245W_Latest</vt:lpstr>
      <vt:lpstr>A127830246X</vt:lpstr>
      <vt:lpstr>A127830246X_Data</vt:lpstr>
      <vt:lpstr>A127830246X_Latest</vt:lpstr>
      <vt:lpstr>A127830247A</vt:lpstr>
      <vt:lpstr>A127830247A_Data</vt:lpstr>
      <vt:lpstr>A127830247A_Latest</vt:lpstr>
      <vt:lpstr>A127830248C</vt:lpstr>
      <vt:lpstr>A127830248C_Data</vt:lpstr>
      <vt:lpstr>A127830248C_Latest</vt:lpstr>
      <vt:lpstr>A127830249F</vt:lpstr>
      <vt:lpstr>A127830249F_Data</vt:lpstr>
      <vt:lpstr>A127830249F_Latest</vt:lpstr>
      <vt:lpstr>A127830250R</vt:lpstr>
      <vt:lpstr>A127830250R_Data</vt:lpstr>
      <vt:lpstr>A127830250R_Latest</vt:lpstr>
      <vt:lpstr>A127830251T</vt:lpstr>
      <vt:lpstr>A127830251T_Data</vt:lpstr>
      <vt:lpstr>A127830251T_Latest</vt:lpstr>
      <vt:lpstr>A127830267K</vt:lpstr>
      <vt:lpstr>A127830267K_Data</vt:lpstr>
      <vt:lpstr>A127830267K_Latest</vt:lpstr>
      <vt:lpstr>A127830268L</vt:lpstr>
      <vt:lpstr>A127830268L_Data</vt:lpstr>
      <vt:lpstr>A127830268L_Latest</vt:lpstr>
      <vt:lpstr>A127830269R</vt:lpstr>
      <vt:lpstr>A127830269R_Data</vt:lpstr>
      <vt:lpstr>A127830269R_Latest</vt:lpstr>
      <vt:lpstr>A127830270X</vt:lpstr>
      <vt:lpstr>A127830270X_Data</vt:lpstr>
      <vt:lpstr>A127830270X_Latest</vt:lpstr>
      <vt:lpstr>A127830271A</vt:lpstr>
      <vt:lpstr>A127830271A_Data</vt:lpstr>
      <vt:lpstr>A127830271A_Latest</vt:lpstr>
      <vt:lpstr>A127830272C</vt:lpstr>
      <vt:lpstr>A127830272C_Data</vt:lpstr>
      <vt:lpstr>A127830272C_Latest</vt:lpstr>
      <vt:lpstr>A127830273F</vt:lpstr>
      <vt:lpstr>A127830273F_Data</vt:lpstr>
      <vt:lpstr>A127830273F_Latest</vt:lpstr>
      <vt:lpstr>A127830274J</vt:lpstr>
      <vt:lpstr>A127830274J_Data</vt:lpstr>
      <vt:lpstr>A127830274J_Latest</vt:lpstr>
      <vt:lpstr>A127830275K</vt:lpstr>
      <vt:lpstr>A127830275K_Data</vt:lpstr>
      <vt:lpstr>A127830275K_Latest</vt:lpstr>
      <vt:lpstr>A127830276L</vt:lpstr>
      <vt:lpstr>A127830276L_Data</vt:lpstr>
      <vt:lpstr>A127830276L_Latest</vt:lpstr>
      <vt:lpstr>A127830277R</vt:lpstr>
      <vt:lpstr>A127830277R_Data</vt:lpstr>
      <vt:lpstr>A127830277R_Latest</vt:lpstr>
      <vt:lpstr>A127830278T</vt:lpstr>
      <vt:lpstr>A127830278T_Data</vt:lpstr>
      <vt:lpstr>A127830278T_Latest</vt:lpstr>
      <vt:lpstr>A127830279V</vt:lpstr>
      <vt:lpstr>A127830279V_Data</vt:lpstr>
      <vt:lpstr>A127830279V_Latest</vt:lpstr>
      <vt:lpstr>A127830280C</vt:lpstr>
      <vt:lpstr>A127830280C_Data</vt:lpstr>
      <vt:lpstr>A127830280C_Latest</vt:lpstr>
      <vt:lpstr>A127830281F</vt:lpstr>
      <vt:lpstr>A127830281F_Data</vt:lpstr>
      <vt:lpstr>A127830281F_Latest</vt:lpstr>
      <vt:lpstr>A127830537X</vt:lpstr>
      <vt:lpstr>A127830537X_Data</vt:lpstr>
      <vt:lpstr>A127830537X_Latest</vt:lpstr>
      <vt:lpstr>A127830538A</vt:lpstr>
      <vt:lpstr>A127830538A_Data</vt:lpstr>
      <vt:lpstr>A127830538A_Latest</vt:lpstr>
      <vt:lpstr>A127830539C</vt:lpstr>
      <vt:lpstr>A127830539C_Data</vt:lpstr>
      <vt:lpstr>A127830539C_Latest</vt:lpstr>
      <vt:lpstr>A127830540L</vt:lpstr>
      <vt:lpstr>A127830540L_Data</vt:lpstr>
      <vt:lpstr>A127830540L_Latest</vt:lpstr>
      <vt:lpstr>A127830541R</vt:lpstr>
      <vt:lpstr>A127830541R_Data</vt:lpstr>
      <vt:lpstr>A127830541R_Latest</vt:lpstr>
      <vt:lpstr>A127830542T</vt:lpstr>
      <vt:lpstr>A127830542T_Data</vt:lpstr>
      <vt:lpstr>A127830542T_Latest</vt:lpstr>
      <vt:lpstr>A127830543V</vt:lpstr>
      <vt:lpstr>A127830543V_Data</vt:lpstr>
      <vt:lpstr>A127830543V_Latest</vt:lpstr>
      <vt:lpstr>A127830544W</vt:lpstr>
      <vt:lpstr>A127830544W_Data</vt:lpstr>
      <vt:lpstr>A127830544W_Latest</vt:lpstr>
      <vt:lpstr>A127830545X</vt:lpstr>
      <vt:lpstr>A127830545X_Data</vt:lpstr>
      <vt:lpstr>A127830545X_Latest</vt:lpstr>
      <vt:lpstr>A127830546A</vt:lpstr>
      <vt:lpstr>A127830546A_Data</vt:lpstr>
      <vt:lpstr>A127830546A_Latest</vt:lpstr>
      <vt:lpstr>A127830547C</vt:lpstr>
      <vt:lpstr>A127830547C_Data</vt:lpstr>
      <vt:lpstr>A127830547C_Latest</vt:lpstr>
      <vt:lpstr>A127830548F</vt:lpstr>
      <vt:lpstr>A127830548F_Data</vt:lpstr>
      <vt:lpstr>A127830548F_Latest</vt:lpstr>
      <vt:lpstr>A127830549J</vt:lpstr>
      <vt:lpstr>A127830549J_Data</vt:lpstr>
      <vt:lpstr>A127830549J_Latest</vt:lpstr>
      <vt:lpstr>A127830550T</vt:lpstr>
      <vt:lpstr>A127830550T_Data</vt:lpstr>
      <vt:lpstr>A127830550T_Latest</vt:lpstr>
      <vt:lpstr>A127830551V</vt:lpstr>
      <vt:lpstr>A127830551V_Data</vt:lpstr>
      <vt:lpstr>A127830551V_Latest</vt:lpstr>
      <vt:lpstr>A127830867R</vt:lpstr>
      <vt:lpstr>A127830867R_Data</vt:lpstr>
      <vt:lpstr>A127830867R_Latest</vt:lpstr>
      <vt:lpstr>A127830868T</vt:lpstr>
      <vt:lpstr>A127830868T_Data</vt:lpstr>
      <vt:lpstr>A127830868T_Latest</vt:lpstr>
      <vt:lpstr>A127830869V</vt:lpstr>
      <vt:lpstr>A127830869V_Data</vt:lpstr>
      <vt:lpstr>A127830869V_Latest</vt:lpstr>
      <vt:lpstr>A127830870C</vt:lpstr>
      <vt:lpstr>A127830870C_Data</vt:lpstr>
      <vt:lpstr>A127830870C_Latest</vt:lpstr>
      <vt:lpstr>A127830871F</vt:lpstr>
      <vt:lpstr>A127830871F_Data</vt:lpstr>
      <vt:lpstr>A127830871F_Latest</vt:lpstr>
      <vt:lpstr>A127830872J</vt:lpstr>
      <vt:lpstr>A127830872J_Data</vt:lpstr>
      <vt:lpstr>A127830872J_Latest</vt:lpstr>
      <vt:lpstr>A127830873K</vt:lpstr>
      <vt:lpstr>A127830873K_Data</vt:lpstr>
      <vt:lpstr>A127830873K_Latest</vt:lpstr>
      <vt:lpstr>A127830874L</vt:lpstr>
      <vt:lpstr>A127830874L_Data</vt:lpstr>
      <vt:lpstr>A127830874L_Latest</vt:lpstr>
      <vt:lpstr>A127830875R</vt:lpstr>
      <vt:lpstr>A127830875R_Data</vt:lpstr>
      <vt:lpstr>A127830875R_Latest</vt:lpstr>
      <vt:lpstr>A127830876T</vt:lpstr>
      <vt:lpstr>A127830876T_Data</vt:lpstr>
      <vt:lpstr>A127830876T_Latest</vt:lpstr>
      <vt:lpstr>A127830877V</vt:lpstr>
      <vt:lpstr>A127830877V_Data</vt:lpstr>
      <vt:lpstr>A127830877V_Latest</vt:lpstr>
      <vt:lpstr>A127830878W</vt:lpstr>
      <vt:lpstr>A127830878W_Data</vt:lpstr>
      <vt:lpstr>A127830878W_Latest</vt:lpstr>
      <vt:lpstr>A127830879X</vt:lpstr>
      <vt:lpstr>A127830879X_Data</vt:lpstr>
      <vt:lpstr>A127830879X_Latest</vt:lpstr>
      <vt:lpstr>A127830880J</vt:lpstr>
      <vt:lpstr>A127830880J_Data</vt:lpstr>
      <vt:lpstr>A127830880J_Latest</vt:lpstr>
      <vt:lpstr>A127830881K</vt:lpstr>
      <vt:lpstr>A127830881K_Data</vt:lpstr>
      <vt:lpstr>A127830881K_Latest</vt:lpstr>
      <vt:lpstr>A127831197J</vt:lpstr>
      <vt:lpstr>A127831197J_Data</vt:lpstr>
      <vt:lpstr>A127831197J_Latest</vt:lpstr>
      <vt:lpstr>A127831198K</vt:lpstr>
      <vt:lpstr>A127831198K_Data</vt:lpstr>
      <vt:lpstr>A127831198K_Latest</vt:lpstr>
      <vt:lpstr>A127831199L</vt:lpstr>
      <vt:lpstr>A127831199L_Data</vt:lpstr>
      <vt:lpstr>A127831199L_Latest</vt:lpstr>
      <vt:lpstr>A127831200K</vt:lpstr>
      <vt:lpstr>A127831200K_Data</vt:lpstr>
      <vt:lpstr>A127831200K_Latest</vt:lpstr>
      <vt:lpstr>A127831201L</vt:lpstr>
      <vt:lpstr>A127831201L_Data</vt:lpstr>
      <vt:lpstr>A127831201L_Latest</vt:lpstr>
      <vt:lpstr>A127831202R</vt:lpstr>
      <vt:lpstr>A127831202R_Data</vt:lpstr>
      <vt:lpstr>A127831202R_Latest</vt:lpstr>
      <vt:lpstr>A127831203T</vt:lpstr>
      <vt:lpstr>A127831203T_Data</vt:lpstr>
      <vt:lpstr>A127831203T_Latest</vt:lpstr>
      <vt:lpstr>A127831204V</vt:lpstr>
      <vt:lpstr>A127831204V_Data</vt:lpstr>
      <vt:lpstr>A127831204V_Latest</vt:lpstr>
      <vt:lpstr>A127831205W</vt:lpstr>
      <vt:lpstr>A127831205W_Data</vt:lpstr>
      <vt:lpstr>A127831205W_Latest</vt:lpstr>
      <vt:lpstr>A127831206X</vt:lpstr>
      <vt:lpstr>A127831206X_Data</vt:lpstr>
      <vt:lpstr>A127831206X_Latest</vt:lpstr>
      <vt:lpstr>A127831207A</vt:lpstr>
      <vt:lpstr>A127831207A_Data</vt:lpstr>
      <vt:lpstr>A127831207A_Latest</vt:lpstr>
      <vt:lpstr>A127831208C</vt:lpstr>
      <vt:lpstr>A127831208C_Data</vt:lpstr>
      <vt:lpstr>A127831208C_Latest</vt:lpstr>
      <vt:lpstr>A127831209F</vt:lpstr>
      <vt:lpstr>A127831209F_Data</vt:lpstr>
      <vt:lpstr>A127831209F_Latest</vt:lpstr>
      <vt:lpstr>A127831210R</vt:lpstr>
      <vt:lpstr>A127831210R_Data</vt:lpstr>
      <vt:lpstr>A127831210R_Latest</vt:lpstr>
      <vt:lpstr>A127831211T</vt:lpstr>
      <vt:lpstr>A127831211T_Data</vt:lpstr>
      <vt:lpstr>A127831211T_Latest</vt:lpstr>
      <vt:lpstr>A127831527L</vt:lpstr>
      <vt:lpstr>A127831527L_Data</vt:lpstr>
      <vt:lpstr>A127831527L_Latest</vt:lpstr>
      <vt:lpstr>A127831528R</vt:lpstr>
      <vt:lpstr>A127831528R_Data</vt:lpstr>
      <vt:lpstr>A127831528R_Latest</vt:lpstr>
      <vt:lpstr>A127831529T</vt:lpstr>
      <vt:lpstr>A127831529T_Data</vt:lpstr>
      <vt:lpstr>A127831529T_Latest</vt:lpstr>
      <vt:lpstr>A127831530A</vt:lpstr>
      <vt:lpstr>A127831530A_Data</vt:lpstr>
      <vt:lpstr>A127831530A_Latest</vt:lpstr>
      <vt:lpstr>A127831531C</vt:lpstr>
      <vt:lpstr>A127831531C_Data</vt:lpstr>
      <vt:lpstr>A127831531C_Latest</vt:lpstr>
      <vt:lpstr>A127831532F</vt:lpstr>
      <vt:lpstr>A127831532F_Data</vt:lpstr>
      <vt:lpstr>A127831532F_Latest</vt:lpstr>
      <vt:lpstr>A127831533J</vt:lpstr>
      <vt:lpstr>A127831533J_Data</vt:lpstr>
      <vt:lpstr>A127831533J_Latest</vt:lpstr>
      <vt:lpstr>A127831534K</vt:lpstr>
      <vt:lpstr>A127831534K_Data</vt:lpstr>
      <vt:lpstr>A127831534K_Latest</vt:lpstr>
      <vt:lpstr>A127831535L</vt:lpstr>
      <vt:lpstr>A127831535L_Data</vt:lpstr>
      <vt:lpstr>A127831535L_Latest</vt:lpstr>
      <vt:lpstr>A127831536R</vt:lpstr>
      <vt:lpstr>A127831536R_Data</vt:lpstr>
      <vt:lpstr>A127831536R_Latest</vt:lpstr>
      <vt:lpstr>A127831537T</vt:lpstr>
      <vt:lpstr>A127831537T_Data</vt:lpstr>
      <vt:lpstr>A127831537T_Latest</vt:lpstr>
      <vt:lpstr>A127831538V</vt:lpstr>
      <vt:lpstr>A127831538V_Data</vt:lpstr>
      <vt:lpstr>A127831538V_Latest</vt:lpstr>
      <vt:lpstr>A127831539W</vt:lpstr>
      <vt:lpstr>A127831539W_Data</vt:lpstr>
      <vt:lpstr>A127831539W_Latest</vt:lpstr>
      <vt:lpstr>A127831540F</vt:lpstr>
      <vt:lpstr>A127831540F_Data</vt:lpstr>
      <vt:lpstr>A127831540F_Latest</vt:lpstr>
      <vt:lpstr>A127831541J</vt:lpstr>
      <vt:lpstr>A127831541J_Data</vt:lpstr>
      <vt:lpstr>A127831541J_Latest</vt:lpstr>
      <vt:lpstr>A127831857C</vt:lpstr>
      <vt:lpstr>A127831857C_Data</vt:lpstr>
      <vt:lpstr>A127831857C_Latest</vt:lpstr>
      <vt:lpstr>A127831858F</vt:lpstr>
      <vt:lpstr>A127831858F_Data</vt:lpstr>
      <vt:lpstr>A127831858F_Latest</vt:lpstr>
      <vt:lpstr>A127831859J</vt:lpstr>
      <vt:lpstr>A127831859J_Data</vt:lpstr>
      <vt:lpstr>A127831859J_Latest</vt:lpstr>
      <vt:lpstr>A127831860T</vt:lpstr>
      <vt:lpstr>A127831860T_Data</vt:lpstr>
      <vt:lpstr>A127831860T_Latest</vt:lpstr>
      <vt:lpstr>A127831861V</vt:lpstr>
      <vt:lpstr>A127831861V_Data</vt:lpstr>
      <vt:lpstr>A127831861V_Latest</vt:lpstr>
      <vt:lpstr>A127831862W</vt:lpstr>
      <vt:lpstr>A127831862W_Data</vt:lpstr>
      <vt:lpstr>A127831862W_Latest</vt:lpstr>
      <vt:lpstr>A127831863X</vt:lpstr>
      <vt:lpstr>A127831863X_Data</vt:lpstr>
      <vt:lpstr>A127831863X_Latest</vt:lpstr>
      <vt:lpstr>A127831864A</vt:lpstr>
      <vt:lpstr>A127831864A_Data</vt:lpstr>
      <vt:lpstr>A127831864A_Latest</vt:lpstr>
      <vt:lpstr>A127831865C</vt:lpstr>
      <vt:lpstr>A127831865C_Data</vt:lpstr>
      <vt:lpstr>A127831865C_Latest</vt:lpstr>
      <vt:lpstr>A127831866F</vt:lpstr>
      <vt:lpstr>A127831866F_Data</vt:lpstr>
      <vt:lpstr>A127831866F_Latest</vt:lpstr>
      <vt:lpstr>A127831867J</vt:lpstr>
      <vt:lpstr>A127831867J_Data</vt:lpstr>
      <vt:lpstr>A127831867J_Latest</vt:lpstr>
      <vt:lpstr>A127831868K</vt:lpstr>
      <vt:lpstr>A127831868K_Data</vt:lpstr>
      <vt:lpstr>A127831868K_Latest</vt:lpstr>
      <vt:lpstr>A127831869L</vt:lpstr>
      <vt:lpstr>A127831869L_Data</vt:lpstr>
      <vt:lpstr>A127831869L_Latest</vt:lpstr>
      <vt:lpstr>A127831870W</vt:lpstr>
      <vt:lpstr>A127831870W_Data</vt:lpstr>
      <vt:lpstr>A127831870W_Latest</vt:lpstr>
      <vt:lpstr>A127831871X</vt:lpstr>
      <vt:lpstr>A127831871X_Data</vt:lpstr>
      <vt:lpstr>A127831871X_Latest</vt:lpstr>
      <vt:lpstr>A127832187W</vt:lpstr>
      <vt:lpstr>A127832187W_Data</vt:lpstr>
      <vt:lpstr>A127832187W_Latest</vt:lpstr>
      <vt:lpstr>A127832188X</vt:lpstr>
      <vt:lpstr>A127832188X_Data</vt:lpstr>
      <vt:lpstr>A127832188X_Latest</vt:lpstr>
      <vt:lpstr>A127832189A</vt:lpstr>
      <vt:lpstr>A127832189A_Data</vt:lpstr>
      <vt:lpstr>A127832189A_Latest</vt:lpstr>
      <vt:lpstr>A127832190K</vt:lpstr>
      <vt:lpstr>A127832190K_Data</vt:lpstr>
      <vt:lpstr>A127832190K_Latest</vt:lpstr>
      <vt:lpstr>A127832191L</vt:lpstr>
      <vt:lpstr>A127832191L_Data</vt:lpstr>
      <vt:lpstr>A127832191L_Latest</vt:lpstr>
      <vt:lpstr>A127832192R</vt:lpstr>
      <vt:lpstr>A127832192R_Data</vt:lpstr>
      <vt:lpstr>A127832192R_Latest</vt:lpstr>
      <vt:lpstr>A127832193T</vt:lpstr>
      <vt:lpstr>A127832193T_Data</vt:lpstr>
      <vt:lpstr>A127832193T_Latest</vt:lpstr>
      <vt:lpstr>A127832194V</vt:lpstr>
      <vt:lpstr>A127832194V_Data</vt:lpstr>
      <vt:lpstr>A127832194V_Latest</vt:lpstr>
      <vt:lpstr>A127832195W</vt:lpstr>
      <vt:lpstr>A127832195W_Data</vt:lpstr>
      <vt:lpstr>A127832195W_Latest</vt:lpstr>
      <vt:lpstr>A127832196X</vt:lpstr>
      <vt:lpstr>A127832196X_Data</vt:lpstr>
      <vt:lpstr>A127832196X_Latest</vt:lpstr>
      <vt:lpstr>A127832197A</vt:lpstr>
      <vt:lpstr>A127832197A_Data</vt:lpstr>
      <vt:lpstr>A127832197A_Latest</vt:lpstr>
      <vt:lpstr>A127832198C</vt:lpstr>
      <vt:lpstr>A127832198C_Data</vt:lpstr>
      <vt:lpstr>A127832198C_Latest</vt:lpstr>
      <vt:lpstr>A127832199F</vt:lpstr>
      <vt:lpstr>A127832199F_Data</vt:lpstr>
      <vt:lpstr>A127832199F_Latest</vt:lpstr>
      <vt:lpstr>A127832200C</vt:lpstr>
      <vt:lpstr>A127832200C_Data</vt:lpstr>
      <vt:lpstr>A127832200C_Latest</vt:lpstr>
      <vt:lpstr>A127832201F</vt:lpstr>
      <vt:lpstr>A127832201F_Data</vt:lpstr>
      <vt:lpstr>A127832201F_Latest</vt:lpstr>
      <vt:lpstr>A127832517A</vt:lpstr>
      <vt:lpstr>A127832517A_Data</vt:lpstr>
      <vt:lpstr>A127832517A_Latest</vt:lpstr>
      <vt:lpstr>A127832518C</vt:lpstr>
      <vt:lpstr>A127832518C_Data</vt:lpstr>
      <vt:lpstr>A127832518C_Latest</vt:lpstr>
      <vt:lpstr>A127832519F</vt:lpstr>
      <vt:lpstr>A127832519F_Data</vt:lpstr>
      <vt:lpstr>A127832519F_Latest</vt:lpstr>
      <vt:lpstr>A127832520R</vt:lpstr>
      <vt:lpstr>A127832520R_Data</vt:lpstr>
      <vt:lpstr>A127832520R_Latest</vt:lpstr>
      <vt:lpstr>A127832521T</vt:lpstr>
      <vt:lpstr>A127832521T_Data</vt:lpstr>
      <vt:lpstr>A127832521T_Latest</vt:lpstr>
      <vt:lpstr>A127832522V</vt:lpstr>
      <vt:lpstr>A127832522V_Data</vt:lpstr>
      <vt:lpstr>A127832522V_Latest</vt:lpstr>
      <vt:lpstr>A127832523W</vt:lpstr>
      <vt:lpstr>A127832523W_Data</vt:lpstr>
      <vt:lpstr>A127832523W_Latest</vt:lpstr>
      <vt:lpstr>A127832524X</vt:lpstr>
      <vt:lpstr>A127832524X_Data</vt:lpstr>
      <vt:lpstr>A127832524X_Latest</vt:lpstr>
      <vt:lpstr>A127832525A</vt:lpstr>
      <vt:lpstr>A127832525A_Data</vt:lpstr>
      <vt:lpstr>A127832525A_Latest</vt:lpstr>
      <vt:lpstr>A127832526C</vt:lpstr>
      <vt:lpstr>A127832526C_Data</vt:lpstr>
      <vt:lpstr>A127832526C_Latest</vt:lpstr>
      <vt:lpstr>A127832527F</vt:lpstr>
      <vt:lpstr>A127832527F_Data</vt:lpstr>
      <vt:lpstr>A127832527F_Latest</vt:lpstr>
      <vt:lpstr>A127832528J</vt:lpstr>
      <vt:lpstr>A127832528J_Data</vt:lpstr>
      <vt:lpstr>A127832528J_Latest</vt:lpstr>
      <vt:lpstr>A127832529K</vt:lpstr>
      <vt:lpstr>A127832529K_Data</vt:lpstr>
      <vt:lpstr>A127832529K_Latest</vt:lpstr>
      <vt:lpstr>A127832530V</vt:lpstr>
      <vt:lpstr>A127832530V_Data</vt:lpstr>
      <vt:lpstr>A127832530V_Latest</vt:lpstr>
      <vt:lpstr>A127832531W</vt:lpstr>
      <vt:lpstr>A127832531W_Data</vt:lpstr>
      <vt:lpstr>A127832531W_Latest</vt:lpstr>
      <vt:lpstr>A127832847T</vt:lpstr>
      <vt:lpstr>A127832847T_Data</vt:lpstr>
      <vt:lpstr>A127832847T_Latest</vt:lpstr>
      <vt:lpstr>A127832848V</vt:lpstr>
      <vt:lpstr>A127832848V_Data</vt:lpstr>
      <vt:lpstr>A127832848V_Latest</vt:lpstr>
      <vt:lpstr>A127832849W</vt:lpstr>
      <vt:lpstr>A127832849W_Data</vt:lpstr>
      <vt:lpstr>A127832849W_Latest</vt:lpstr>
      <vt:lpstr>A127832850F</vt:lpstr>
      <vt:lpstr>A127832850F_Data</vt:lpstr>
      <vt:lpstr>A127832850F_Latest</vt:lpstr>
      <vt:lpstr>A127832851J</vt:lpstr>
      <vt:lpstr>A127832851J_Data</vt:lpstr>
      <vt:lpstr>A127832851J_Latest</vt:lpstr>
      <vt:lpstr>A127832852K</vt:lpstr>
      <vt:lpstr>A127832852K_Data</vt:lpstr>
      <vt:lpstr>A127832852K_Latest</vt:lpstr>
      <vt:lpstr>A127832853L</vt:lpstr>
      <vt:lpstr>A127832853L_Data</vt:lpstr>
      <vt:lpstr>A127832853L_Latest</vt:lpstr>
      <vt:lpstr>A127832854R</vt:lpstr>
      <vt:lpstr>A127832854R_Data</vt:lpstr>
      <vt:lpstr>A127832854R_Latest</vt:lpstr>
      <vt:lpstr>A127832855T</vt:lpstr>
      <vt:lpstr>A127832855T_Data</vt:lpstr>
      <vt:lpstr>A127832855T_Latest</vt:lpstr>
      <vt:lpstr>A127832856V</vt:lpstr>
      <vt:lpstr>A127832856V_Data</vt:lpstr>
      <vt:lpstr>A127832856V_Latest</vt:lpstr>
      <vt:lpstr>A127832857W</vt:lpstr>
      <vt:lpstr>A127832857W_Data</vt:lpstr>
      <vt:lpstr>A127832857W_Latest</vt:lpstr>
      <vt:lpstr>A127832858X</vt:lpstr>
      <vt:lpstr>A127832858X_Data</vt:lpstr>
      <vt:lpstr>A127832858X_Latest</vt:lpstr>
      <vt:lpstr>A127832859A</vt:lpstr>
      <vt:lpstr>A127832859A_Data</vt:lpstr>
      <vt:lpstr>A127832859A_Latest</vt:lpstr>
      <vt:lpstr>A127832860K</vt:lpstr>
      <vt:lpstr>A127832860K_Data</vt:lpstr>
      <vt:lpstr>A127832860K_Latest</vt:lpstr>
      <vt:lpstr>A127832861L</vt:lpstr>
      <vt:lpstr>A127832861L_Data</vt:lpstr>
      <vt:lpstr>A127832861L_Latest</vt:lpstr>
      <vt:lpstr>A127832937W</vt:lpstr>
      <vt:lpstr>A127832937W_Data</vt:lpstr>
      <vt:lpstr>A127832937W_Latest</vt:lpstr>
      <vt:lpstr>A127832938X</vt:lpstr>
      <vt:lpstr>A127832938X_Data</vt:lpstr>
      <vt:lpstr>A127832938X_Latest</vt:lpstr>
      <vt:lpstr>A127832939A</vt:lpstr>
      <vt:lpstr>A127832939A_Data</vt:lpstr>
      <vt:lpstr>A127832939A_Latest</vt:lpstr>
      <vt:lpstr>A127832940K</vt:lpstr>
      <vt:lpstr>A127832940K_Data</vt:lpstr>
      <vt:lpstr>A127832940K_Latest</vt:lpstr>
      <vt:lpstr>A127832941L</vt:lpstr>
      <vt:lpstr>A127832941L_Data</vt:lpstr>
      <vt:lpstr>A127832941L_Latest</vt:lpstr>
      <vt:lpstr>A127832942R</vt:lpstr>
      <vt:lpstr>A127832942R_Data</vt:lpstr>
      <vt:lpstr>A127832942R_Latest</vt:lpstr>
      <vt:lpstr>A127832943T</vt:lpstr>
      <vt:lpstr>A127832943T_Data</vt:lpstr>
      <vt:lpstr>A127832943T_Latest</vt:lpstr>
      <vt:lpstr>A127832944V</vt:lpstr>
      <vt:lpstr>A127832944V_Data</vt:lpstr>
      <vt:lpstr>A127832944V_Latest</vt:lpstr>
      <vt:lpstr>A127832945W</vt:lpstr>
      <vt:lpstr>A127832945W_Data</vt:lpstr>
      <vt:lpstr>A127832945W_Latest</vt:lpstr>
      <vt:lpstr>A127832946X</vt:lpstr>
      <vt:lpstr>A127832946X_Data</vt:lpstr>
      <vt:lpstr>A127832946X_Latest</vt:lpstr>
      <vt:lpstr>A127832947A</vt:lpstr>
      <vt:lpstr>A127832947A_Data</vt:lpstr>
      <vt:lpstr>A127832947A_Latest</vt:lpstr>
      <vt:lpstr>A127832948C</vt:lpstr>
      <vt:lpstr>A127832948C_Data</vt:lpstr>
      <vt:lpstr>A127832948C_Latest</vt:lpstr>
      <vt:lpstr>A127832949F</vt:lpstr>
      <vt:lpstr>A127832949F_Data</vt:lpstr>
      <vt:lpstr>A127832949F_Latest</vt:lpstr>
      <vt:lpstr>A127832950R</vt:lpstr>
      <vt:lpstr>A127832950R_Data</vt:lpstr>
      <vt:lpstr>A127832950R_Latest</vt:lpstr>
      <vt:lpstr>A127832951T</vt:lpstr>
      <vt:lpstr>A127832951T_Data</vt:lpstr>
      <vt:lpstr>A127832951T_Latest</vt:lpstr>
      <vt:lpstr>A127832967K</vt:lpstr>
      <vt:lpstr>A127832967K_Data</vt:lpstr>
      <vt:lpstr>A127832967K_Latest</vt:lpstr>
      <vt:lpstr>A127832968L</vt:lpstr>
      <vt:lpstr>A127832968L_Data</vt:lpstr>
      <vt:lpstr>A127832968L_Latest</vt:lpstr>
      <vt:lpstr>A127832969R</vt:lpstr>
      <vt:lpstr>A127832969R_Data</vt:lpstr>
      <vt:lpstr>A127832969R_Latest</vt:lpstr>
      <vt:lpstr>A127832970X</vt:lpstr>
      <vt:lpstr>A127832970X_Data</vt:lpstr>
      <vt:lpstr>A127832970X_Latest</vt:lpstr>
      <vt:lpstr>A127832971A</vt:lpstr>
      <vt:lpstr>A127832971A_Data</vt:lpstr>
      <vt:lpstr>A127832971A_Latest</vt:lpstr>
      <vt:lpstr>A127832972C</vt:lpstr>
      <vt:lpstr>A127832972C_Data</vt:lpstr>
      <vt:lpstr>A127832972C_Latest</vt:lpstr>
      <vt:lpstr>A127832973F</vt:lpstr>
      <vt:lpstr>A127832973F_Data</vt:lpstr>
      <vt:lpstr>A127832973F_Latest</vt:lpstr>
      <vt:lpstr>A127832974J</vt:lpstr>
      <vt:lpstr>A127832974J_Data</vt:lpstr>
      <vt:lpstr>A127832974J_Latest</vt:lpstr>
      <vt:lpstr>A127832975K</vt:lpstr>
      <vt:lpstr>A127832975K_Data</vt:lpstr>
      <vt:lpstr>A127832975K_Latest</vt:lpstr>
      <vt:lpstr>A127832976L</vt:lpstr>
      <vt:lpstr>A127832976L_Data</vt:lpstr>
      <vt:lpstr>A127832976L_Latest</vt:lpstr>
      <vt:lpstr>A127832977R</vt:lpstr>
      <vt:lpstr>A127832977R_Data</vt:lpstr>
      <vt:lpstr>A127832977R_Latest</vt:lpstr>
      <vt:lpstr>A127832978T</vt:lpstr>
      <vt:lpstr>A127832978T_Data</vt:lpstr>
      <vt:lpstr>A127832978T_Latest</vt:lpstr>
      <vt:lpstr>A127832979V</vt:lpstr>
      <vt:lpstr>A127832979V_Data</vt:lpstr>
      <vt:lpstr>A127832979V_Latest</vt:lpstr>
      <vt:lpstr>A127832980C</vt:lpstr>
      <vt:lpstr>A127832980C_Data</vt:lpstr>
      <vt:lpstr>A127832980C_Latest</vt:lpstr>
      <vt:lpstr>A127832981F</vt:lpstr>
      <vt:lpstr>A127832981F_Data</vt:lpstr>
      <vt:lpstr>A127832981F_Latest</vt:lpstr>
      <vt:lpstr>A127832997X</vt:lpstr>
      <vt:lpstr>A127832997X_Data</vt:lpstr>
      <vt:lpstr>A127832997X_Latest</vt:lpstr>
      <vt:lpstr>A127832998A</vt:lpstr>
      <vt:lpstr>A127832998A_Data</vt:lpstr>
      <vt:lpstr>A127832998A_Latest</vt:lpstr>
      <vt:lpstr>A127832999C</vt:lpstr>
      <vt:lpstr>A127832999C_Data</vt:lpstr>
      <vt:lpstr>A127832999C_Latest</vt:lpstr>
      <vt:lpstr>A127833000C</vt:lpstr>
      <vt:lpstr>A127833000C_Data</vt:lpstr>
      <vt:lpstr>A127833000C_Latest</vt:lpstr>
      <vt:lpstr>A127833001F</vt:lpstr>
      <vt:lpstr>A127833001F_Data</vt:lpstr>
      <vt:lpstr>A127833001F_Latest</vt:lpstr>
      <vt:lpstr>A127833002J</vt:lpstr>
      <vt:lpstr>A127833002J_Data</vt:lpstr>
      <vt:lpstr>A127833002J_Latest</vt:lpstr>
      <vt:lpstr>A127833003K</vt:lpstr>
      <vt:lpstr>A127833003K_Data</vt:lpstr>
      <vt:lpstr>A127833003K_Latest</vt:lpstr>
      <vt:lpstr>A127833004L</vt:lpstr>
      <vt:lpstr>A127833004L_Data</vt:lpstr>
      <vt:lpstr>A127833004L_Latest</vt:lpstr>
      <vt:lpstr>A127833005R</vt:lpstr>
      <vt:lpstr>A127833005R_Data</vt:lpstr>
      <vt:lpstr>A127833005R_Latest</vt:lpstr>
      <vt:lpstr>A127833006T</vt:lpstr>
      <vt:lpstr>A127833006T_Data</vt:lpstr>
      <vt:lpstr>A127833006T_Latest</vt:lpstr>
      <vt:lpstr>A127833007V</vt:lpstr>
      <vt:lpstr>A127833007V_Data</vt:lpstr>
      <vt:lpstr>A127833007V_Latest</vt:lpstr>
      <vt:lpstr>A127833008W</vt:lpstr>
      <vt:lpstr>A127833008W_Data</vt:lpstr>
      <vt:lpstr>A127833008W_Latest</vt:lpstr>
      <vt:lpstr>A127833009X</vt:lpstr>
      <vt:lpstr>A127833009X_Data</vt:lpstr>
      <vt:lpstr>A127833009X_Latest</vt:lpstr>
      <vt:lpstr>A127833010J</vt:lpstr>
      <vt:lpstr>A127833010J_Data</vt:lpstr>
      <vt:lpstr>A127833010J_Latest</vt:lpstr>
      <vt:lpstr>A127833011K</vt:lpstr>
      <vt:lpstr>A127833011K_Data</vt:lpstr>
      <vt:lpstr>A127833011K_Latest</vt:lpstr>
      <vt:lpstr>A127833027C</vt:lpstr>
      <vt:lpstr>A127833027C_Data</vt:lpstr>
      <vt:lpstr>A127833027C_Latest</vt:lpstr>
      <vt:lpstr>A127833028F</vt:lpstr>
      <vt:lpstr>A127833028F_Data</vt:lpstr>
      <vt:lpstr>A127833028F_Latest</vt:lpstr>
      <vt:lpstr>A127833029J</vt:lpstr>
      <vt:lpstr>A127833029J_Data</vt:lpstr>
      <vt:lpstr>A127833029J_Latest</vt:lpstr>
      <vt:lpstr>A127833030T</vt:lpstr>
      <vt:lpstr>A127833030T_Data</vt:lpstr>
      <vt:lpstr>A127833030T_Latest</vt:lpstr>
      <vt:lpstr>A127833031V</vt:lpstr>
      <vt:lpstr>A127833031V_Data</vt:lpstr>
      <vt:lpstr>A127833031V_Latest</vt:lpstr>
      <vt:lpstr>A127833032W</vt:lpstr>
      <vt:lpstr>A127833032W_Data</vt:lpstr>
      <vt:lpstr>A127833032W_Latest</vt:lpstr>
      <vt:lpstr>A127833033X</vt:lpstr>
      <vt:lpstr>A127833033X_Data</vt:lpstr>
      <vt:lpstr>A127833033X_Latest</vt:lpstr>
      <vt:lpstr>A127833034A</vt:lpstr>
      <vt:lpstr>A127833034A_Data</vt:lpstr>
      <vt:lpstr>A127833034A_Latest</vt:lpstr>
      <vt:lpstr>A127833035C</vt:lpstr>
      <vt:lpstr>A127833035C_Data</vt:lpstr>
      <vt:lpstr>A127833035C_Latest</vt:lpstr>
      <vt:lpstr>A127833036F</vt:lpstr>
      <vt:lpstr>A127833036F_Data</vt:lpstr>
      <vt:lpstr>A127833036F_Latest</vt:lpstr>
      <vt:lpstr>A127833037J</vt:lpstr>
      <vt:lpstr>A127833037J_Data</vt:lpstr>
      <vt:lpstr>A127833037J_Latest</vt:lpstr>
      <vt:lpstr>A127833038K</vt:lpstr>
      <vt:lpstr>A127833038K_Data</vt:lpstr>
      <vt:lpstr>A127833038K_Latest</vt:lpstr>
      <vt:lpstr>A127833039L</vt:lpstr>
      <vt:lpstr>A127833039L_Data</vt:lpstr>
      <vt:lpstr>A127833039L_Latest</vt:lpstr>
      <vt:lpstr>A127833040W</vt:lpstr>
      <vt:lpstr>A127833040W_Data</vt:lpstr>
      <vt:lpstr>A127833040W_Latest</vt:lpstr>
      <vt:lpstr>A127833041X</vt:lpstr>
      <vt:lpstr>A127833041X_Data</vt:lpstr>
      <vt:lpstr>A127833041X_Latest</vt:lpstr>
      <vt:lpstr>A127833057T</vt:lpstr>
      <vt:lpstr>A127833057T_Data</vt:lpstr>
      <vt:lpstr>A127833057T_Latest</vt:lpstr>
      <vt:lpstr>A127833058V</vt:lpstr>
      <vt:lpstr>A127833058V_Data</vt:lpstr>
      <vt:lpstr>A127833058V_Latest</vt:lpstr>
      <vt:lpstr>A127833059W</vt:lpstr>
      <vt:lpstr>A127833059W_Data</vt:lpstr>
      <vt:lpstr>A127833059W_Latest</vt:lpstr>
      <vt:lpstr>A127833060F</vt:lpstr>
      <vt:lpstr>A127833060F_Data</vt:lpstr>
      <vt:lpstr>A127833060F_Latest</vt:lpstr>
      <vt:lpstr>A127833061J</vt:lpstr>
      <vt:lpstr>A127833061J_Data</vt:lpstr>
      <vt:lpstr>A127833061J_Latest</vt:lpstr>
      <vt:lpstr>A127833062K</vt:lpstr>
      <vt:lpstr>A127833062K_Data</vt:lpstr>
      <vt:lpstr>A127833062K_Latest</vt:lpstr>
      <vt:lpstr>A127833063L</vt:lpstr>
      <vt:lpstr>A127833063L_Data</vt:lpstr>
      <vt:lpstr>A127833063L_Latest</vt:lpstr>
      <vt:lpstr>A127833064R</vt:lpstr>
      <vt:lpstr>A127833064R_Data</vt:lpstr>
      <vt:lpstr>A127833064R_Latest</vt:lpstr>
      <vt:lpstr>A127833065T</vt:lpstr>
      <vt:lpstr>A127833065T_Data</vt:lpstr>
      <vt:lpstr>A127833065T_Latest</vt:lpstr>
      <vt:lpstr>A127833066V</vt:lpstr>
      <vt:lpstr>A127833066V_Data</vt:lpstr>
      <vt:lpstr>A127833066V_Latest</vt:lpstr>
      <vt:lpstr>A127833067W</vt:lpstr>
      <vt:lpstr>A127833067W_Data</vt:lpstr>
      <vt:lpstr>A127833067W_Latest</vt:lpstr>
      <vt:lpstr>A127833068X</vt:lpstr>
      <vt:lpstr>A127833068X_Data</vt:lpstr>
      <vt:lpstr>A127833068X_Latest</vt:lpstr>
      <vt:lpstr>A127833069A</vt:lpstr>
      <vt:lpstr>A127833069A_Data</vt:lpstr>
      <vt:lpstr>A127833069A_Latest</vt:lpstr>
      <vt:lpstr>A127833070K</vt:lpstr>
      <vt:lpstr>A127833070K_Data</vt:lpstr>
      <vt:lpstr>A127833070K_Latest</vt:lpstr>
      <vt:lpstr>A127833071L</vt:lpstr>
      <vt:lpstr>A127833071L_Data</vt:lpstr>
      <vt:lpstr>A127833071L_Latest</vt:lpstr>
      <vt:lpstr>A127833087F</vt:lpstr>
      <vt:lpstr>A127833087F_Data</vt:lpstr>
      <vt:lpstr>A127833087F_Latest</vt:lpstr>
      <vt:lpstr>A127833088J</vt:lpstr>
      <vt:lpstr>A127833088J_Data</vt:lpstr>
      <vt:lpstr>A127833088J_Latest</vt:lpstr>
      <vt:lpstr>A127833089K</vt:lpstr>
      <vt:lpstr>A127833089K_Data</vt:lpstr>
      <vt:lpstr>A127833089K_Latest</vt:lpstr>
      <vt:lpstr>A127833090V</vt:lpstr>
      <vt:lpstr>A127833090V_Data</vt:lpstr>
      <vt:lpstr>A127833090V_Latest</vt:lpstr>
      <vt:lpstr>A127833091W</vt:lpstr>
      <vt:lpstr>A127833091W_Data</vt:lpstr>
      <vt:lpstr>A127833091W_Latest</vt:lpstr>
      <vt:lpstr>A127833092X</vt:lpstr>
      <vt:lpstr>A127833092X_Data</vt:lpstr>
      <vt:lpstr>A127833092X_Latest</vt:lpstr>
      <vt:lpstr>A127833093A</vt:lpstr>
      <vt:lpstr>A127833093A_Data</vt:lpstr>
      <vt:lpstr>A127833093A_Latest</vt:lpstr>
      <vt:lpstr>A127833094C</vt:lpstr>
      <vt:lpstr>A127833094C_Data</vt:lpstr>
      <vt:lpstr>A127833094C_Latest</vt:lpstr>
      <vt:lpstr>A127833095F</vt:lpstr>
      <vt:lpstr>A127833095F_Data</vt:lpstr>
      <vt:lpstr>A127833095F_Latest</vt:lpstr>
      <vt:lpstr>A127833096J</vt:lpstr>
      <vt:lpstr>A127833096J_Data</vt:lpstr>
      <vt:lpstr>A127833096J_Latest</vt:lpstr>
      <vt:lpstr>A127833097K</vt:lpstr>
      <vt:lpstr>A127833097K_Data</vt:lpstr>
      <vt:lpstr>A127833097K_Latest</vt:lpstr>
      <vt:lpstr>A127833098L</vt:lpstr>
      <vt:lpstr>A127833098L_Data</vt:lpstr>
      <vt:lpstr>A127833098L_Latest</vt:lpstr>
      <vt:lpstr>A127833099R</vt:lpstr>
      <vt:lpstr>A127833099R_Data</vt:lpstr>
      <vt:lpstr>A127833099R_Latest</vt:lpstr>
      <vt:lpstr>A127833100L</vt:lpstr>
      <vt:lpstr>A127833100L_Data</vt:lpstr>
      <vt:lpstr>A127833100L_Latest</vt:lpstr>
      <vt:lpstr>A127833101R</vt:lpstr>
      <vt:lpstr>A127833101R_Data</vt:lpstr>
      <vt:lpstr>A127833101R_Latest</vt:lpstr>
      <vt:lpstr>A127833117J</vt:lpstr>
      <vt:lpstr>A127833117J_Data</vt:lpstr>
      <vt:lpstr>A127833117J_Latest</vt:lpstr>
      <vt:lpstr>A127833118K</vt:lpstr>
      <vt:lpstr>A127833118K_Data</vt:lpstr>
      <vt:lpstr>A127833118K_Latest</vt:lpstr>
      <vt:lpstr>A127833119L</vt:lpstr>
      <vt:lpstr>A127833119L_Data</vt:lpstr>
      <vt:lpstr>A127833119L_Latest</vt:lpstr>
      <vt:lpstr>A127833120W</vt:lpstr>
      <vt:lpstr>A127833120W_Data</vt:lpstr>
      <vt:lpstr>A127833120W_Latest</vt:lpstr>
      <vt:lpstr>A127833121X</vt:lpstr>
      <vt:lpstr>A127833121X_Data</vt:lpstr>
      <vt:lpstr>A127833121X_Latest</vt:lpstr>
      <vt:lpstr>A127833122A</vt:lpstr>
      <vt:lpstr>A127833122A_Data</vt:lpstr>
      <vt:lpstr>A127833122A_Latest</vt:lpstr>
      <vt:lpstr>A127833123C</vt:lpstr>
      <vt:lpstr>A127833123C_Data</vt:lpstr>
      <vt:lpstr>A127833123C_Latest</vt:lpstr>
      <vt:lpstr>A127833124F</vt:lpstr>
      <vt:lpstr>A127833124F_Data</vt:lpstr>
      <vt:lpstr>A127833124F_Latest</vt:lpstr>
      <vt:lpstr>A127833125J</vt:lpstr>
      <vt:lpstr>A127833125J_Data</vt:lpstr>
      <vt:lpstr>A127833125J_Latest</vt:lpstr>
      <vt:lpstr>A127833126K</vt:lpstr>
      <vt:lpstr>A127833126K_Data</vt:lpstr>
      <vt:lpstr>A127833126K_Latest</vt:lpstr>
      <vt:lpstr>A127833127L</vt:lpstr>
      <vt:lpstr>A127833127L_Data</vt:lpstr>
      <vt:lpstr>A127833127L_Latest</vt:lpstr>
      <vt:lpstr>A127833128R</vt:lpstr>
      <vt:lpstr>A127833128R_Data</vt:lpstr>
      <vt:lpstr>A127833128R_Latest</vt:lpstr>
      <vt:lpstr>A127833129T</vt:lpstr>
      <vt:lpstr>A127833129T_Data</vt:lpstr>
      <vt:lpstr>A127833129T_Latest</vt:lpstr>
      <vt:lpstr>A127833130A</vt:lpstr>
      <vt:lpstr>A127833130A_Data</vt:lpstr>
      <vt:lpstr>A127833130A_Latest</vt:lpstr>
      <vt:lpstr>A127833131C</vt:lpstr>
      <vt:lpstr>A127833131C_Data</vt:lpstr>
      <vt:lpstr>A127833131C_Latest</vt:lpstr>
      <vt:lpstr>A127833147W</vt:lpstr>
      <vt:lpstr>A127833147W_Data</vt:lpstr>
      <vt:lpstr>A127833147W_Latest</vt:lpstr>
      <vt:lpstr>A127833148X</vt:lpstr>
      <vt:lpstr>A127833148X_Data</vt:lpstr>
      <vt:lpstr>A127833148X_Latest</vt:lpstr>
      <vt:lpstr>A127833149A</vt:lpstr>
      <vt:lpstr>A127833149A_Data</vt:lpstr>
      <vt:lpstr>A127833149A_Latest</vt:lpstr>
      <vt:lpstr>A127833150K</vt:lpstr>
      <vt:lpstr>A127833150K_Data</vt:lpstr>
      <vt:lpstr>A127833150K_Latest</vt:lpstr>
      <vt:lpstr>A127833151L</vt:lpstr>
      <vt:lpstr>A127833151L_Data</vt:lpstr>
      <vt:lpstr>A127833151L_Latest</vt:lpstr>
      <vt:lpstr>A127833152R</vt:lpstr>
      <vt:lpstr>A127833152R_Data</vt:lpstr>
      <vt:lpstr>A127833152R_Latest</vt:lpstr>
      <vt:lpstr>A127833153T</vt:lpstr>
      <vt:lpstr>A127833153T_Data</vt:lpstr>
      <vt:lpstr>A127833153T_Latest</vt:lpstr>
      <vt:lpstr>A127833154V</vt:lpstr>
      <vt:lpstr>A127833154V_Data</vt:lpstr>
      <vt:lpstr>A127833154V_Latest</vt:lpstr>
      <vt:lpstr>A127833155W</vt:lpstr>
      <vt:lpstr>A127833155W_Data</vt:lpstr>
      <vt:lpstr>A127833155W_Latest</vt:lpstr>
      <vt:lpstr>A127833156X</vt:lpstr>
      <vt:lpstr>A127833156X_Data</vt:lpstr>
      <vt:lpstr>A127833156X_Latest</vt:lpstr>
      <vt:lpstr>A127833157A</vt:lpstr>
      <vt:lpstr>A127833157A_Data</vt:lpstr>
      <vt:lpstr>A127833157A_Latest</vt:lpstr>
      <vt:lpstr>A127833158C</vt:lpstr>
      <vt:lpstr>A127833158C_Data</vt:lpstr>
      <vt:lpstr>A127833158C_Latest</vt:lpstr>
      <vt:lpstr>A127833159F</vt:lpstr>
      <vt:lpstr>A127833159F_Data</vt:lpstr>
      <vt:lpstr>A127833159F_Latest</vt:lpstr>
      <vt:lpstr>A127833160R</vt:lpstr>
      <vt:lpstr>A127833160R_Data</vt:lpstr>
      <vt:lpstr>A127833160R_Latest</vt:lpstr>
      <vt:lpstr>A127833161T</vt:lpstr>
      <vt:lpstr>A127833161T_Data</vt:lpstr>
      <vt:lpstr>A127833161T_Latest</vt:lpstr>
      <vt:lpstr>A127833177K</vt:lpstr>
      <vt:lpstr>A127833177K_Data</vt:lpstr>
      <vt:lpstr>A127833177K_Latest</vt:lpstr>
      <vt:lpstr>A127833178L</vt:lpstr>
      <vt:lpstr>A127833178L_Data</vt:lpstr>
      <vt:lpstr>A127833178L_Latest</vt:lpstr>
      <vt:lpstr>A127833179R</vt:lpstr>
      <vt:lpstr>A127833179R_Data</vt:lpstr>
      <vt:lpstr>A127833179R_Latest</vt:lpstr>
      <vt:lpstr>A127833180X</vt:lpstr>
      <vt:lpstr>A127833180X_Data</vt:lpstr>
      <vt:lpstr>A127833180X_Latest</vt:lpstr>
      <vt:lpstr>A127833181A</vt:lpstr>
      <vt:lpstr>A127833181A_Data</vt:lpstr>
      <vt:lpstr>A127833181A_Latest</vt:lpstr>
      <vt:lpstr>A127833182C</vt:lpstr>
      <vt:lpstr>A127833182C_Data</vt:lpstr>
      <vt:lpstr>A127833182C_Latest</vt:lpstr>
      <vt:lpstr>A127833183F</vt:lpstr>
      <vt:lpstr>A127833183F_Data</vt:lpstr>
      <vt:lpstr>A127833183F_Latest</vt:lpstr>
      <vt:lpstr>A127833184J</vt:lpstr>
      <vt:lpstr>A127833184J_Data</vt:lpstr>
      <vt:lpstr>A127833184J_Latest</vt:lpstr>
      <vt:lpstr>A127833185K</vt:lpstr>
      <vt:lpstr>A127833185K_Data</vt:lpstr>
      <vt:lpstr>A127833185K_Latest</vt:lpstr>
      <vt:lpstr>A127833186L</vt:lpstr>
      <vt:lpstr>A127833186L_Data</vt:lpstr>
      <vt:lpstr>A127833186L_Latest</vt:lpstr>
      <vt:lpstr>A127833187R</vt:lpstr>
      <vt:lpstr>A127833187R_Data</vt:lpstr>
      <vt:lpstr>A127833187R_Latest</vt:lpstr>
      <vt:lpstr>A127833188T</vt:lpstr>
      <vt:lpstr>A127833188T_Data</vt:lpstr>
      <vt:lpstr>A127833188T_Latest</vt:lpstr>
      <vt:lpstr>A127833189V</vt:lpstr>
      <vt:lpstr>A127833189V_Data</vt:lpstr>
      <vt:lpstr>A127833189V_Latest</vt:lpstr>
      <vt:lpstr>A127833190C</vt:lpstr>
      <vt:lpstr>A127833190C_Data</vt:lpstr>
      <vt:lpstr>A127833190C_Latest</vt:lpstr>
      <vt:lpstr>A127833191F</vt:lpstr>
      <vt:lpstr>A127833191F_Data</vt:lpstr>
      <vt:lpstr>A127833191F_Latest</vt:lpstr>
      <vt:lpstr>A127833207L</vt:lpstr>
      <vt:lpstr>A127833207L_Data</vt:lpstr>
      <vt:lpstr>A127833207L_Latest</vt:lpstr>
      <vt:lpstr>A127833208R</vt:lpstr>
      <vt:lpstr>A127833208R_Data</vt:lpstr>
      <vt:lpstr>A127833208R_Latest</vt:lpstr>
      <vt:lpstr>A127833209T</vt:lpstr>
      <vt:lpstr>A127833209T_Data</vt:lpstr>
      <vt:lpstr>A127833209T_Latest</vt:lpstr>
      <vt:lpstr>A127833210A</vt:lpstr>
      <vt:lpstr>A127833210A_Data</vt:lpstr>
      <vt:lpstr>A127833210A_Latest</vt:lpstr>
      <vt:lpstr>A127833211C</vt:lpstr>
      <vt:lpstr>A127833211C_Data</vt:lpstr>
      <vt:lpstr>A127833211C_Latest</vt:lpstr>
      <vt:lpstr>A127833212F</vt:lpstr>
      <vt:lpstr>A127833212F_Data</vt:lpstr>
      <vt:lpstr>A127833212F_Latest</vt:lpstr>
      <vt:lpstr>A127833213J</vt:lpstr>
      <vt:lpstr>A127833213J_Data</vt:lpstr>
      <vt:lpstr>A127833213J_Latest</vt:lpstr>
      <vt:lpstr>A127833214K</vt:lpstr>
      <vt:lpstr>A127833214K_Data</vt:lpstr>
      <vt:lpstr>A127833214K_Latest</vt:lpstr>
      <vt:lpstr>A127833215L</vt:lpstr>
      <vt:lpstr>A127833215L_Data</vt:lpstr>
      <vt:lpstr>A127833215L_Latest</vt:lpstr>
      <vt:lpstr>A127833216R</vt:lpstr>
      <vt:lpstr>A127833216R_Data</vt:lpstr>
      <vt:lpstr>A127833216R_Latest</vt:lpstr>
      <vt:lpstr>A127833217T</vt:lpstr>
      <vt:lpstr>A127833217T_Data</vt:lpstr>
      <vt:lpstr>A127833217T_Latest</vt:lpstr>
      <vt:lpstr>A127833218V</vt:lpstr>
      <vt:lpstr>A127833218V_Data</vt:lpstr>
      <vt:lpstr>A127833218V_Latest</vt:lpstr>
      <vt:lpstr>A127833219W</vt:lpstr>
      <vt:lpstr>A127833219W_Data</vt:lpstr>
      <vt:lpstr>A127833219W_Latest</vt:lpstr>
      <vt:lpstr>A127833220F</vt:lpstr>
      <vt:lpstr>A127833220F_Data</vt:lpstr>
      <vt:lpstr>A127833220F_Latest</vt:lpstr>
      <vt:lpstr>A127833221J</vt:lpstr>
      <vt:lpstr>A127833221J_Data</vt:lpstr>
      <vt:lpstr>A127833221J_Latest</vt:lpstr>
      <vt:lpstr>A127833237A</vt:lpstr>
      <vt:lpstr>A127833237A_Data</vt:lpstr>
      <vt:lpstr>A127833237A_Latest</vt:lpstr>
      <vt:lpstr>A127833238C</vt:lpstr>
      <vt:lpstr>A127833238C_Data</vt:lpstr>
      <vt:lpstr>A127833238C_Latest</vt:lpstr>
      <vt:lpstr>A127833239F</vt:lpstr>
      <vt:lpstr>A127833239F_Data</vt:lpstr>
      <vt:lpstr>A127833239F_Latest</vt:lpstr>
      <vt:lpstr>A127833240R</vt:lpstr>
      <vt:lpstr>A127833240R_Data</vt:lpstr>
      <vt:lpstr>A127833240R_Latest</vt:lpstr>
      <vt:lpstr>A127833241T</vt:lpstr>
      <vt:lpstr>A127833241T_Data</vt:lpstr>
      <vt:lpstr>A127833241T_Latest</vt:lpstr>
      <vt:lpstr>A127833242V</vt:lpstr>
      <vt:lpstr>A127833242V_Data</vt:lpstr>
      <vt:lpstr>A127833242V_Latest</vt:lpstr>
      <vt:lpstr>A127833243W</vt:lpstr>
      <vt:lpstr>A127833243W_Data</vt:lpstr>
      <vt:lpstr>A127833243W_Latest</vt:lpstr>
      <vt:lpstr>A127833244X</vt:lpstr>
      <vt:lpstr>A127833244X_Data</vt:lpstr>
      <vt:lpstr>A127833244X_Latest</vt:lpstr>
      <vt:lpstr>A127833245A</vt:lpstr>
      <vt:lpstr>A127833245A_Data</vt:lpstr>
      <vt:lpstr>A127833245A_Latest</vt:lpstr>
      <vt:lpstr>A127833246C</vt:lpstr>
      <vt:lpstr>A127833246C_Data</vt:lpstr>
      <vt:lpstr>A127833246C_Latest</vt:lpstr>
      <vt:lpstr>A127833247F</vt:lpstr>
      <vt:lpstr>A127833247F_Data</vt:lpstr>
      <vt:lpstr>A127833247F_Latest</vt:lpstr>
      <vt:lpstr>A127833248J</vt:lpstr>
      <vt:lpstr>A127833248J_Data</vt:lpstr>
      <vt:lpstr>A127833248J_Latest</vt:lpstr>
      <vt:lpstr>A127833249K</vt:lpstr>
      <vt:lpstr>A127833249K_Data</vt:lpstr>
      <vt:lpstr>A127833249K_Latest</vt:lpstr>
      <vt:lpstr>A127833250V</vt:lpstr>
      <vt:lpstr>A127833250V_Data</vt:lpstr>
      <vt:lpstr>A127833250V_Latest</vt:lpstr>
      <vt:lpstr>A127833251W</vt:lpstr>
      <vt:lpstr>A127833251W_Data</vt:lpstr>
      <vt:lpstr>A127833251W_Latest</vt:lpstr>
      <vt:lpstr>A127833507R</vt:lpstr>
      <vt:lpstr>A127833507R_Data</vt:lpstr>
      <vt:lpstr>A127833507R_Latest</vt:lpstr>
      <vt:lpstr>A127833508T</vt:lpstr>
      <vt:lpstr>A127833508T_Data</vt:lpstr>
      <vt:lpstr>A127833508T_Latest</vt:lpstr>
      <vt:lpstr>A127833509V</vt:lpstr>
      <vt:lpstr>A127833509V_Data</vt:lpstr>
      <vt:lpstr>A127833509V_Latest</vt:lpstr>
      <vt:lpstr>A127833510C</vt:lpstr>
      <vt:lpstr>A127833510C_Data</vt:lpstr>
      <vt:lpstr>A127833510C_Latest</vt:lpstr>
      <vt:lpstr>A127833511F</vt:lpstr>
      <vt:lpstr>A127833511F_Data</vt:lpstr>
      <vt:lpstr>A127833511F_Latest</vt:lpstr>
      <vt:lpstr>A127833512J</vt:lpstr>
      <vt:lpstr>A127833512J_Data</vt:lpstr>
      <vt:lpstr>A127833512J_Latest</vt:lpstr>
      <vt:lpstr>A127833513K</vt:lpstr>
      <vt:lpstr>A127833513K_Data</vt:lpstr>
      <vt:lpstr>A127833513K_Latest</vt:lpstr>
      <vt:lpstr>A127833514L</vt:lpstr>
      <vt:lpstr>A127833514L_Data</vt:lpstr>
      <vt:lpstr>A127833514L_Latest</vt:lpstr>
      <vt:lpstr>A127833515R</vt:lpstr>
      <vt:lpstr>A127833515R_Data</vt:lpstr>
      <vt:lpstr>A127833515R_Latest</vt:lpstr>
      <vt:lpstr>A127833516T</vt:lpstr>
      <vt:lpstr>A127833516T_Data</vt:lpstr>
      <vt:lpstr>A127833516T_Latest</vt:lpstr>
      <vt:lpstr>A127833517V</vt:lpstr>
      <vt:lpstr>A127833517V_Data</vt:lpstr>
      <vt:lpstr>A127833517V_Latest</vt:lpstr>
      <vt:lpstr>A127833518W</vt:lpstr>
      <vt:lpstr>A127833518W_Data</vt:lpstr>
      <vt:lpstr>A127833518W_Latest</vt:lpstr>
      <vt:lpstr>A127833519X</vt:lpstr>
      <vt:lpstr>A127833519X_Data</vt:lpstr>
      <vt:lpstr>A127833519X_Latest</vt:lpstr>
      <vt:lpstr>A127833520J</vt:lpstr>
      <vt:lpstr>A127833520J_Data</vt:lpstr>
      <vt:lpstr>A127833520J_Latest</vt:lpstr>
      <vt:lpstr>A127833521K</vt:lpstr>
      <vt:lpstr>A127833521K_Data</vt:lpstr>
      <vt:lpstr>A127833521K_Latest</vt:lpstr>
      <vt:lpstr>A127833837F</vt:lpstr>
      <vt:lpstr>A127833837F_Data</vt:lpstr>
      <vt:lpstr>A127833837F_Latest</vt:lpstr>
      <vt:lpstr>A127833838J</vt:lpstr>
      <vt:lpstr>A127833838J_Data</vt:lpstr>
      <vt:lpstr>A127833838J_Latest</vt:lpstr>
      <vt:lpstr>A127833839K</vt:lpstr>
      <vt:lpstr>A127833839K_Data</vt:lpstr>
      <vt:lpstr>A127833839K_Latest</vt:lpstr>
      <vt:lpstr>A127833840V</vt:lpstr>
      <vt:lpstr>A127833840V_Data</vt:lpstr>
      <vt:lpstr>A127833840V_Latest</vt:lpstr>
      <vt:lpstr>A127833841W</vt:lpstr>
      <vt:lpstr>A127833841W_Data</vt:lpstr>
      <vt:lpstr>A127833841W_Latest</vt:lpstr>
      <vt:lpstr>A127833842X</vt:lpstr>
      <vt:lpstr>A127833842X_Data</vt:lpstr>
      <vt:lpstr>A127833842X_Latest</vt:lpstr>
      <vt:lpstr>A127833843A</vt:lpstr>
      <vt:lpstr>A127833843A_Data</vt:lpstr>
      <vt:lpstr>A127833843A_Latest</vt:lpstr>
      <vt:lpstr>A127833844C</vt:lpstr>
      <vt:lpstr>A127833844C_Data</vt:lpstr>
      <vt:lpstr>A127833844C_Latest</vt:lpstr>
      <vt:lpstr>A127833845F</vt:lpstr>
      <vt:lpstr>A127833845F_Data</vt:lpstr>
      <vt:lpstr>A127833845F_Latest</vt:lpstr>
      <vt:lpstr>A127833846J</vt:lpstr>
      <vt:lpstr>A127833846J_Data</vt:lpstr>
      <vt:lpstr>A127833846J_Latest</vt:lpstr>
      <vt:lpstr>A127833847K</vt:lpstr>
      <vt:lpstr>A127833847K_Data</vt:lpstr>
      <vt:lpstr>A127833847K_Latest</vt:lpstr>
      <vt:lpstr>A127833848L</vt:lpstr>
      <vt:lpstr>A127833848L_Data</vt:lpstr>
      <vt:lpstr>A127833848L_Latest</vt:lpstr>
      <vt:lpstr>A127833849R</vt:lpstr>
      <vt:lpstr>A127833849R_Data</vt:lpstr>
      <vt:lpstr>A127833849R_Latest</vt:lpstr>
      <vt:lpstr>A127833850X</vt:lpstr>
      <vt:lpstr>A127833850X_Data</vt:lpstr>
      <vt:lpstr>A127833850X_Latest</vt:lpstr>
      <vt:lpstr>A127833851A</vt:lpstr>
      <vt:lpstr>A127833851A_Data</vt:lpstr>
      <vt:lpstr>A127833851A_Latest</vt:lpstr>
      <vt:lpstr>A127834167X</vt:lpstr>
      <vt:lpstr>A127834167X_Data</vt:lpstr>
      <vt:lpstr>A127834167X_Latest</vt:lpstr>
      <vt:lpstr>A127834168A</vt:lpstr>
      <vt:lpstr>A127834168A_Data</vt:lpstr>
      <vt:lpstr>A127834168A_Latest</vt:lpstr>
      <vt:lpstr>A127834169C</vt:lpstr>
      <vt:lpstr>A127834169C_Data</vt:lpstr>
      <vt:lpstr>A127834169C_Latest</vt:lpstr>
      <vt:lpstr>A127834170L</vt:lpstr>
      <vt:lpstr>A127834170L_Data</vt:lpstr>
      <vt:lpstr>A127834170L_Latest</vt:lpstr>
      <vt:lpstr>A127834171R</vt:lpstr>
      <vt:lpstr>A127834171R_Data</vt:lpstr>
      <vt:lpstr>A127834171R_Latest</vt:lpstr>
      <vt:lpstr>A127834172T</vt:lpstr>
      <vt:lpstr>A127834172T_Data</vt:lpstr>
      <vt:lpstr>A127834172T_Latest</vt:lpstr>
      <vt:lpstr>A127834173V</vt:lpstr>
      <vt:lpstr>A127834173V_Data</vt:lpstr>
      <vt:lpstr>A127834173V_Latest</vt:lpstr>
      <vt:lpstr>A127834174W</vt:lpstr>
      <vt:lpstr>A127834174W_Data</vt:lpstr>
      <vt:lpstr>A127834174W_Latest</vt:lpstr>
      <vt:lpstr>A127834175X</vt:lpstr>
      <vt:lpstr>A127834175X_Data</vt:lpstr>
      <vt:lpstr>A127834175X_Latest</vt:lpstr>
      <vt:lpstr>A127834176A</vt:lpstr>
      <vt:lpstr>A127834176A_Data</vt:lpstr>
      <vt:lpstr>A127834176A_Latest</vt:lpstr>
      <vt:lpstr>A127834177C</vt:lpstr>
      <vt:lpstr>A127834177C_Data</vt:lpstr>
      <vt:lpstr>A127834177C_Latest</vt:lpstr>
      <vt:lpstr>A127834178F</vt:lpstr>
      <vt:lpstr>A127834178F_Data</vt:lpstr>
      <vt:lpstr>A127834178F_Latest</vt:lpstr>
      <vt:lpstr>A127834179J</vt:lpstr>
      <vt:lpstr>A127834179J_Data</vt:lpstr>
      <vt:lpstr>A127834179J_Latest</vt:lpstr>
      <vt:lpstr>A127834180T</vt:lpstr>
      <vt:lpstr>A127834180T_Data</vt:lpstr>
      <vt:lpstr>A127834180T_Latest</vt:lpstr>
      <vt:lpstr>A127834181V</vt:lpstr>
      <vt:lpstr>A127834181V_Data</vt:lpstr>
      <vt:lpstr>A127834181V_Latest</vt:lpstr>
      <vt:lpstr>A127834497R</vt:lpstr>
      <vt:lpstr>A127834497R_Data</vt:lpstr>
      <vt:lpstr>A127834497R_Latest</vt:lpstr>
      <vt:lpstr>A127834498T</vt:lpstr>
      <vt:lpstr>A127834498T_Data</vt:lpstr>
      <vt:lpstr>A127834498T_Latest</vt:lpstr>
      <vt:lpstr>A127834499V</vt:lpstr>
      <vt:lpstr>A127834499V_Data</vt:lpstr>
      <vt:lpstr>A127834499V_Latest</vt:lpstr>
      <vt:lpstr>A127834500T</vt:lpstr>
      <vt:lpstr>A127834500T_Data</vt:lpstr>
      <vt:lpstr>A127834500T_Latest</vt:lpstr>
      <vt:lpstr>A127834501V</vt:lpstr>
      <vt:lpstr>A127834501V_Data</vt:lpstr>
      <vt:lpstr>A127834501V_Latest</vt:lpstr>
      <vt:lpstr>A127834502W</vt:lpstr>
      <vt:lpstr>A127834502W_Data</vt:lpstr>
      <vt:lpstr>A127834502W_Latest</vt:lpstr>
      <vt:lpstr>A127834503X</vt:lpstr>
      <vt:lpstr>A127834503X_Data</vt:lpstr>
      <vt:lpstr>A127834503X_Latest</vt:lpstr>
      <vt:lpstr>A127834504A</vt:lpstr>
      <vt:lpstr>A127834504A_Data</vt:lpstr>
      <vt:lpstr>A127834504A_Latest</vt:lpstr>
      <vt:lpstr>A127834505C</vt:lpstr>
      <vt:lpstr>A127834505C_Data</vt:lpstr>
      <vt:lpstr>A127834505C_Latest</vt:lpstr>
      <vt:lpstr>A127834506F</vt:lpstr>
      <vt:lpstr>A127834506F_Data</vt:lpstr>
      <vt:lpstr>A127834506F_Latest</vt:lpstr>
      <vt:lpstr>A127834507J</vt:lpstr>
      <vt:lpstr>A127834507J_Data</vt:lpstr>
      <vt:lpstr>A127834507J_Latest</vt:lpstr>
      <vt:lpstr>A127834508K</vt:lpstr>
      <vt:lpstr>A127834508K_Data</vt:lpstr>
      <vt:lpstr>A127834508K_Latest</vt:lpstr>
      <vt:lpstr>A127834509L</vt:lpstr>
      <vt:lpstr>A127834509L_Data</vt:lpstr>
      <vt:lpstr>A127834509L_Latest</vt:lpstr>
      <vt:lpstr>A127834510W</vt:lpstr>
      <vt:lpstr>A127834510W_Data</vt:lpstr>
      <vt:lpstr>A127834510W_Latest</vt:lpstr>
      <vt:lpstr>A127834511X</vt:lpstr>
      <vt:lpstr>A127834511X_Data</vt:lpstr>
      <vt:lpstr>A127834511X_Latest</vt:lpstr>
      <vt:lpstr>A127834827V</vt:lpstr>
      <vt:lpstr>A127834827V_Data</vt:lpstr>
      <vt:lpstr>A127834827V_Latest</vt:lpstr>
      <vt:lpstr>A127834828W</vt:lpstr>
      <vt:lpstr>A127834828W_Data</vt:lpstr>
      <vt:lpstr>A127834828W_Latest</vt:lpstr>
      <vt:lpstr>A127834829X</vt:lpstr>
      <vt:lpstr>A127834829X_Data</vt:lpstr>
      <vt:lpstr>A127834829X_Latest</vt:lpstr>
      <vt:lpstr>A127834830J</vt:lpstr>
      <vt:lpstr>A127834830J_Data</vt:lpstr>
      <vt:lpstr>A127834830J_Latest</vt:lpstr>
      <vt:lpstr>A127834831K</vt:lpstr>
      <vt:lpstr>A127834831K_Data</vt:lpstr>
      <vt:lpstr>A127834831K_Latest</vt:lpstr>
      <vt:lpstr>A127834832L</vt:lpstr>
      <vt:lpstr>A127834832L_Data</vt:lpstr>
      <vt:lpstr>A127834832L_Latest</vt:lpstr>
      <vt:lpstr>A127834833R</vt:lpstr>
      <vt:lpstr>A127834833R_Data</vt:lpstr>
      <vt:lpstr>A127834833R_Latest</vt:lpstr>
      <vt:lpstr>A127834834T</vt:lpstr>
      <vt:lpstr>A127834834T_Data</vt:lpstr>
      <vt:lpstr>A127834834T_Latest</vt:lpstr>
      <vt:lpstr>A127834835V</vt:lpstr>
      <vt:lpstr>A127834835V_Data</vt:lpstr>
      <vt:lpstr>A127834835V_Latest</vt:lpstr>
      <vt:lpstr>A127834836W</vt:lpstr>
      <vt:lpstr>A127834836W_Data</vt:lpstr>
      <vt:lpstr>A127834836W_Latest</vt:lpstr>
      <vt:lpstr>A127834837X</vt:lpstr>
      <vt:lpstr>A127834837X_Data</vt:lpstr>
      <vt:lpstr>A127834837X_Latest</vt:lpstr>
      <vt:lpstr>A127834838A</vt:lpstr>
      <vt:lpstr>A127834838A_Data</vt:lpstr>
      <vt:lpstr>A127834838A_Latest</vt:lpstr>
      <vt:lpstr>A127834839C</vt:lpstr>
      <vt:lpstr>A127834839C_Data</vt:lpstr>
      <vt:lpstr>A127834839C_Latest</vt:lpstr>
      <vt:lpstr>A127834840L</vt:lpstr>
      <vt:lpstr>A127834840L_Data</vt:lpstr>
      <vt:lpstr>A127834840L_Latest</vt:lpstr>
      <vt:lpstr>A127834841R</vt:lpstr>
      <vt:lpstr>A127834841R_Data</vt:lpstr>
      <vt:lpstr>A127834841R_Latest</vt:lpstr>
      <vt:lpstr>A127835157L</vt:lpstr>
      <vt:lpstr>A127835157L_Data</vt:lpstr>
      <vt:lpstr>A127835157L_Latest</vt:lpstr>
      <vt:lpstr>A127835158R</vt:lpstr>
      <vt:lpstr>A127835158R_Data</vt:lpstr>
      <vt:lpstr>A127835158R_Latest</vt:lpstr>
      <vt:lpstr>A127835159T</vt:lpstr>
      <vt:lpstr>A127835159T_Data</vt:lpstr>
      <vt:lpstr>A127835159T_Latest</vt:lpstr>
      <vt:lpstr>A127835160A</vt:lpstr>
      <vt:lpstr>A127835160A_Data</vt:lpstr>
      <vt:lpstr>A127835160A_Latest</vt:lpstr>
      <vt:lpstr>A127835161C</vt:lpstr>
      <vt:lpstr>A127835161C_Data</vt:lpstr>
      <vt:lpstr>A127835161C_Latest</vt:lpstr>
      <vt:lpstr>A127835162F</vt:lpstr>
      <vt:lpstr>A127835162F_Data</vt:lpstr>
      <vt:lpstr>A127835162F_Latest</vt:lpstr>
      <vt:lpstr>A127835163J</vt:lpstr>
      <vt:lpstr>A127835163J_Data</vt:lpstr>
      <vt:lpstr>A127835163J_Latest</vt:lpstr>
      <vt:lpstr>A127835164K</vt:lpstr>
      <vt:lpstr>A127835164K_Data</vt:lpstr>
      <vt:lpstr>A127835164K_Latest</vt:lpstr>
      <vt:lpstr>A127835165L</vt:lpstr>
      <vt:lpstr>A127835165L_Data</vt:lpstr>
      <vt:lpstr>A127835165L_Latest</vt:lpstr>
      <vt:lpstr>A127835166R</vt:lpstr>
      <vt:lpstr>A127835166R_Data</vt:lpstr>
      <vt:lpstr>A127835166R_Latest</vt:lpstr>
      <vt:lpstr>A127835167T</vt:lpstr>
      <vt:lpstr>A127835167T_Data</vt:lpstr>
      <vt:lpstr>A127835167T_Latest</vt:lpstr>
      <vt:lpstr>A127835168V</vt:lpstr>
      <vt:lpstr>A127835168V_Data</vt:lpstr>
      <vt:lpstr>A127835168V_Latest</vt:lpstr>
      <vt:lpstr>A127835169W</vt:lpstr>
      <vt:lpstr>A127835169W_Data</vt:lpstr>
      <vt:lpstr>A127835169W_Latest</vt:lpstr>
      <vt:lpstr>A127835170F</vt:lpstr>
      <vt:lpstr>A127835170F_Data</vt:lpstr>
      <vt:lpstr>A127835170F_Latest</vt:lpstr>
      <vt:lpstr>A127835171J</vt:lpstr>
      <vt:lpstr>A127835171J_Data</vt:lpstr>
      <vt:lpstr>A127835171J_Latest</vt:lpstr>
      <vt:lpstr>A127835487C</vt:lpstr>
      <vt:lpstr>A127835487C_Data</vt:lpstr>
      <vt:lpstr>A127835487C_Latest</vt:lpstr>
      <vt:lpstr>A127835488F</vt:lpstr>
      <vt:lpstr>A127835488F_Data</vt:lpstr>
      <vt:lpstr>A127835488F_Latest</vt:lpstr>
      <vt:lpstr>A127835489J</vt:lpstr>
      <vt:lpstr>A127835489J_Data</vt:lpstr>
      <vt:lpstr>A127835489J_Latest</vt:lpstr>
      <vt:lpstr>A127835490T</vt:lpstr>
      <vt:lpstr>A127835490T_Data</vt:lpstr>
      <vt:lpstr>A127835490T_Latest</vt:lpstr>
      <vt:lpstr>A127835491V</vt:lpstr>
      <vt:lpstr>A127835491V_Data</vt:lpstr>
      <vt:lpstr>A127835491V_Latest</vt:lpstr>
      <vt:lpstr>A127835492W</vt:lpstr>
      <vt:lpstr>A127835492W_Data</vt:lpstr>
      <vt:lpstr>A127835492W_Latest</vt:lpstr>
      <vt:lpstr>A127835493X</vt:lpstr>
      <vt:lpstr>A127835493X_Data</vt:lpstr>
      <vt:lpstr>A127835493X_Latest</vt:lpstr>
      <vt:lpstr>A127835494A</vt:lpstr>
      <vt:lpstr>A127835494A_Data</vt:lpstr>
      <vt:lpstr>A127835494A_Latest</vt:lpstr>
      <vt:lpstr>A127835495C</vt:lpstr>
      <vt:lpstr>A127835495C_Data</vt:lpstr>
      <vt:lpstr>A127835495C_Latest</vt:lpstr>
      <vt:lpstr>A127835496F</vt:lpstr>
      <vt:lpstr>A127835496F_Data</vt:lpstr>
      <vt:lpstr>A127835496F_Latest</vt:lpstr>
      <vt:lpstr>A127835497J</vt:lpstr>
      <vt:lpstr>A127835497J_Data</vt:lpstr>
      <vt:lpstr>A127835497J_Latest</vt:lpstr>
      <vt:lpstr>A127835498K</vt:lpstr>
      <vt:lpstr>A127835498K_Data</vt:lpstr>
      <vt:lpstr>A127835498K_Latest</vt:lpstr>
      <vt:lpstr>A127835499L</vt:lpstr>
      <vt:lpstr>A127835499L_Data</vt:lpstr>
      <vt:lpstr>A127835499L_Latest</vt:lpstr>
      <vt:lpstr>A127835500K</vt:lpstr>
      <vt:lpstr>A127835500K_Data</vt:lpstr>
      <vt:lpstr>A127835500K_Latest</vt:lpstr>
      <vt:lpstr>A127835501L</vt:lpstr>
      <vt:lpstr>A127835501L_Data</vt:lpstr>
      <vt:lpstr>A127835501L_Latest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2022-04-02T09:48:03Z</dcterms:created>
  <dcterms:modified xsi:type="dcterms:W3CDTF">2022-04-13T05:45:45Z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2022-04-02T09:50:38Z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a0ccc2c0-0164-4272-b40a-affcf00b8b20</vt:lpwstr>
  </property>
  <property fmtid="{D5CDD505-2E9C-101B-9397-08002B2CF9AE}" pid="8" name="MSIP_Label_c8e5a7ee-c283-40b0-98eb-fa437df4c031_ContentBits">
    <vt:lpwstr>0</vt:lpwstr>
  </property>
</Properties>
</file>