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<sst xmlns="http://schemas.openxmlformats.org/spreadsheetml/2006/main" count="101" uniqueCount="82">
  <si>
    <t>Australian Bureau of Statistics</t>
  </si>
  <si>
    <t>Statistics - Tasmania, Historical tables</t>
  </si>
  <si>
    <t>Value of Building, Tasmania ($'000)</t>
  </si>
  <si>
    <t>Building construction</t>
  </si>
  <si>
    <t>Commenced</t>
  </si>
  <si>
    <t>Completed</t>
  </si>
  <si>
    <t>Under construction at 30 June</t>
  </si>
  <si>
    <t xml:space="preserve"> All building</t>
  </si>
  <si>
    <t>New</t>
  </si>
  <si>
    <t>Other</t>
  </si>
  <si>
    <t>Total</t>
  </si>
  <si>
    <t xml:space="preserve"> New</t>
  </si>
  <si>
    <t xml:space="preserve"> Total</t>
  </si>
  <si>
    <t>approvals</t>
  </si>
  <si>
    <t>dwellings</t>
  </si>
  <si>
    <t>building</t>
  </si>
  <si>
    <t>all building</t>
  </si>
  <si>
    <t>Year</t>
  </si>
  <si>
    <t>$'000</t>
  </si>
  <si>
    <t>1946-47</t>
  </si>
  <si>
    <t>1947-48</t>
  </si>
  <si>
    <t>1948-49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</si>
  <si>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</si>
  <si>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</si>
  <si>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</si>
  <si>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</si>
  <si>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</si>
  <si>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</si>
  <si>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</si>
  <si>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</si>
  <si>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</si>
  <si>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</si>
  <si>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</si>
  <si>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</si>
  <si>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</si>
  <si>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</si>
  <si>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</si>
  <si>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</si>
  <si>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</si>
  <si>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</si>
  <si>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</si>
  <si>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</si>
  <si>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</si>
  <si>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</si>
  <si>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</si>
  <si>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</si>
  <si>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1973-74(a)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</si>
  <si>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</si>
  <si>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</si>
  <si>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</si>
  <si>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</si>
  <si>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</si>
  <si>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</si>
  <si>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</si>
  <si>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</si>
  <si>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</si>
  <si>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</si>
  <si>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</si>
  <si>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</si>
  <si>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</si>
  <si>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</si>
  <si>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1988-89(b)(c)</t>
  </si>
  <si>
    <t>1989-90</t>
  </si>
  <si>
    <t>1990-91(d)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</si>
  <si>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</si>
  <si>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</si>
  <si>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</si>
  <si>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</si>
  <si>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</si>
  <si>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</si>
  <si>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</si>
  <si>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</si>
  <si>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1999-2000</t>
  </si>
  <si>
    <t>2000-01</t>
  </si>
  <si>
    <t>(c) All approved non-residential building jobs valued at $10,000 or more are included up to 1987-88; from 1988-89 only approved non-residential building jobs valued at $30,000 or more are included.</t>
  </si>
  <si>
    <t>(d) From July 1990 only residential building valued at $10,000 or more and other building valued at $50,000 or more are included.</t>
  </si>
  <si>
    <t>(a) Alterations and additions to dwellings valued at $10,000 and over are included with the value of dwellings up to 1972-73 but excluded thereafter: from 1973-74 the value of alterations and additions to dwellings valued at $10,000 and over is included with 'other building'.</t>
  </si>
  <si>
    <t>(b) All approved new residential building jobs are included up to 1987-88; from 1988-89 only approved new residential building jobs valued at $5,000 or more are included. For building construction, new residential building jobs have a minimum value of $10,000.</t>
  </si>
  <si>
    <t>2001-02</t>
  </si>
  <si>
    <t>2002-03</t>
  </si>
  <si>
    <t>Source: Building Approvals, Tasmania (cat. no. 8731.6) and Building Activity, Tasmania (cat. no. 8752.6).</t>
  </si>
  <si>
    <t>© Commonwealth of Australia,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</si>
</sst>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2" borderId="0" xfId="0" applyNumberFormat="1" applyFont="1" applyFill="1" applyAlignment="1">
      <alignment horizontal="left"/>
    </xf>
    <xf numFmtId="0" fontId="0" fillId="2" borderId="0" xfId="0" applyNumberFormat="1" applyFont="1" applyFill="1" applyAlignment="1">
      <alignment horizontal="right"/>
    </xf>
    <xf numFmtId="0" fontId="0" fillId="2" borderId="0" xfId="0" applyNumberFormat="1" applyFont="1" applyFill="1" applyAlignment="1">
      <alignment/>
    </xf>
    <xf numFmtId="0" fontId="4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>
      <alignment horizontal="left"/>
    </xf>
    <xf numFmtId="0" fontId="5" fillId="2" borderId="0" xfId="0" applyNumberFormat="1" applyFont="1" applyFill="1" applyAlignment="1">
      <alignment/>
    </xf>
    <xf numFmtId="0" fontId="5" fillId="2" borderId="0" xfId="0" applyNumberFormat="1" applyFont="1" applyFill="1" applyAlignment="1">
      <alignment horizontal="right"/>
    </xf>
    <xf numFmtId="0" fontId="0" fillId="2" borderId="1" xfId="0" applyNumberFormat="1" applyFont="1" applyFill="1" applyAlignment="1">
      <alignment/>
    </xf>
    <xf numFmtId="0" fontId="5" fillId="2" borderId="1" xfId="0" applyNumberFormat="1" applyFont="1" applyFill="1" applyAlignment="1">
      <alignment horizontal="right"/>
    </xf>
    <xf numFmtId="0" fontId="5" fillId="2" borderId="1" xfId="0" applyNumberFormat="1" applyFont="1" applyFill="1" applyAlignment="1">
      <alignment/>
    </xf>
    <xf numFmtId="3" fontId="5" fillId="2" borderId="1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5" fillId="2" borderId="0" xfId="0" applyNumberFormat="1" applyFont="1" applyFill="1" applyAlignment="1">
      <alignment horizontal="left"/>
    </xf>
    <xf numFmtId="0" fontId="5" fillId="2" borderId="0" xfId="0" applyNumberFormat="1" applyFont="1" applyFill="1" applyAlignment="1">
      <alignment horizontal="left" wrapText="1"/>
    </xf>
    <xf numFmtId="0" fontId="5" fillId="2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0" xfId="0" applyNumberFormat="1" applyFont="1" applyFill="1" applyAlignment="1">
      <alignment horizontal="left" wrapText="1"/>
    </xf>
    <xf numFmtId="0" fontId="0" fillId="0" borderId="0" xfId="0" applyAlignment="1">
      <alignment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8"/>
  <sheetViews>
    <sheetView tabSelected="1" showOutlineSymbols="0" zoomScale="87" zoomScaleNormal="87" workbookViewId="0" topLeftCell="A1">
      <selection activeCell="A1" sqref="A1"/>
    </sheetView>
  </sheetViews>
  <sheetFormatPr defaultColWidth="9.6640625" defaultRowHeight="15"/>
  <cols>
    <col min="1" max="1" width="13.5546875" style="3" customWidth="1"/>
    <col min="2" max="2" width="9.6640625" style="2" customWidth="1"/>
    <col min="3" max="3" width="5.6640625" style="2" customWidth="1"/>
    <col min="4" max="6" width="9.6640625" style="2" customWidth="1"/>
    <col min="7" max="7" width="5.6640625" style="2" customWidth="1"/>
    <col min="8" max="10" width="9.6640625" style="2" customWidth="1"/>
    <col min="11" max="11" width="5.6640625" style="2" customWidth="1"/>
    <col min="12" max="14" width="9.6640625" style="2" customWidth="1"/>
    <col min="15" max="16384" width="9.6640625" style="3" customWidth="1"/>
  </cols>
  <sheetData>
    <row r="1" ht="15.75">
      <c r="A1" s="1" t="s">
        <v>0</v>
      </c>
    </row>
    <row r="2" ht="15.75">
      <c r="A2" s="4" t="s">
        <v>1</v>
      </c>
    </row>
    <row r="3" ht="15">
      <c r="A3" s="5" t="s">
        <v>2</v>
      </c>
    </row>
    <row r="4" spans="1:256" ht="15">
      <c r="A4" s="6"/>
      <c r="B4" s="7"/>
      <c r="C4" s="7"/>
      <c r="D4" s="7"/>
      <c r="E4" s="7"/>
      <c r="F4" s="7"/>
      <c r="G4" s="7"/>
      <c r="H4" s="7"/>
      <c r="I4" s="3"/>
      <c r="J4" s="7"/>
      <c r="K4" s="7"/>
      <c r="L4" s="7"/>
      <c r="M4" s="7"/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 t="s">
        <v>3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5">
      <c r="A6" s="6"/>
      <c r="B6" s="7"/>
      <c r="C6" s="7"/>
      <c r="D6" s="8"/>
      <c r="E6" s="9"/>
      <c r="F6" s="9" t="s">
        <v>4</v>
      </c>
      <c r="G6" s="9"/>
      <c r="H6" s="8"/>
      <c r="I6" s="9"/>
      <c r="J6" s="9" t="s">
        <v>5</v>
      </c>
      <c r="K6" s="9"/>
      <c r="L6" s="8"/>
      <c r="M6" s="9"/>
      <c r="N6" s="9" t="s">
        <v>6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5">
      <c r="A7" s="6"/>
      <c r="B7" s="7" t="s">
        <v>7</v>
      </c>
      <c r="C7" s="7"/>
      <c r="D7" s="9" t="s">
        <v>8</v>
      </c>
      <c r="E7" s="9" t="s">
        <v>9</v>
      </c>
      <c r="F7" s="9" t="s">
        <v>10</v>
      </c>
      <c r="G7" s="7"/>
      <c r="H7" s="9" t="s">
        <v>8</v>
      </c>
      <c r="I7" s="9" t="s">
        <v>9</v>
      </c>
      <c r="J7" s="9" t="s">
        <v>10</v>
      </c>
      <c r="K7" s="7"/>
      <c r="L7" s="9" t="s">
        <v>11</v>
      </c>
      <c r="M7" s="9" t="s">
        <v>9</v>
      </c>
      <c r="N7" s="9" t="s">
        <v>12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2:256" ht="15">
      <c r="B8" s="7" t="s">
        <v>13</v>
      </c>
      <c r="C8" s="7"/>
      <c r="D8" s="7" t="s">
        <v>14</v>
      </c>
      <c r="E8" s="7" t="s">
        <v>15</v>
      </c>
      <c r="F8" s="7" t="s">
        <v>16</v>
      </c>
      <c r="G8" s="7"/>
      <c r="H8" s="7" t="s">
        <v>14</v>
      </c>
      <c r="I8" s="7" t="s">
        <v>15</v>
      </c>
      <c r="J8" s="7" t="s">
        <v>16</v>
      </c>
      <c r="K8" s="7"/>
      <c r="L8" s="7" t="s">
        <v>14</v>
      </c>
      <c r="M8" s="7" t="s">
        <v>15</v>
      </c>
      <c r="N8" s="7" t="s">
        <v>16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5">
      <c r="A9" s="6" t="s">
        <v>17</v>
      </c>
      <c r="B9" s="7" t="s">
        <v>18</v>
      </c>
      <c r="C9" s="7"/>
      <c r="D9" s="7" t="s">
        <v>18</v>
      </c>
      <c r="E9" s="7" t="s">
        <v>18</v>
      </c>
      <c r="F9" s="7" t="s">
        <v>18</v>
      </c>
      <c r="G9" s="7"/>
      <c r="H9" s="7" t="s">
        <v>18</v>
      </c>
      <c r="I9" s="7" t="s">
        <v>18</v>
      </c>
      <c r="J9" s="7" t="s">
        <v>18</v>
      </c>
      <c r="K9" s="7"/>
      <c r="L9" s="7" t="s">
        <v>18</v>
      </c>
      <c r="M9" s="7" t="s">
        <v>18</v>
      </c>
      <c r="N9" s="7" t="s">
        <v>18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5">
      <c r="A10" s="10" t="s">
        <v>19</v>
      </c>
      <c r="B10" s="11">
        <f>6726</f>
        <v>6726</v>
      </c>
      <c r="C10" s="11"/>
      <c r="D10" s="11">
        <f>3728</f>
        <v>3728</v>
      </c>
      <c r="E10" s="11">
        <f>1708</f>
        <v>1708</v>
      </c>
      <c r="F10" s="11">
        <f>5436</f>
        <v>5436</v>
      </c>
      <c r="G10" s="11"/>
      <c r="H10" s="11">
        <f>2308</f>
        <v>2308</v>
      </c>
      <c r="I10" s="11">
        <f>526</f>
        <v>526</v>
      </c>
      <c r="J10" s="11">
        <f>2834</f>
        <v>2834</v>
      </c>
      <c r="K10" s="11"/>
      <c r="L10" s="11">
        <f>3614</f>
        <v>3614</v>
      </c>
      <c r="M10" s="11">
        <f>1904</f>
        <v>1904</v>
      </c>
      <c r="N10" s="11">
        <f>5518</f>
        <v>5518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5">
      <c r="A11" s="6" t="s">
        <v>20</v>
      </c>
      <c r="B11" s="12">
        <f>8358</f>
        <v>8358</v>
      </c>
      <c r="C11" s="12"/>
      <c r="D11" s="12">
        <f>5256</f>
        <v>5256</v>
      </c>
      <c r="E11" s="12">
        <f>1958</f>
        <v>1958</v>
      </c>
      <c r="F11" s="12">
        <f>7214</f>
        <v>7214</v>
      </c>
      <c r="G11" s="12"/>
      <c r="H11" s="12">
        <f>3492</f>
        <v>3492</v>
      </c>
      <c r="I11" s="12">
        <f>1066</f>
        <v>1066</v>
      </c>
      <c r="J11" s="12">
        <f>4558</f>
        <v>4558</v>
      </c>
      <c r="K11" s="12"/>
      <c r="L11" s="12">
        <f>5532</f>
        <v>5532</v>
      </c>
      <c r="M11" s="12">
        <f>2760</f>
        <v>2760</v>
      </c>
      <c r="N11" s="12">
        <f>8292</f>
        <v>8292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5">
      <c r="A12" s="6" t="s">
        <v>21</v>
      </c>
      <c r="B12" s="12">
        <f>11742</f>
        <v>11742</v>
      </c>
      <c r="C12" s="12"/>
      <c r="D12" s="12">
        <f>7960</f>
        <v>7960</v>
      </c>
      <c r="E12" s="12">
        <f>2782</f>
        <v>2782</v>
      </c>
      <c r="F12" s="12">
        <f>10742</f>
        <v>10742</v>
      </c>
      <c r="G12" s="12"/>
      <c r="H12" s="12">
        <f>6042</f>
        <v>6042</v>
      </c>
      <c r="I12" s="12">
        <f>1578</f>
        <v>1578</v>
      </c>
      <c r="J12" s="12">
        <f>7620</f>
        <v>7620</v>
      </c>
      <c r="K12" s="12"/>
      <c r="L12" s="12">
        <f>7670</f>
        <v>7670</v>
      </c>
      <c r="M12" s="12">
        <f>4074</f>
        <v>4074</v>
      </c>
      <c r="N12" s="12">
        <f>11744</f>
        <v>11744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5">
      <c r="A13" s="6" t="s">
        <v>22</v>
      </c>
      <c r="B13" s="12">
        <f>16740</f>
        <v>16740</v>
      </c>
      <c r="C13" s="12"/>
      <c r="D13" s="12">
        <f>11702</f>
        <v>11702</v>
      </c>
      <c r="E13" s="12">
        <f>5056</f>
        <v>5056</v>
      </c>
      <c r="F13" s="12">
        <f>16758</f>
        <v>16758</v>
      </c>
      <c r="G13" s="12"/>
      <c r="H13" s="12">
        <f>8426</f>
        <v>8426</v>
      </c>
      <c r="I13" s="12">
        <f>2258</f>
        <v>2258</v>
      </c>
      <c r="J13" s="12">
        <f>10684</f>
        <v>10684</v>
      </c>
      <c r="K13" s="12"/>
      <c r="L13" s="12">
        <f>11368</f>
        <v>11368</v>
      </c>
      <c r="M13" s="12">
        <f>6612</f>
        <v>6612</v>
      </c>
      <c r="N13" s="12">
        <f>17980</f>
        <v>17980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5">
      <c r="A14" s="6" t="s">
        <v>23</v>
      </c>
      <c r="B14" s="12">
        <f>21694</f>
        <v>21694</v>
      </c>
      <c r="C14" s="12"/>
      <c r="D14" s="12">
        <f>15000</f>
        <v>15000</v>
      </c>
      <c r="E14" s="12">
        <f>5672</f>
        <v>5672</v>
      </c>
      <c r="F14" s="12">
        <f>20672</f>
        <v>20672</v>
      </c>
      <c r="G14" s="12"/>
      <c r="H14" s="12">
        <f>13508</f>
        <v>13508</v>
      </c>
      <c r="I14" s="12">
        <f>3298</f>
        <v>3298</v>
      </c>
      <c r="J14" s="12">
        <f>16806</f>
        <v>16806</v>
      </c>
      <c r="K14" s="12"/>
      <c r="L14" s="12">
        <f>14250</f>
        <v>14250</v>
      </c>
      <c r="M14" s="12">
        <f>10106</f>
        <v>10106</v>
      </c>
      <c r="N14" s="12">
        <f>24356</f>
        <v>24356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5">
      <c r="A15" s="6" t="s">
        <v>24</v>
      </c>
      <c r="B15" s="12">
        <f>20042</f>
        <v>20042</v>
      </c>
      <c r="C15" s="12"/>
      <c r="D15" s="12">
        <f>15360</f>
        <v>15360</v>
      </c>
      <c r="E15" s="12">
        <f>6766</f>
        <v>6766</v>
      </c>
      <c r="F15" s="12">
        <f>22126</f>
        <v>22126</v>
      </c>
      <c r="G15" s="12"/>
      <c r="H15" s="12">
        <f>16414</f>
        <v>16414</v>
      </c>
      <c r="I15" s="12">
        <f>4608</f>
        <v>4608</v>
      </c>
      <c r="J15" s="12">
        <f>21022</f>
        <v>21022</v>
      </c>
      <c r="K15" s="12"/>
      <c r="L15" s="12">
        <f>14504</f>
        <v>14504</v>
      </c>
      <c r="M15" s="12">
        <f>13036</f>
        <v>13036</v>
      </c>
      <c r="N15" s="12">
        <f>27540</f>
        <v>27540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5">
      <c r="A16" s="6" t="s">
        <v>25</v>
      </c>
      <c r="B16" s="12">
        <f>15984</f>
        <v>15984</v>
      </c>
      <c r="C16" s="12"/>
      <c r="D16" s="12">
        <f>10664</f>
        <v>10664</v>
      </c>
      <c r="E16" s="12">
        <f>2558</f>
        <v>2558</v>
      </c>
      <c r="F16" s="12">
        <f>13222</f>
        <v>13222</v>
      </c>
      <c r="G16" s="12"/>
      <c r="H16" s="12">
        <f>15252</f>
        <v>15252</v>
      </c>
      <c r="I16" s="12">
        <f>6078</f>
        <v>6078</v>
      </c>
      <c r="J16" s="12">
        <f>21330</f>
        <v>21330</v>
      </c>
      <c r="K16" s="12"/>
      <c r="L16" s="12">
        <f>10608</f>
        <v>10608</v>
      </c>
      <c r="M16" s="12">
        <f>10380</f>
        <v>10380</v>
      </c>
      <c r="N16" s="12">
        <f>20988</f>
        <v>20988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5">
      <c r="A17" s="6" t="s">
        <v>26</v>
      </c>
      <c r="B17" s="12">
        <f>21646</f>
        <v>21646</v>
      </c>
      <c r="C17" s="12"/>
      <c r="D17" s="12">
        <f>13552</f>
        <v>13552</v>
      </c>
      <c r="E17" s="12">
        <f>4896</f>
        <v>4896</v>
      </c>
      <c r="F17" s="12">
        <f>18448</f>
        <v>18448</v>
      </c>
      <c r="G17" s="12"/>
      <c r="H17" s="12">
        <f>13520</f>
        <v>13520</v>
      </c>
      <c r="I17" s="12">
        <f>5864</f>
        <v>5864</v>
      </c>
      <c r="J17" s="12">
        <f>19384</f>
        <v>19384</v>
      </c>
      <c r="K17" s="12"/>
      <c r="L17" s="12">
        <f>11532</f>
        <v>11532</v>
      </c>
      <c r="M17" s="12">
        <f>12032</f>
        <v>12032</v>
      </c>
      <c r="N17" s="12">
        <f>23564</f>
        <v>23564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5">
      <c r="A18" s="6" t="s">
        <v>27</v>
      </c>
      <c r="B18" s="12">
        <f>25612</f>
        <v>25612</v>
      </c>
      <c r="C18" s="12"/>
      <c r="D18" s="12">
        <f>15244</f>
        <v>15244</v>
      </c>
      <c r="E18" s="12">
        <f>6428</f>
        <v>6428</v>
      </c>
      <c r="F18" s="12">
        <f>21672</f>
        <v>21672</v>
      </c>
      <c r="G18" s="12"/>
      <c r="H18" s="12">
        <f>13092</f>
        <v>13092</v>
      </c>
      <c r="I18" s="12">
        <f>8206</f>
        <v>8206</v>
      </c>
      <c r="J18" s="12">
        <f>21298</f>
        <v>21298</v>
      </c>
      <c r="K18" s="12"/>
      <c r="L18" s="12">
        <f>13992</f>
        <v>13992</v>
      </c>
      <c r="M18" s="12">
        <f>10806</f>
        <v>10806</v>
      </c>
      <c r="N18" s="12">
        <f>24798</f>
        <v>24798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5">
      <c r="A19" s="6" t="s">
        <v>28</v>
      </c>
      <c r="B19" s="12">
        <f>25074</f>
        <v>25074</v>
      </c>
      <c r="C19" s="12"/>
      <c r="D19" s="12">
        <f>13842</f>
        <v>13842</v>
      </c>
      <c r="E19" s="12">
        <f>5936</f>
        <v>5936</v>
      </c>
      <c r="F19" s="12">
        <f>19778</f>
        <v>19778</v>
      </c>
      <c r="G19" s="12"/>
      <c r="H19" s="12">
        <f>15138</f>
        <v>15138</v>
      </c>
      <c r="I19" s="12">
        <f>10458</f>
        <v>10458</v>
      </c>
      <c r="J19" s="12">
        <f>25596</f>
        <v>25596</v>
      </c>
      <c r="K19" s="12"/>
      <c r="L19" s="12">
        <f>13230</f>
        <v>13230</v>
      </c>
      <c r="M19" s="12">
        <f>6498</f>
        <v>6498</v>
      </c>
      <c r="N19" s="12">
        <f>19728</f>
        <v>19728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5">
      <c r="A20" s="6" t="s">
        <v>29</v>
      </c>
      <c r="B20" s="12">
        <f>30964</f>
        <v>30964</v>
      </c>
      <c r="C20" s="12"/>
      <c r="D20" s="12">
        <f>15138</f>
        <v>15138</v>
      </c>
      <c r="E20" s="12">
        <f>13138</f>
        <v>13138</v>
      </c>
      <c r="F20" s="12">
        <f>28276</f>
        <v>28276</v>
      </c>
      <c r="G20" s="12"/>
      <c r="H20" s="12">
        <f>16434</f>
        <v>16434</v>
      </c>
      <c r="I20" s="12">
        <f>8784</f>
        <v>8784</v>
      </c>
      <c r="J20" s="12">
        <f>25218</f>
        <v>25218</v>
      </c>
      <c r="K20" s="12"/>
      <c r="L20" s="12">
        <f>12420</f>
        <v>12420</v>
      </c>
      <c r="M20" s="12">
        <f>11750</f>
        <v>11750</v>
      </c>
      <c r="N20" s="12">
        <f>24170</f>
        <v>24170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5">
      <c r="A21" s="6" t="s">
        <v>30</v>
      </c>
      <c r="B21" s="12">
        <f>27232</f>
        <v>27232</v>
      </c>
      <c r="C21" s="12"/>
      <c r="D21" s="12">
        <f>14980</f>
        <v>14980</v>
      </c>
      <c r="E21" s="12">
        <f>10486</f>
        <v>10486</v>
      </c>
      <c r="F21" s="12">
        <f>25466</f>
        <v>25466</v>
      </c>
      <c r="G21" s="12"/>
      <c r="H21" s="12">
        <f>15844</f>
        <v>15844</v>
      </c>
      <c r="I21" s="12">
        <f>9836</f>
        <v>9836</v>
      </c>
      <c r="J21" s="12">
        <f>25680</f>
        <v>25680</v>
      </c>
      <c r="K21" s="12"/>
      <c r="L21" s="12">
        <f>11866</f>
        <v>11866</v>
      </c>
      <c r="M21" s="12">
        <f>12026</f>
        <v>12026</v>
      </c>
      <c r="N21" s="12">
        <f>23892</f>
        <v>23892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5">
      <c r="A22" s="6" t="s">
        <v>31</v>
      </c>
      <c r="B22" s="12">
        <f>27592</f>
        <v>27592</v>
      </c>
      <c r="C22" s="12"/>
      <c r="D22" s="12">
        <f>16662</f>
        <v>16662</v>
      </c>
      <c r="E22" s="12">
        <f>12156</f>
        <v>12156</v>
      </c>
      <c r="F22" s="12">
        <f>28818</f>
        <v>28818</v>
      </c>
      <c r="G22" s="12"/>
      <c r="H22" s="12">
        <f>15986</f>
        <v>15986</v>
      </c>
      <c r="I22" s="12">
        <f>10914</f>
        <v>10914</v>
      </c>
      <c r="J22" s="12">
        <f>26900</f>
        <v>26900</v>
      </c>
      <c r="K22" s="12"/>
      <c r="L22" s="12">
        <f>12742</f>
        <v>12742</v>
      </c>
      <c r="M22" s="12">
        <f>13364</f>
        <v>13364</v>
      </c>
      <c r="N22" s="12">
        <f>26106</f>
        <v>26106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5">
      <c r="A23" s="6" t="s">
        <v>32</v>
      </c>
      <c r="B23" s="12">
        <f>39159</f>
        <v>39159</v>
      </c>
      <c r="C23" s="12"/>
      <c r="D23" s="12">
        <f>15834</f>
        <v>15834</v>
      </c>
      <c r="E23" s="12">
        <f>20652</f>
        <v>20652</v>
      </c>
      <c r="F23" s="12">
        <f>36486</f>
        <v>36486</v>
      </c>
      <c r="G23" s="12"/>
      <c r="H23" s="12">
        <f>16570</f>
        <v>16570</v>
      </c>
      <c r="I23" s="12">
        <f>15036</f>
        <v>15036</v>
      </c>
      <c r="J23" s="12">
        <f>31606</f>
        <v>31606</v>
      </c>
      <c r="K23" s="12"/>
      <c r="L23" s="12">
        <f>12026</f>
        <v>12026</v>
      </c>
      <c r="M23" s="12">
        <f>19156</f>
        <v>19156</v>
      </c>
      <c r="N23" s="12">
        <f>31182</f>
        <v>31182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5">
      <c r="A24" s="6" t="s">
        <v>33</v>
      </c>
      <c r="B24" s="12">
        <f>30539</f>
        <v>30539</v>
      </c>
      <c r="C24" s="12"/>
      <c r="D24" s="12">
        <f>15936</f>
        <v>15936</v>
      </c>
      <c r="E24" s="12">
        <f>12344</f>
        <v>12344</v>
      </c>
      <c r="F24" s="12">
        <f>28280</f>
        <v>28280</v>
      </c>
      <c r="G24" s="12"/>
      <c r="H24" s="12">
        <f>17206</f>
        <v>17206</v>
      </c>
      <c r="I24" s="12">
        <f>16822</f>
        <v>16822</v>
      </c>
      <c r="J24" s="12">
        <f>34028</f>
        <v>34028</v>
      </c>
      <c r="K24" s="12"/>
      <c r="L24" s="12">
        <f>10912</f>
        <v>10912</v>
      </c>
      <c r="M24" s="12">
        <f>15016</f>
        <v>15016</v>
      </c>
      <c r="N24" s="12">
        <f>25928</f>
        <v>25928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5">
      <c r="A25" s="6" t="s">
        <v>34</v>
      </c>
      <c r="B25" s="12">
        <f>37804</f>
        <v>37804</v>
      </c>
      <c r="C25" s="12"/>
      <c r="D25" s="12">
        <f>17026</f>
        <v>17026</v>
      </c>
      <c r="E25" s="12">
        <f>18360</f>
        <v>18360</v>
      </c>
      <c r="F25" s="12">
        <f>35386</f>
        <v>35386</v>
      </c>
      <c r="G25" s="12"/>
      <c r="H25" s="12">
        <f>16630</f>
        <v>16630</v>
      </c>
      <c r="I25" s="12">
        <f>16824</f>
        <v>16824</v>
      </c>
      <c r="J25" s="12">
        <f>33454</f>
        <v>33454</v>
      </c>
      <c r="K25" s="12"/>
      <c r="L25" s="12">
        <f>11136</f>
        <v>11136</v>
      </c>
      <c r="M25" s="12">
        <f>16640</f>
        <v>16640</v>
      </c>
      <c r="N25" s="12">
        <f>27776</f>
        <v>27776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">
      <c r="A26" s="6" t="s">
        <v>35</v>
      </c>
      <c r="B26" s="12">
        <f>37416</f>
        <v>37416</v>
      </c>
      <c r="C26" s="12"/>
      <c r="D26" s="12">
        <f>16668</f>
        <v>16668</v>
      </c>
      <c r="E26" s="12">
        <f>17944</f>
        <v>17944</v>
      </c>
      <c r="F26" s="12">
        <f>34612</f>
        <v>34612</v>
      </c>
      <c r="G26" s="12"/>
      <c r="H26" s="12">
        <f>16892</f>
        <v>16892</v>
      </c>
      <c r="I26" s="12">
        <f>17240</f>
        <v>17240</v>
      </c>
      <c r="J26" s="12">
        <f>34128</f>
        <v>34128</v>
      </c>
      <c r="K26" s="12"/>
      <c r="L26" s="12">
        <f>10912</f>
        <v>10912</v>
      </c>
      <c r="M26" s="12">
        <f>17500</f>
        <v>17500</v>
      </c>
      <c r="N26" s="12">
        <f>28412</f>
        <v>28412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">
      <c r="A27" s="6" t="s">
        <v>36</v>
      </c>
      <c r="B27" s="12">
        <f>34521</f>
        <v>34521</v>
      </c>
      <c r="C27" s="12"/>
      <c r="D27" s="12">
        <f>18944</f>
        <v>18944</v>
      </c>
      <c r="E27" s="12">
        <f>15720</f>
        <v>15720</v>
      </c>
      <c r="F27" s="12">
        <f>34664</f>
        <v>34664</v>
      </c>
      <c r="G27" s="12"/>
      <c r="H27" s="12">
        <f>18070</f>
        <v>18070</v>
      </c>
      <c r="I27" s="12">
        <f>15906</f>
        <v>15906</v>
      </c>
      <c r="J27" s="12">
        <f>33976</f>
        <v>33976</v>
      </c>
      <c r="K27" s="12"/>
      <c r="L27" s="12">
        <f>11764</f>
        <v>11764</v>
      </c>
      <c r="M27" s="12">
        <f>17330</f>
        <v>17330</v>
      </c>
      <c r="N27" s="12">
        <f>29094</f>
        <v>29094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">
      <c r="A28" s="6" t="s">
        <v>37</v>
      </c>
      <c r="B28" s="12">
        <f>44872</f>
        <v>44872</v>
      </c>
      <c r="C28" s="12"/>
      <c r="D28" s="12">
        <f>20922</f>
        <v>20922</v>
      </c>
      <c r="E28" s="12">
        <f>21118</f>
        <v>21118</v>
      </c>
      <c r="F28" s="12">
        <f>42040</f>
        <v>42040</v>
      </c>
      <c r="G28" s="12"/>
      <c r="H28" s="12">
        <f>20060</f>
        <v>20060</v>
      </c>
      <c r="I28" s="12">
        <f>17684</f>
        <v>17684</v>
      </c>
      <c r="J28" s="12">
        <f>37744</f>
        <v>37744</v>
      </c>
      <c r="K28" s="12"/>
      <c r="L28" s="12">
        <f>12628</f>
        <v>12628</v>
      </c>
      <c r="M28" s="12">
        <f>20738</f>
        <v>20738</v>
      </c>
      <c r="N28" s="12">
        <f>33366</f>
        <v>33366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5">
      <c r="A29" s="6" t="s">
        <v>38</v>
      </c>
      <c r="B29" s="12">
        <f>48870</f>
        <v>48870</v>
      </c>
      <c r="C29" s="12"/>
      <c r="D29" s="12">
        <f>19200</f>
        <v>19200</v>
      </c>
      <c r="E29" s="12">
        <f>24589</f>
        <v>24589</v>
      </c>
      <c r="F29" s="12">
        <f>43789</f>
        <v>43789</v>
      </c>
      <c r="G29" s="12"/>
      <c r="H29" s="12">
        <f>19010</f>
        <v>19010</v>
      </c>
      <c r="I29" s="12">
        <f>20670</f>
        <v>20670</v>
      </c>
      <c r="J29" s="12">
        <f>39680</f>
        <v>39680</v>
      </c>
      <c r="K29" s="12"/>
      <c r="L29" s="12">
        <f>12761</f>
        <v>12761</v>
      </c>
      <c r="M29" s="12">
        <f>24651</f>
        <v>24651</v>
      </c>
      <c r="N29" s="12">
        <f>37412</f>
        <v>37412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5">
      <c r="A30" s="6" t="s">
        <v>39</v>
      </c>
      <c r="B30" s="12">
        <f>56012</f>
        <v>56012</v>
      </c>
      <c r="C30" s="12"/>
      <c r="D30" s="12">
        <f>25869</f>
        <v>25869</v>
      </c>
      <c r="E30" s="12">
        <f>36208</f>
        <v>36208</v>
      </c>
      <c r="F30" s="12">
        <f>62070</f>
        <v>62070</v>
      </c>
      <c r="G30" s="12"/>
      <c r="H30" s="12">
        <f>23230</f>
        <v>23230</v>
      </c>
      <c r="I30" s="12">
        <f>24986</f>
        <v>24986</v>
      </c>
      <c r="J30" s="12">
        <f>48218</f>
        <v>48218</v>
      </c>
      <c r="K30" s="12"/>
      <c r="L30" s="12">
        <f>15394</f>
        <v>15394</v>
      </c>
      <c r="M30" s="12">
        <f>35875</f>
        <v>35875</v>
      </c>
      <c r="N30" s="12">
        <f>51269</f>
        <v>51269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5">
      <c r="A31" s="6" t="s">
        <v>40</v>
      </c>
      <c r="B31" s="12">
        <f>74412</f>
        <v>74412</v>
      </c>
      <c r="C31" s="12"/>
      <c r="D31" s="12">
        <f>29791</f>
        <v>29791</v>
      </c>
      <c r="E31" s="12">
        <f>33359</f>
        <v>33359</v>
      </c>
      <c r="F31" s="12">
        <f>63153</f>
        <v>63153</v>
      </c>
      <c r="G31" s="12"/>
      <c r="H31" s="12">
        <f>30078</f>
        <v>30078</v>
      </c>
      <c r="I31" s="12">
        <f>31805</f>
        <v>31805</v>
      </c>
      <c r="J31" s="12">
        <f>61881</f>
        <v>61881</v>
      </c>
      <c r="K31" s="12"/>
      <c r="L31" s="12">
        <f>15095</f>
        <v>15095</v>
      </c>
      <c r="M31" s="12">
        <f>37411</f>
        <v>37411</v>
      </c>
      <c r="N31" s="12">
        <f>52504</f>
        <v>52504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5">
      <c r="A32" s="6" t="s">
        <v>41</v>
      </c>
      <c r="B32" s="12">
        <f>54721</f>
        <v>54721</v>
      </c>
      <c r="C32" s="12"/>
      <c r="D32" s="12">
        <f>28011</f>
        <v>28011</v>
      </c>
      <c r="E32" s="12">
        <f>28191</f>
        <v>28191</v>
      </c>
      <c r="F32" s="12">
        <f>56202</f>
        <v>56202</v>
      </c>
      <c r="G32" s="12"/>
      <c r="H32" s="12">
        <f>28142</f>
        <v>28142</v>
      </c>
      <c r="I32" s="12">
        <f>28807</f>
        <v>28807</v>
      </c>
      <c r="J32" s="12">
        <f>56947</f>
        <v>56947</v>
      </c>
      <c r="K32" s="12"/>
      <c r="L32" s="12">
        <f>14634</f>
        <v>14634</v>
      </c>
      <c r="M32" s="12">
        <f>37262</f>
        <v>37262</v>
      </c>
      <c r="N32" s="12">
        <f>51896</f>
        <v>51896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5">
      <c r="A33" s="6" t="s">
        <v>42</v>
      </c>
      <c r="B33" s="12">
        <f>62272</f>
        <v>62272</v>
      </c>
      <c r="C33" s="12"/>
      <c r="D33" s="12">
        <f>32326</f>
        <v>32326</v>
      </c>
      <c r="E33" s="12">
        <f>29805</f>
        <v>29805</v>
      </c>
      <c r="F33" s="12">
        <f>62131</f>
        <v>62131</v>
      </c>
      <c r="G33" s="12"/>
      <c r="H33" s="12">
        <f>32170</f>
        <v>32170</v>
      </c>
      <c r="I33" s="12">
        <f>34282</f>
        <v>34282</v>
      </c>
      <c r="J33" s="12">
        <f>66452</f>
        <v>66452</v>
      </c>
      <c r="K33" s="12"/>
      <c r="L33" s="12">
        <f>14675</f>
        <v>14675</v>
      </c>
      <c r="M33" s="12">
        <f>36347</f>
        <v>36347</v>
      </c>
      <c r="N33" s="12">
        <f>51022</f>
        <v>51022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5">
      <c r="A34" s="6" t="s">
        <v>43</v>
      </c>
      <c r="B34" s="12">
        <f>71046</f>
        <v>71046</v>
      </c>
      <c r="C34" s="12"/>
      <c r="D34" s="12">
        <f>32233</f>
        <v>32233</v>
      </c>
      <c r="E34" s="12">
        <f>37956</f>
        <v>37956</v>
      </c>
      <c r="F34" s="12">
        <f>70189</f>
        <v>70189</v>
      </c>
      <c r="G34" s="12"/>
      <c r="H34" s="12">
        <f>29275</f>
        <v>29275</v>
      </c>
      <c r="I34" s="12">
        <f>30409</f>
        <v>30409</v>
      </c>
      <c r="J34" s="12">
        <f>59684</f>
        <v>59684</v>
      </c>
      <c r="K34" s="12"/>
      <c r="L34" s="12">
        <f>17906</f>
        <v>17906</v>
      </c>
      <c r="M34" s="12">
        <f>45559</f>
        <v>45559</v>
      </c>
      <c r="N34" s="12">
        <f>63465</f>
        <v>63465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5">
      <c r="A35" s="6" t="s">
        <v>44</v>
      </c>
      <c r="B35" s="12">
        <f>73827</f>
        <v>73827</v>
      </c>
      <c r="C35" s="12"/>
      <c r="D35" s="12">
        <f>32219</f>
        <v>32219</v>
      </c>
      <c r="E35" s="12">
        <f>32100</f>
        <v>32100</v>
      </c>
      <c r="F35" s="12">
        <f>64319</f>
        <v>64319</v>
      </c>
      <c r="G35" s="12"/>
      <c r="H35" s="12">
        <f>31699</f>
        <v>31699</v>
      </c>
      <c r="I35" s="12">
        <f>38018</f>
        <v>38018</v>
      </c>
      <c r="J35" s="12">
        <f>69717</f>
        <v>69717</v>
      </c>
      <c r="K35" s="12"/>
      <c r="L35" s="12">
        <f>19262</f>
        <v>19262</v>
      </c>
      <c r="M35" s="12">
        <f>42374</f>
        <v>42374</v>
      </c>
      <c r="N35" s="12">
        <f>61636</f>
        <v>61636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5">
      <c r="A36" s="6" t="s">
        <v>45</v>
      </c>
      <c r="B36" s="12">
        <f>94293</f>
        <v>94293</v>
      </c>
      <c r="C36" s="12"/>
      <c r="D36" s="12">
        <f>43328</f>
        <v>43328</v>
      </c>
      <c r="E36" s="12">
        <f>47279</f>
        <v>47279</v>
      </c>
      <c r="F36" s="12">
        <f>90607</f>
        <v>90607</v>
      </c>
      <c r="G36" s="12"/>
      <c r="H36" s="12">
        <f>36190</f>
        <v>36190</v>
      </c>
      <c r="I36" s="12">
        <f>41915</f>
        <v>41915</v>
      </c>
      <c r="J36" s="12">
        <f>78105</f>
        <v>78105</v>
      </c>
      <c r="K36" s="12"/>
      <c r="L36" s="12">
        <f>27418</f>
        <v>27418</v>
      </c>
      <c r="M36" s="12">
        <f>49104</f>
        <v>49104</v>
      </c>
      <c r="N36" s="12">
        <f>76522</f>
        <v>76522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5">
      <c r="A37" s="6" t="s">
        <v>46</v>
      </c>
      <c r="B37" s="12">
        <v>105417</v>
      </c>
      <c r="C37" s="12"/>
      <c r="D37" s="12">
        <f>57579</f>
        <v>57579</v>
      </c>
      <c r="E37" s="12">
        <f>49546</f>
        <v>49546</v>
      </c>
      <c r="F37" s="12">
        <v>107125</v>
      </c>
      <c r="G37" s="12"/>
      <c r="H37" s="12">
        <f>48259</f>
        <v>48259</v>
      </c>
      <c r="I37" s="12">
        <f>40687</f>
        <v>40687</v>
      </c>
      <c r="J37" s="12">
        <f>88946</f>
        <v>88946</v>
      </c>
      <c r="K37" s="12"/>
      <c r="L37" s="12">
        <f>38416</f>
        <v>38416</v>
      </c>
      <c r="M37" s="12">
        <f>58947</f>
        <v>58947</v>
      </c>
      <c r="N37" s="12">
        <f>97363</f>
        <v>97363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5">
      <c r="A38" s="6" t="s">
        <v>47</v>
      </c>
      <c r="B38" s="12">
        <v>112736</v>
      </c>
      <c r="C38" s="12"/>
      <c r="D38" s="12">
        <f>59641</f>
        <v>59641</v>
      </c>
      <c r="E38" s="12">
        <f>53539</f>
        <v>53539</v>
      </c>
      <c r="F38" s="12">
        <v>113180</v>
      </c>
      <c r="G38" s="12"/>
      <c r="H38" s="12">
        <f>58182</f>
        <v>58182</v>
      </c>
      <c r="I38" s="12">
        <f>41311</f>
        <v>41311</v>
      </c>
      <c r="J38" s="12">
        <f>99493</f>
        <v>99493</v>
      </c>
      <c r="K38" s="12"/>
      <c r="L38" s="12">
        <f>42436</f>
        <v>42436</v>
      </c>
      <c r="M38" s="12">
        <f>73883</f>
        <v>73883</v>
      </c>
      <c r="N38" s="12">
        <v>116319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5">
      <c r="A39" s="6" t="s">
        <v>48</v>
      </c>
      <c r="B39" s="12">
        <v>160390</v>
      </c>
      <c r="C39" s="12"/>
      <c r="D39" s="12">
        <f>94481</f>
        <v>94481</v>
      </c>
      <c r="E39" s="12">
        <f>62360</f>
        <v>62360</v>
      </c>
      <c r="F39" s="12">
        <v>156840</v>
      </c>
      <c r="G39" s="12"/>
      <c r="H39" s="12">
        <f>77130</f>
        <v>77130</v>
      </c>
      <c r="I39" s="12">
        <f>67979</f>
        <v>67979</v>
      </c>
      <c r="J39" s="12">
        <v>145109</v>
      </c>
      <c r="K39" s="12"/>
      <c r="L39" s="12">
        <f>65067</f>
        <v>65067</v>
      </c>
      <c r="M39" s="12">
        <f>75427</f>
        <v>75427</v>
      </c>
      <c r="N39" s="12">
        <v>140494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5">
      <c r="A40" s="6" t="s">
        <v>49</v>
      </c>
      <c r="B40" s="12">
        <v>200562</v>
      </c>
      <c r="C40" s="12"/>
      <c r="D40" s="12">
        <v>100636</v>
      </c>
      <c r="E40" s="12">
        <f>77938</f>
        <v>77938</v>
      </c>
      <c r="F40" s="12">
        <v>178574</v>
      </c>
      <c r="G40" s="12"/>
      <c r="H40" s="12">
        <v>102888</v>
      </c>
      <c r="I40" s="12">
        <f>71674</f>
        <v>71674</v>
      </c>
      <c r="J40" s="12">
        <v>174563</v>
      </c>
      <c r="K40" s="12"/>
      <c r="L40" s="12">
        <f>67915</f>
        <v>67915</v>
      </c>
      <c r="M40" s="12">
        <f>85758</f>
        <v>85758</v>
      </c>
      <c r="N40" s="12">
        <v>153674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5">
      <c r="A41" s="6" t="s">
        <v>50</v>
      </c>
      <c r="B41" s="12">
        <v>187729</v>
      </c>
      <c r="C41" s="12"/>
      <c r="D41" s="12">
        <f>95941</f>
        <v>95941</v>
      </c>
      <c r="E41" s="12">
        <f>96314</f>
        <v>96314</v>
      </c>
      <c r="F41" s="12">
        <v>192255</v>
      </c>
      <c r="G41" s="12"/>
      <c r="H41" s="12">
        <v>105701</v>
      </c>
      <c r="I41" s="12">
        <f>87319</f>
        <v>87319</v>
      </c>
      <c r="J41" s="12">
        <v>193019</v>
      </c>
      <c r="K41" s="12"/>
      <c r="L41" s="12">
        <f>61583</f>
        <v>61583</v>
      </c>
      <c r="M41" s="12">
        <v>99732</v>
      </c>
      <c r="N41" s="12">
        <v>161316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5">
      <c r="A42" s="6" t="s">
        <v>51</v>
      </c>
      <c r="B42" s="12">
        <v>183416</v>
      </c>
      <c r="C42" s="12"/>
      <c r="D42" s="12">
        <v>105265</v>
      </c>
      <c r="E42" s="12">
        <v>106141</v>
      </c>
      <c r="F42" s="12">
        <v>211406</v>
      </c>
      <c r="G42" s="12"/>
      <c r="H42" s="12">
        <f>99460</f>
        <v>99460</v>
      </c>
      <c r="I42" s="12">
        <f>74968</f>
        <v>74968</v>
      </c>
      <c r="J42" s="12">
        <v>174427</v>
      </c>
      <c r="K42" s="12"/>
      <c r="L42" s="12">
        <f>73161</f>
        <v>73161</v>
      </c>
      <c r="M42" s="12">
        <v>133694</v>
      </c>
      <c r="N42" s="12">
        <v>206854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5">
      <c r="A43" s="6" t="s">
        <v>52</v>
      </c>
      <c r="B43" s="12">
        <v>195912</v>
      </c>
      <c r="C43" s="12"/>
      <c r="D43" s="12">
        <f>95771</f>
        <v>95771</v>
      </c>
      <c r="E43" s="12">
        <f>82821</f>
        <v>82821</v>
      </c>
      <c r="F43" s="12">
        <v>178591</v>
      </c>
      <c r="G43" s="12"/>
      <c r="H43" s="12">
        <v>106452</v>
      </c>
      <c r="I43" s="12">
        <v>111180</v>
      </c>
      <c r="J43" s="12">
        <v>217633</v>
      </c>
      <c r="K43" s="12"/>
      <c r="L43" s="12">
        <f>62278</f>
        <v>62278</v>
      </c>
      <c r="M43" s="12">
        <v>117250</v>
      </c>
      <c r="N43" s="12">
        <v>179529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5">
      <c r="A44" s="6" t="s">
        <v>53</v>
      </c>
      <c r="B44" s="12">
        <v>181845</v>
      </c>
      <c r="C44" s="12"/>
      <c r="D44" s="12">
        <v>109700</v>
      </c>
      <c r="E44" s="12">
        <f>99727</f>
        <v>99727</v>
      </c>
      <c r="F44" s="12">
        <v>209400</v>
      </c>
      <c r="G44" s="12"/>
      <c r="H44" s="12">
        <v>111600</v>
      </c>
      <c r="I44" s="12">
        <v>122800</v>
      </c>
      <c r="J44" s="12">
        <v>234400</v>
      </c>
      <c r="K44" s="12"/>
      <c r="L44" s="12">
        <f>56800</f>
        <v>56800</v>
      </c>
      <c r="M44" s="12">
        <v>109900</v>
      </c>
      <c r="N44" s="12">
        <v>166700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5">
      <c r="A45" s="6" t="s">
        <v>54</v>
      </c>
      <c r="B45" s="12">
        <v>188493</v>
      </c>
      <c r="C45" s="12"/>
      <c r="D45" s="12">
        <f>88800</f>
        <v>88800</v>
      </c>
      <c r="E45" s="12">
        <f>92800</f>
        <v>92800</v>
      </c>
      <c r="F45" s="12">
        <v>181600</v>
      </c>
      <c r="G45" s="12"/>
      <c r="H45" s="12">
        <f>93500</f>
        <v>93500</v>
      </c>
      <c r="I45" s="12">
        <f>98000</f>
        <v>98000</v>
      </c>
      <c r="J45" s="12">
        <v>191500</v>
      </c>
      <c r="K45" s="12"/>
      <c r="L45" s="12">
        <f>48500</f>
        <v>48500</v>
      </c>
      <c r="M45" s="12">
        <v>106100</v>
      </c>
      <c r="N45" s="12">
        <v>154600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5">
      <c r="A46" s="6" t="s">
        <v>55</v>
      </c>
      <c r="B46" s="12">
        <v>163444</v>
      </c>
      <c r="C46" s="12"/>
      <c r="D46" s="12">
        <f>80900</f>
        <v>80900</v>
      </c>
      <c r="E46" s="12">
        <f>78500</f>
        <v>78500</v>
      </c>
      <c r="F46" s="12">
        <v>159500</v>
      </c>
      <c r="G46" s="12"/>
      <c r="H46" s="12">
        <f>79000</f>
        <v>79000</v>
      </c>
      <c r="I46" s="12">
        <v>111100</v>
      </c>
      <c r="J46" s="12">
        <v>190100</v>
      </c>
      <c r="K46" s="12"/>
      <c r="L46" s="12">
        <f>49500</f>
        <v>49500</v>
      </c>
      <c r="M46" s="12">
        <f>71300</f>
        <v>71300</v>
      </c>
      <c r="N46" s="12">
        <v>120800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5">
      <c r="A47" s="6" t="s">
        <v>56</v>
      </c>
      <c r="B47" s="12">
        <v>229678</v>
      </c>
      <c r="C47" s="12"/>
      <c r="D47" s="12">
        <v>122000</v>
      </c>
      <c r="E47" s="12">
        <f>80000</f>
        <v>80000</v>
      </c>
      <c r="F47" s="12">
        <v>202000</v>
      </c>
      <c r="G47" s="12"/>
      <c r="H47" s="12">
        <v>107300</v>
      </c>
      <c r="I47" s="12">
        <v>105500</v>
      </c>
      <c r="J47" s="12">
        <v>212800</v>
      </c>
      <c r="K47" s="12"/>
      <c r="L47" s="12">
        <f>63600</f>
        <v>63600</v>
      </c>
      <c r="M47" s="12">
        <f>46400</f>
        <v>46400</v>
      </c>
      <c r="N47" s="12">
        <v>110000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5">
      <c r="A48" s="6" t="s">
        <v>57</v>
      </c>
      <c r="B48" s="12">
        <v>341260</v>
      </c>
      <c r="C48" s="12"/>
      <c r="D48" s="12">
        <v>171700</v>
      </c>
      <c r="E48" s="12">
        <v>130200</v>
      </c>
      <c r="F48" s="12">
        <v>301900</v>
      </c>
      <c r="G48" s="12"/>
      <c r="H48" s="12">
        <v>150300</v>
      </c>
      <c r="I48" s="12">
        <f>85000</f>
        <v>85000</v>
      </c>
      <c r="J48" s="12">
        <v>235300</v>
      </c>
      <c r="K48" s="12"/>
      <c r="L48" s="12">
        <f>85600</f>
        <v>85600</v>
      </c>
      <c r="M48" s="12">
        <f>96600</f>
        <v>96600</v>
      </c>
      <c r="N48" s="12">
        <v>182200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5">
      <c r="A49" s="6" t="s">
        <v>58</v>
      </c>
      <c r="B49" s="12">
        <v>360500</v>
      </c>
      <c r="C49" s="12"/>
      <c r="D49" s="12">
        <v>182600</v>
      </c>
      <c r="E49" s="12">
        <v>196900</v>
      </c>
      <c r="F49" s="12">
        <v>379600</v>
      </c>
      <c r="G49" s="12"/>
      <c r="H49" s="12">
        <v>166000</v>
      </c>
      <c r="I49" s="12">
        <v>118200</v>
      </c>
      <c r="J49" s="12">
        <v>284200</v>
      </c>
      <c r="K49" s="12"/>
      <c r="L49" s="12">
        <v>103000</v>
      </c>
      <c r="M49" s="12">
        <v>178400</v>
      </c>
      <c r="N49" s="12">
        <v>281400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5">
      <c r="A50" s="6" t="s">
        <v>59</v>
      </c>
      <c r="B50" s="12">
        <v>381750</v>
      </c>
      <c r="C50" s="12"/>
      <c r="D50" s="12">
        <v>170600</v>
      </c>
      <c r="E50" s="12">
        <v>198800</v>
      </c>
      <c r="F50" s="12">
        <v>369400</v>
      </c>
      <c r="G50" s="12"/>
      <c r="H50" s="12">
        <v>166300</v>
      </c>
      <c r="I50" s="12">
        <v>174100</v>
      </c>
      <c r="J50" s="12">
        <v>340400</v>
      </c>
      <c r="K50" s="12"/>
      <c r="L50" s="12">
        <v>111700</v>
      </c>
      <c r="M50" s="12">
        <v>205600</v>
      </c>
      <c r="N50" s="12">
        <v>317300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5">
      <c r="A51" s="6" t="s">
        <v>60</v>
      </c>
      <c r="B51" s="12">
        <v>388699</v>
      </c>
      <c r="C51" s="12"/>
      <c r="D51" s="12">
        <v>180500</v>
      </c>
      <c r="E51" s="12">
        <v>193700</v>
      </c>
      <c r="F51" s="12">
        <v>374200</v>
      </c>
      <c r="G51" s="12"/>
      <c r="H51" s="12">
        <v>174200</v>
      </c>
      <c r="I51" s="12">
        <v>225300</v>
      </c>
      <c r="J51" s="12">
        <v>399500</v>
      </c>
      <c r="K51" s="12"/>
      <c r="L51" s="12">
        <v>118500</v>
      </c>
      <c r="M51" s="12">
        <v>181300</v>
      </c>
      <c r="N51" s="12">
        <v>299800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5">
      <c r="A52" s="6" t="s">
        <v>61</v>
      </c>
      <c r="B52" s="12">
        <v>461657</v>
      </c>
      <c r="C52" s="12"/>
      <c r="D52" s="12">
        <v>222500</v>
      </c>
      <c r="E52" s="12">
        <v>257400</v>
      </c>
      <c r="F52" s="12">
        <v>479900</v>
      </c>
      <c r="G52" s="12"/>
      <c r="H52" s="12">
        <v>182100</v>
      </c>
      <c r="I52" s="12">
        <v>217600</v>
      </c>
      <c r="J52" s="12">
        <v>399700</v>
      </c>
      <c r="K52" s="12"/>
      <c r="L52" s="12">
        <v>164300</v>
      </c>
      <c r="M52" s="12">
        <v>232300</v>
      </c>
      <c r="N52" s="12">
        <v>396600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5">
      <c r="A53" s="6" t="s">
        <v>62</v>
      </c>
      <c r="B53" s="12">
        <v>398028</v>
      </c>
      <c r="C53" s="12"/>
      <c r="D53" s="12">
        <v>224400</v>
      </c>
      <c r="E53" s="12">
        <v>176700</v>
      </c>
      <c r="F53" s="12">
        <v>401100</v>
      </c>
      <c r="G53" s="12"/>
      <c r="H53" s="12">
        <v>229600</v>
      </c>
      <c r="I53" s="12">
        <v>232000</v>
      </c>
      <c r="J53" s="12">
        <v>461600</v>
      </c>
      <c r="K53" s="12"/>
      <c r="L53" s="12">
        <v>164000</v>
      </c>
      <c r="M53" s="12">
        <v>198400</v>
      </c>
      <c r="N53" s="12">
        <v>362400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5">
      <c r="A54" s="6" t="s">
        <v>63</v>
      </c>
      <c r="B54" s="12">
        <v>406678</v>
      </c>
      <c r="C54" s="12"/>
      <c r="D54" s="12">
        <v>232000</v>
      </c>
      <c r="E54" s="12">
        <v>180100</v>
      </c>
      <c r="F54" s="12">
        <v>412000</v>
      </c>
      <c r="G54" s="12"/>
      <c r="H54" s="12">
        <v>219400</v>
      </c>
      <c r="I54" s="12">
        <v>249200</v>
      </c>
      <c r="J54" s="12">
        <v>468600</v>
      </c>
      <c r="K54" s="12"/>
      <c r="L54" s="12">
        <v>180800</v>
      </c>
      <c r="M54" s="12">
        <v>132700</v>
      </c>
      <c r="N54" s="12">
        <v>313500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5">
      <c r="A55" s="6" t="s">
        <v>64</v>
      </c>
      <c r="B55" s="12">
        <v>398873</v>
      </c>
      <c r="C55" s="12"/>
      <c r="D55" s="12">
        <v>253700</v>
      </c>
      <c r="E55" s="12">
        <v>144900</v>
      </c>
      <c r="F55" s="12">
        <v>398600</v>
      </c>
      <c r="G55" s="12"/>
      <c r="H55" s="12">
        <v>246600</v>
      </c>
      <c r="I55" s="12">
        <v>182700</v>
      </c>
      <c r="J55" s="12">
        <v>429300</v>
      </c>
      <c r="K55" s="12"/>
      <c r="L55" s="12">
        <v>186300</v>
      </c>
      <c r="M55" s="12">
        <v>101500</v>
      </c>
      <c r="N55" s="12">
        <v>287800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5">
      <c r="A56" s="6" t="s">
        <v>65</v>
      </c>
      <c r="B56" s="12">
        <v>411419</v>
      </c>
      <c r="C56" s="12"/>
      <c r="D56" s="12">
        <v>281700</v>
      </c>
      <c r="E56" s="12">
        <v>139600</v>
      </c>
      <c r="F56" s="12">
        <v>421300</v>
      </c>
      <c r="G56" s="12"/>
      <c r="H56" s="12">
        <v>289100</v>
      </c>
      <c r="I56" s="12">
        <v>172000</v>
      </c>
      <c r="J56" s="12">
        <v>461000</v>
      </c>
      <c r="K56" s="12"/>
      <c r="L56" s="12">
        <v>183200</v>
      </c>
      <c r="M56" s="12">
        <f>77400</f>
        <v>77400</v>
      </c>
      <c r="N56" s="12">
        <v>260600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5">
      <c r="A57" s="6" t="s">
        <v>66</v>
      </c>
      <c r="B57" s="12">
        <v>487407</v>
      </c>
      <c r="C57" s="12"/>
      <c r="D57" s="12">
        <v>309500</v>
      </c>
      <c r="E57" s="12">
        <v>199700</v>
      </c>
      <c r="F57" s="12">
        <v>509300</v>
      </c>
      <c r="G57" s="12"/>
      <c r="H57" s="12">
        <v>284400</v>
      </c>
      <c r="I57" s="12">
        <v>170100</v>
      </c>
      <c r="J57" s="12">
        <v>454000</v>
      </c>
      <c r="K57" s="12"/>
      <c r="L57" s="12">
        <v>212500</v>
      </c>
      <c r="M57" s="12">
        <v>102200</v>
      </c>
      <c r="N57" s="12">
        <v>314700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5">
      <c r="A58" s="6" t="s">
        <v>67</v>
      </c>
      <c r="B58" s="12">
        <v>446152</v>
      </c>
      <c r="C58" s="12"/>
      <c r="D58" s="12">
        <v>253500</v>
      </c>
      <c r="E58" s="12">
        <v>194900</v>
      </c>
      <c r="F58" s="12">
        <v>448300</v>
      </c>
      <c r="G58" s="12"/>
      <c r="H58" s="12">
        <v>282800</v>
      </c>
      <c r="I58" s="12">
        <v>189400</v>
      </c>
      <c r="J58" s="12">
        <v>472300</v>
      </c>
      <c r="K58" s="12"/>
      <c r="L58" s="12">
        <v>188700</v>
      </c>
      <c r="M58" s="12">
        <v>109700</v>
      </c>
      <c r="N58" s="12">
        <v>298300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5">
      <c r="A59" s="6" t="s">
        <v>68</v>
      </c>
      <c r="B59" s="12">
        <v>471086</v>
      </c>
      <c r="C59" s="12"/>
      <c r="D59" s="12">
        <v>218700</v>
      </c>
      <c r="E59" s="12">
        <v>280900</v>
      </c>
      <c r="F59" s="12">
        <v>499600</v>
      </c>
      <c r="G59" s="12"/>
      <c r="H59" s="12">
        <v>235700</v>
      </c>
      <c r="I59" s="12">
        <v>228300</v>
      </c>
      <c r="J59" s="12">
        <v>464000</v>
      </c>
      <c r="K59" s="12"/>
      <c r="L59" s="12">
        <v>177400</v>
      </c>
      <c r="M59" s="12">
        <v>172000</v>
      </c>
      <c r="N59" s="12">
        <v>349300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5">
      <c r="A60" s="6" t="s">
        <v>69</v>
      </c>
      <c r="B60" s="12">
        <v>351720</v>
      </c>
      <c r="C60" s="12"/>
      <c r="D60" s="12">
        <v>165400</v>
      </c>
      <c r="E60" s="12">
        <v>202200</v>
      </c>
      <c r="F60" s="12">
        <v>367600</v>
      </c>
      <c r="G60" s="12"/>
      <c r="H60" s="12">
        <v>202100</v>
      </c>
      <c r="I60" s="12">
        <v>219700</v>
      </c>
      <c r="J60" s="12">
        <v>421800</v>
      </c>
      <c r="K60" s="12"/>
      <c r="L60" s="12">
        <v>144000</v>
      </c>
      <c r="M60" s="12">
        <v>156900</v>
      </c>
      <c r="N60" s="12">
        <v>300800</v>
      </c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5">
      <c r="A61" s="6" t="s">
        <v>70</v>
      </c>
      <c r="B61" s="12">
        <v>306264</v>
      </c>
      <c r="C61" s="12"/>
      <c r="D61" s="12">
        <v>149600</v>
      </c>
      <c r="E61" s="12">
        <v>181800</v>
      </c>
      <c r="F61" s="12">
        <v>331400</v>
      </c>
      <c r="G61" s="12"/>
      <c r="H61" s="12">
        <v>182000</v>
      </c>
      <c r="I61" s="12">
        <v>240400</v>
      </c>
      <c r="J61" s="12">
        <v>422500</v>
      </c>
      <c r="K61" s="12"/>
      <c r="L61" s="12">
        <v>116100</v>
      </c>
      <c r="M61" s="12">
        <v>101000</v>
      </c>
      <c r="N61" s="12">
        <v>217200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5">
      <c r="A62" s="6" t="s">
        <v>71</v>
      </c>
      <c r="B62" s="12">
        <v>342580</v>
      </c>
      <c r="C62" s="12"/>
      <c r="D62" s="12">
        <v>134200</v>
      </c>
      <c r="E62" s="12">
        <v>221900</v>
      </c>
      <c r="F62" s="12">
        <v>356200</v>
      </c>
      <c r="G62" s="12"/>
      <c r="H62" s="12">
        <v>149100</v>
      </c>
      <c r="I62" s="12">
        <v>214900</v>
      </c>
      <c r="J62" s="12">
        <v>364000</v>
      </c>
      <c r="K62" s="12"/>
      <c r="L62" s="12">
        <v>103200</v>
      </c>
      <c r="M62" s="12">
        <v>110700</v>
      </c>
      <c r="N62" s="12">
        <v>213900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5">
      <c r="A63" s="6" t="s">
        <v>72</v>
      </c>
      <c r="B63" s="12">
        <v>404699</v>
      </c>
      <c r="C63" s="12"/>
      <c r="D63" s="12">
        <v>184000</v>
      </c>
      <c r="E63" s="12">
        <v>213700</v>
      </c>
      <c r="F63" s="12">
        <v>397600</v>
      </c>
      <c r="G63" s="12"/>
      <c r="H63" s="12">
        <v>173200</v>
      </c>
      <c r="I63" s="12">
        <v>226400</v>
      </c>
      <c r="J63" s="12">
        <v>399500</v>
      </c>
      <c r="K63" s="12"/>
      <c r="L63" s="12">
        <v>116700</v>
      </c>
      <c r="M63" s="12">
        <v>103400</v>
      </c>
      <c r="N63" s="12">
        <v>220200</v>
      </c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5">
      <c r="A64" s="6" t="s">
        <v>73</v>
      </c>
      <c r="B64" s="12">
        <v>323035</v>
      </c>
      <c r="C64" s="12"/>
      <c r="D64" s="12">
        <v>126200</v>
      </c>
      <c r="E64" s="12">
        <v>198200</v>
      </c>
      <c r="F64" s="12">
        <v>324400</v>
      </c>
      <c r="G64" s="12"/>
      <c r="H64" s="12">
        <v>158300</v>
      </c>
      <c r="I64" s="12">
        <v>187600</v>
      </c>
      <c r="J64" s="12">
        <v>345900</v>
      </c>
      <c r="K64" s="12"/>
      <c r="L64" s="12">
        <f>88200</f>
        <v>88200</v>
      </c>
      <c r="M64" s="12">
        <v>116100</v>
      </c>
      <c r="N64" s="12">
        <v>204300</v>
      </c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5">
      <c r="A65" s="6" t="s">
        <v>78</v>
      </c>
      <c r="B65" s="12">
        <v>440709</v>
      </c>
      <c r="C65" s="12"/>
      <c r="D65" s="12">
        <v>223300</v>
      </c>
      <c r="E65" s="12">
        <v>227000</v>
      </c>
      <c r="F65" s="12">
        <v>450300</v>
      </c>
      <c r="G65" s="12"/>
      <c r="H65" s="12">
        <v>173000</v>
      </c>
      <c r="I65" s="12">
        <v>196700</v>
      </c>
      <c r="J65" s="12">
        <v>369700</v>
      </c>
      <c r="K65" s="12"/>
      <c r="L65" s="12">
        <v>148400</v>
      </c>
      <c r="M65" s="12">
        <v>156400</v>
      </c>
      <c r="N65" s="12">
        <v>304800</v>
      </c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5">
      <c r="A66" s="6" t="s">
        <v>79</v>
      </c>
      <c r="B66" s="12">
        <v>523997</v>
      </c>
      <c r="C66" s="12"/>
      <c r="D66" s="12">
        <v>264300</v>
      </c>
      <c r="E66" s="12">
        <v>257600</v>
      </c>
      <c r="F66" s="12">
        <v>521900</v>
      </c>
      <c r="G66" s="12"/>
      <c r="H66" s="12">
        <v>240600</v>
      </c>
      <c r="I66" s="12">
        <v>275000</v>
      </c>
      <c r="J66" s="12">
        <v>515500</v>
      </c>
      <c r="K66" s="12"/>
      <c r="L66" s="12">
        <v>191300</v>
      </c>
      <c r="M66" s="12">
        <v>152800</v>
      </c>
      <c r="N66" s="12">
        <v>344100</v>
      </c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5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30" customHeight="1">
      <c r="A68" s="15" t="s">
        <v>76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30" customHeight="1">
      <c r="A69" s="15" t="s">
        <v>77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30" customHeight="1">
      <c r="A70" s="15" t="s">
        <v>74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5" customHeight="1">
      <c r="A71" s="15" t="s">
        <v>75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5" customHeight="1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5" customHeight="1">
      <c r="A73" s="15" t="s">
        <v>80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5">
      <c r="A74" s="14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5">
      <c r="A75" s="17" t="s">
        <v>81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5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5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5">
      <c r="A78" s="13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5">
      <c r="A79" s="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5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5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5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5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5">
      <c r="A84" s="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5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5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5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5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5">
      <c r="A89" s="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5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5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5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5">
      <c r="A93" s="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5">
      <c r="A95" s="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5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5">
      <c r="A97" s="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5">
      <c r="A98" s="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</sheetData>
  <mergeCells count="7">
    <mergeCell ref="A72:N72"/>
    <mergeCell ref="A73:N73"/>
    <mergeCell ref="A75:N75"/>
    <mergeCell ref="A68:N68"/>
    <mergeCell ref="A69:N69"/>
    <mergeCell ref="A70:N70"/>
    <mergeCell ref="A71:N71"/>
  </mergeCells>
  <printOptions/>
  <pageMargins left="0.5" right="0.5" top="0.5" bottom="0.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